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codeName="ThisWorkbook"/>
  <mc:AlternateContent xmlns:mc="http://schemas.openxmlformats.org/markup-compatibility/2006">
    <mc:Choice Requires="x15">
      <x15ac:absPath xmlns:x15ac="http://schemas.microsoft.com/office/spreadsheetml/2010/11/ac" url="Z:\WebSite\Environment&amp;Countryside\2024-2025 MFS\"/>
    </mc:Choice>
  </mc:AlternateContent>
  <xr:revisionPtr revIDLastSave="0" documentId="8_{F5FF619B-DB70-4B14-8BC0-D1EC729B70E0}" xr6:coauthVersionLast="47" xr6:coauthVersionMax="47" xr10:uidLastSave="{00000000-0000-0000-0000-000000000000}"/>
  <workbookProtection workbookAlgorithmName="SHA-512" workbookHashValue="mMlWNbVR33f5fA3Jf7Rwwuim/wp5pBDiCecmT9X0JOoHQnH1pe99pqwJ4cmRA8OovITdeQHEqVR0IyCEHWBkXg==" workbookSaltValue="ea3UYWz5nQuv+09Mm+yKjA==" workbookSpinCount="100000" lockStructure="1"/>
  <bookViews>
    <workbookView xWindow="-110" yWindow="-110" windowWidth="19420" windowHeight="10420" tabRatio="793" xr2:uid="{38C1A0E4-4CA2-439F-81BA-D92327DBC82C}"/>
  </bookViews>
  <sheets>
    <sheet name="Introduction" sheetId="10" r:id="rId1"/>
    <sheet name="Version Log" sheetId="27" state="hidden" r:id="rId2"/>
    <sheet name="Summary results" sheetId="18" r:id="rId3"/>
    <sheet name="Buildings &amp; stationary assets" sheetId="4" r:id="rId4"/>
    <sheet name="Fleet" sheetId="23" r:id="rId5"/>
    <sheet name="Business travel, commute, home" sheetId="19" r:id="rId6"/>
    <sheet name="Medical gases (NHS only)" sheetId="24" r:id="rId7"/>
    <sheet name="Supply chain" sheetId="5" r:id="rId8"/>
    <sheet name="Waste" sheetId="12" r:id="rId9"/>
    <sheet name="Land use &amp; agriculture" sheetId="11" r:id="rId10"/>
    <sheet name="Renewables" sheetId="14" r:id="rId11"/>
    <sheet name="Emission factors" sheetId="17" r:id="rId12"/>
    <sheet name="Land Emission Factors" sheetId="22" r:id="rId13"/>
    <sheet name="Benchmarking data" sheetId="21" r:id="rId14"/>
    <sheet name="Lists" sheetId="8" state="hidden" r:id="rId15"/>
    <sheet name="Errors" sheetId="26" state="hidden" r:id="rId16"/>
    <sheet name="Totals" sheetId="25" state="hidden" r:id="rId17"/>
  </sheets>
  <definedNames>
    <definedName name="_ftnref1" localSheetId="13">'Benchmarking data'!$B$12</definedName>
    <definedName name="_Toc103010521" localSheetId="13">'Benchmarking data'!$C$43</definedName>
    <definedName name="Aethercomments">Introduction!$B$49:$D$53</definedName>
    <definedName name="Aggregates">Lists!$V$25:$W$25</definedName>
    <definedName name="AGRIC">Lists!$AP$26:$AP$28</definedName>
    <definedName name="Agriculture">Lists!$S$4:$S$5</definedName>
    <definedName name="Allfleetfuel">Lists!$Q$36:$Q$42</definedName>
    <definedName name="Anatomicalwaste">Lists!$V$26</definedName>
    <definedName name="Asbestos">Lists!$V$27</definedName>
    <definedName name="Asphalt">Lists!$V$28:$W$28</definedName>
    <definedName name="Averageconstruction">Lists!$V$29</definedName>
    <definedName name="Batteries">Lists!$V$30:$W$30</definedName>
    <definedName name="Biodieselcategory1">Lists!$P$79:$P$80</definedName>
    <definedName name="Biodieselunits">Lists!$O$58:$O$59</definedName>
    <definedName name="Bioenergycategory1">Lists!$P$65:$P$67</definedName>
    <definedName name="Bioenergyunits">Lists!$O$71:$O$72</definedName>
    <definedName name="Biopetrolcategory1">Lists!$P$76</definedName>
    <definedName name="Biopetrolunits">Lists!$O$61:$O$62</definedName>
    <definedName name="BoundaryInfo">Introduction!$B$19:$D$36</definedName>
    <definedName name="Bricks">Lists!$V$31:$W$31</definedName>
    <definedName name="Buildings">Lists!$O$15:$O$24</definedName>
    <definedName name="Buildingsownership">Lists!$O$4:$O$9</definedName>
    <definedName name="Businesstravel">Lists!$AE$4:$AE$9</definedName>
    <definedName name="Cattle">Lists!$S$20:$S$21</definedName>
    <definedName name="CHPplant">Lists!$O$26:$O$30</definedName>
    <definedName name="Clinicalwaste">Lists!$V$32</definedName>
    <definedName name="Clothing">Lists!$V$33:$X$33</definedName>
    <definedName name="Coalcategory1">Lists!$P$83</definedName>
    <definedName name="Coalunits">Lists!$O$80:$O$81</definedName>
    <definedName name="Commercialandindustrialwaste">Lists!$V$34:$X$34</definedName>
    <definedName name="Commuting">Lists!$AF$4:$AF$6</definedName>
    <definedName name="Concrete">Lists!$V$35:$W$35</definedName>
    <definedName name="Dieselcategory1">Lists!$P$50:$P$51</definedName>
    <definedName name="Dieselunits">Lists!$O$50:$O$51</definedName>
    <definedName name="Ease">Lists!$D$4:$D$10</definedName>
    <definedName name="Equipmentfuel">Lists!$Q$45:$Q$51</definedName>
    <definedName name="F_gases">Lists!$O$88:$O$248</definedName>
    <definedName name="F_GasUnits">Lists!$P$88</definedName>
    <definedName name="FarmlandSoils">Lists!$S$28:$S$29</definedName>
    <definedName name="Farmlandsoilsunits">Lists!$S$16:$S$17</definedName>
    <definedName name="Fgas">Lists!$O$88:$O$248</definedName>
    <definedName name="fgasunits">Lists!$P$88</definedName>
    <definedName name="FireandRescueService">Lists!$H$93:$H$95</definedName>
    <definedName name="Fleetandequipmentfuel">Lists!$Q$4:$Q$9</definedName>
    <definedName name="Fleetdistance">Lists!$R$4:$R$6</definedName>
    <definedName name="Flightcategory1">Lists!$AF$50:$AF$52</definedName>
    <definedName name="Flightdomestic">Lists!$AG$50</definedName>
    <definedName name="Flightlonghaul">Lists!$AH$50:$AH$52</definedName>
    <definedName name="Flightshorthaul">Lists!$AH$50:$AH$52</definedName>
    <definedName name="Flightunits">Lists!$AE$50:$AE$51</definedName>
    <definedName name="Gasoilcategory1">Lists!$P$46</definedName>
    <definedName name="Gasoilunits">Lists!$O$46:$O$47</definedName>
    <definedName name="Generatorfuel">Lists!$Q$53:$Q$58</definedName>
    <definedName name="Gridelectricitycategory1">Lists!$P$58</definedName>
    <definedName name="Gridelectricityunits">Lists!$O$64</definedName>
    <definedName name="HealthBoardorTrust">Lists!$H$52:$H$64</definedName>
    <definedName name="Heatandsteamcategory1">Lists!$P$61:$P$62</definedName>
    <definedName name="Heatandsteamunits">Lists!$O$67</definedName>
    <definedName name="HGVfuel">Lists!$Q$33:$Q$34</definedName>
    <definedName name="HGVsize">Lists!$R$31:$R$33</definedName>
    <definedName name="HGVsizefuel">Lists!$Q$33</definedName>
    <definedName name="HGVunits">Lists!$R$65:$R$66</definedName>
    <definedName name="Hirecaraverage">Lists!$AG$21:$AG$26</definedName>
    <definedName name="Hirecarcategory1">Lists!$AF$21:$AF$24</definedName>
    <definedName name="Hirecarlarge">Lists!$AG$21:$AG$26</definedName>
    <definedName name="Hirecarmedium">Lists!$AG$21:$AG$26</definedName>
    <definedName name="Hirecarsmall">Lists!$AG$21:$AG$26</definedName>
    <definedName name="Hirecarunits">Lists!$AE$21:$AE$22</definedName>
    <definedName name="Homeworking">Lists!$AG$4</definedName>
    <definedName name="Householdresidualwaste">Lists!$V$36:$W$36</definedName>
    <definedName name="Infectiouswaste">Lists!$V$37</definedName>
    <definedName name="Insulation">Lists!$V$38:$W$38</definedName>
    <definedName name="Kerosenecategory1">Lists!$P$42</definedName>
    <definedName name="Keroseneunits">Lists!$O$42:$O$43</definedName>
    <definedName name="landuse">Lists!$L$4:$L$9</definedName>
    <definedName name="landusetypes">Lists!$L$3</definedName>
    <definedName name="Livestock">Lists!$S$20:$S$25</definedName>
    <definedName name="Livestockunits">Lists!$S$14</definedName>
    <definedName name="LocalAuthority">Lists!$H$22:$H$51</definedName>
    <definedName name="LPGcategory1">Lists!$P$37</definedName>
    <definedName name="LPGunits">Lists!$O$37:$O$38</definedName>
    <definedName name="Medicalcontaminatedsharpswaste">Lists!$V$39</definedName>
    <definedName name="Medicalgas">Lists!$P$92:$P$97</definedName>
    <definedName name="Medicalgasunits">Lists!$P$100</definedName>
    <definedName name="Medicinalwaste">Lists!$V$40</definedName>
    <definedName name="Metals">Lists!$V$41:$W$41</definedName>
    <definedName name="Methdologytier2">Lists!$B$16</definedName>
    <definedName name="Methodologyall">Lists!$B$4:$B$6</definedName>
    <definedName name="Methodologytier">Lists!$BA$4:$BC$29</definedName>
    <definedName name="Methodologytier1">Lists!$B$9</definedName>
    <definedName name="Methodologytier23">Lists!$B$19:$B$20</definedName>
    <definedName name="Methodologytier3">Lists!$B$23</definedName>
    <definedName name="Mineraloil">Lists!$V$42:$W$42</definedName>
    <definedName name="Mixedglass">Lists!$V$43</definedName>
    <definedName name="Mixedmetalcans">Lists!$V$44</definedName>
    <definedName name="Mixedpaper">Lists!$V$45:$W$45</definedName>
    <definedName name="Mixedplastics">Lists!$V$46</definedName>
    <definedName name="Mixedrecycling">Lists!$V$47</definedName>
    <definedName name="MixedWEEE">Lists!$V$48:$X$48</definedName>
    <definedName name="Motorbikeaverage">Lists!$AG$29</definedName>
    <definedName name="Motorbikecategory1">Lists!$AF$29:$AF$32</definedName>
    <definedName name="motorbikelarge">Lists!$AG$29</definedName>
    <definedName name="Motorbikemedium">Lists!$AG$29</definedName>
    <definedName name="Motorbikesmall">Lists!$AG$29</definedName>
    <definedName name="Motorbikeunits">Lists!$AE$29:$AE$30</definedName>
    <definedName name="Municipalwaste">Lists!$V$4:$V$17</definedName>
    <definedName name="NationalParkAuthority">Lists!$H$65:$H$67</definedName>
    <definedName name="Naturalgascategory1">Lists!$P$33</definedName>
    <definedName name="Naturalgasunits">Lists!$O$33:$O$34</definedName>
    <definedName name="Noninfectiousoffensivewaste">Lists!$V$49</definedName>
    <definedName name="Onsiteandoffsiterenewables">Lists!$AL$4:$AL$7</definedName>
    <definedName name="Onsiterenewables">Lists!$AL$4:$AL$7</definedName>
    <definedName name="Organicfoodanddrink">Lists!$V$50:$Y$50</definedName>
    <definedName name="Organicgarden">Lists!$V$51:$Y$51</definedName>
    <definedName name="Organicmixed">Lists!$V$52:$Y$52</definedName>
    <definedName name="OrganisationalInfo">Introduction!$B$7:$D$16</definedName>
    <definedName name="Organisationalwaste">Lists!$U$4:$U$22</definedName>
    <definedName name="Organisations">Lists!$H$22:$H$107</definedName>
    <definedName name="Organisationwastetype">Lists!$U$4:$U$20</definedName>
    <definedName name="OrgType">Lists!$G$4:$G$12</definedName>
    <definedName name="Other">Lists!$H$68:$H$85</definedName>
    <definedName name="Othergases">Lists!$O$84:$O$85</definedName>
    <definedName name="Peerreview">Introduction!$B$42:$K$45</definedName>
    <definedName name="Petrolcategory1">Lists!$P$54:$P$55</definedName>
    <definedName name="Petrolunits">Lists!$O$54:$O$55</definedName>
    <definedName name="Plasterboard">Lists!$V$53:$W$53</definedName>
    <definedName name="Poolcarfuel">Lists!$Q$15:$Q$21</definedName>
    <definedName name="PoolcarSize">Lists!$R$15</definedName>
    <definedName name="Poolcarsizefuel">Lists!$R$37:$R$42</definedName>
    <definedName name="Poolcarunits">Lists!$R$57:$R$58</definedName>
    <definedName name="Privatecaraverage">Lists!$AG$13:$AG$18</definedName>
    <definedName name="Privatecarcategory1">Lists!$AF$13:$AF$16</definedName>
    <definedName name="Privatecarlarge">Lists!$AG$13:$AG$18</definedName>
    <definedName name="Privatecarmedium">Lists!$AG$13:$AG$18</definedName>
    <definedName name="Privatecarsmall">Lists!$AG$13:$AG$18</definedName>
    <definedName name="Privatecarunits">Lists!$AE$13:$AE$14</definedName>
    <definedName name="Projectwaste">Lists!$W$4:$W$17</definedName>
    <definedName name="Publictransportbus">Lists!$AH$35:$AH$36</definedName>
    <definedName name="Publictransportcategory1">Lists!$AF$35:$AF$38</definedName>
    <definedName name="Publictransportferry">Lists!$AJ$35:$AJ$36</definedName>
    <definedName name="Publictransportrail">Lists!$AI$35:$AI$38</definedName>
    <definedName name="Publictransporttaxi">Lists!$AG$35:$AG$36</definedName>
    <definedName name="Publictransportunits">Lists!$AE$35:$AE$36</definedName>
    <definedName name="Purchasedrenewableelectricityagreement">Lists!$AM$17:$AM$21</definedName>
    <definedName name="Purchasedrenewableheatagreement">Lists!$AM$9:$AM$11</definedName>
    <definedName name="Purchasedrenewables">Lists!$AM$4:$AM$5</definedName>
    <definedName name="Regions">Lists!$G$15:$G$19</definedName>
    <definedName name="RenewableCHPelectricitytechnology">Lists!$AL$24:$AL$25</definedName>
    <definedName name="RenewableCHPheattechnology">Lists!$AL$28:$AL$29</definedName>
    <definedName name="Renewableelectricity">Lists!$AL$17:$AL$21</definedName>
    <definedName name="Renewableelectricityownership">Lists!$AL$33:$AL$38</definedName>
    <definedName name="Renewableelectricitytechnology">Lists!$AL$17:$AL$21</definedName>
    <definedName name="Renewableheat">Lists!$AL$9:$AL$14</definedName>
    <definedName name="Renewableheattechnology">Lists!$AL$9:$AL$14</definedName>
    <definedName name="Renewables">Lists!$AL$4:$AL$6</definedName>
    <definedName name="ReportingComments">Introduction!$B$39:$K$39</definedName>
    <definedName name="Reportingyear">Lists!$I$4:$I$5</definedName>
    <definedName name="RSD">Lists!$C$4:$C$15</definedName>
    <definedName name="Sheep">Lists!$S$25</definedName>
    <definedName name="SICProductCategories">Lists!$AU$3:$AU$112</definedName>
    <definedName name="SICProductCodeLookup">Lists!$AU$3:$AW$112</definedName>
    <definedName name="soil">Lists!$M$4:$M$5</definedName>
    <definedName name="Streetlighting">Lists!$P$15</definedName>
    <definedName name="SupplyChain_Tier2RSD">Lists!$B$27:$B$29</definedName>
    <definedName name="Supplychaingroup">Lists!$AP$4:$AP$23</definedName>
    <definedName name="Typeoflighting">Lists!$P$4:$P$6</definedName>
    <definedName name="TypeOrganisation">Lists!$G$22:$G$107</definedName>
    <definedName name="Tyres">Lists!$V$55:$W$55</definedName>
    <definedName name="UniveristyorCollege">Lists!$H$86:$H$95</definedName>
    <definedName name="vanaverage">Lists!$AJ$13:$AJ$17</definedName>
    <definedName name="vanbiodiesel">Lists!$AJ$13</definedName>
    <definedName name="vanbiopetrol">Lists!$AJ$13</definedName>
    <definedName name="vancategory1">Lists!$AI$13</definedName>
    <definedName name="Vancategory2">Lists!$AJ$13:$AJ$17</definedName>
    <definedName name="vanfuel">Lists!$Q$24:$Q$30</definedName>
    <definedName name="Vansize">Lists!$R$24</definedName>
    <definedName name="Vansizefuel">Lists!$R$46:$R$50</definedName>
    <definedName name="Vanunits">Lists!$R$61:$R$62</definedName>
    <definedName name="Vehicles">Lists!$AE$4:$AE$8</definedName>
    <definedName name="Version">Introduction!$E$1</definedName>
    <definedName name="Version_Number">Introduction!$F$1</definedName>
    <definedName name="WasteSoils">Lists!$V$54:$W$54</definedName>
    <definedName name="Wastesource">Lists!$U$3:$U$5</definedName>
    <definedName name="Wasteunits">Lists!$X$4:$X$5</definedName>
    <definedName name="Watercategory1">Lists!$P$70:$P$73</definedName>
    <definedName name="Waterunits">Lists!$O$76:$O$77</definedName>
    <definedName name="WelshGovernment">Lists!$H$96</definedName>
    <definedName name="Wood">Lists!$V$56:$Y$56</definedName>
    <definedName name="Yesno">Lists!$E$4:$E$5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9" i="18" l="1"/>
  <c r="D15" i="18"/>
  <c r="U376" i="5" l="1"/>
  <c r="T376" i="5"/>
  <c r="Q376" i="5"/>
  <c r="K376" i="5"/>
  <c r="I376" i="5"/>
  <c r="C376" i="5"/>
  <c r="B376" i="5"/>
  <c r="U375" i="5"/>
  <c r="T375" i="5"/>
  <c r="Q375" i="5"/>
  <c r="K375" i="5"/>
  <c r="I375" i="5"/>
  <c r="C375" i="5"/>
  <c r="B375" i="5"/>
  <c r="U374" i="5"/>
  <c r="T374" i="5"/>
  <c r="Q374" i="5"/>
  <c r="K374" i="5"/>
  <c r="I374" i="5"/>
  <c r="C374" i="5"/>
  <c r="B374" i="5"/>
  <c r="U373" i="5"/>
  <c r="T373" i="5"/>
  <c r="Q373" i="5"/>
  <c r="K373" i="5"/>
  <c r="I373" i="5"/>
  <c r="C373" i="5"/>
  <c r="B373" i="5"/>
  <c r="U372" i="5"/>
  <c r="T372" i="5"/>
  <c r="Q372" i="5"/>
  <c r="K372" i="5"/>
  <c r="I372" i="5"/>
  <c r="C372" i="5"/>
  <c r="B372" i="5"/>
  <c r="U371" i="5"/>
  <c r="T371" i="5"/>
  <c r="Q371" i="5"/>
  <c r="K371" i="5"/>
  <c r="I371" i="5"/>
  <c r="C371" i="5"/>
  <c r="B371" i="5"/>
  <c r="U370" i="5"/>
  <c r="T370" i="5"/>
  <c r="Q370" i="5"/>
  <c r="K370" i="5"/>
  <c r="I370" i="5"/>
  <c r="C370" i="5"/>
  <c r="B370" i="5"/>
  <c r="U369" i="5"/>
  <c r="T369" i="5"/>
  <c r="Q369" i="5"/>
  <c r="K369" i="5"/>
  <c r="I369" i="5"/>
  <c r="C369" i="5"/>
  <c r="B369" i="5"/>
  <c r="U368" i="5"/>
  <c r="T368" i="5"/>
  <c r="Q368" i="5"/>
  <c r="K368" i="5"/>
  <c r="I368" i="5"/>
  <c r="C368" i="5"/>
  <c r="B368" i="5"/>
  <c r="U367" i="5"/>
  <c r="T367" i="5"/>
  <c r="Q367" i="5"/>
  <c r="K367" i="5"/>
  <c r="I367" i="5"/>
  <c r="C367" i="5"/>
  <c r="B367" i="5"/>
  <c r="U366" i="5"/>
  <c r="T366" i="5"/>
  <c r="Q366" i="5"/>
  <c r="K366" i="5"/>
  <c r="I366" i="5"/>
  <c r="C366" i="5"/>
  <c r="B366" i="5"/>
  <c r="U365" i="5"/>
  <c r="T365" i="5"/>
  <c r="Q365" i="5"/>
  <c r="K365" i="5"/>
  <c r="I365" i="5"/>
  <c r="C365" i="5"/>
  <c r="B365" i="5"/>
  <c r="U364" i="5"/>
  <c r="T364" i="5"/>
  <c r="Q364" i="5"/>
  <c r="K364" i="5"/>
  <c r="I364" i="5"/>
  <c r="C364" i="5"/>
  <c r="B364" i="5"/>
  <c r="U363" i="5"/>
  <c r="T363" i="5"/>
  <c r="Q363" i="5"/>
  <c r="K363" i="5"/>
  <c r="I363" i="5"/>
  <c r="C363" i="5"/>
  <c r="B363" i="5"/>
  <c r="U362" i="5"/>
  <c r="T362" i="5"/>
  <c r="Q362" i="5"/>
  <c r="K362" i="5"/>
  <c r="I362" i="5"/>
  <c r="C362" i="5"/>
  <c r="B362" i="5"/>
  <c r="U361" i="5"/>
  <c r="T361" i="5"/>
  <c r="Q361" i="5"/>
  <c r="K361" i="5"/>
  <c r="I361" i="5"/>
  <c r="C361" i="5"/>
  <c r="B361" i="5"/>
  <c r="U360" i="5"/>
  <c r="T360" i="5"/>
  <c r="Q360" i="5"/>
  <c r="K360" i="5"/>
  <c r="I360" i="5"/>
  <c r="C360" i="5"/>
  <c r="B360" i="5"/>
  <c r="U359" i="5"/>
  <c r="T359" i="5"/>
  <c r="Q359" i="5"/>
  <c r="K359" i="5"/>
  <c r="I359" i="5"/>
  <c r="C359" i="5"/>
  <c r="B359" i="5"/>
  <c r="U358" i="5"/>
  <c r="T358" i="5"/>
  <c r="Q358" i="5"/>
  <c r="K358" i="5"/>
  <c r="I358" i="5"/>
  <c r="C358" i="5"/>
  <c r="B358" i="5"/>
  <c r="U357" i="5"/>
  <c r="T357" i="5"/>
  <c r="Q357" i="5"/>
  <c r="K357" i="5"/>
  <c r="I357" i="5"/>
  <c r="C357" i="5"/>
  <c r="B357" i="5"/>
  <c r="U356" i="5"/>
  <c r="T356" i="5"/>
  <c r="Q356" i="5"/>
  <c r="K356" i="5"/>
  <c r="I356" i="5"/>
  <c r="C356" i="5"/>
  <c r="B356" i="5"/>
  <c r="U355" i="5"/>
  <c r="T355" i="5"/>
  <c r="Q355" i="5"/>
  <c r="K355" i="5"/>
  <c r="I355" i="5"/>
  <c r="C355" i="5"/>
  <c r="B355" i="5"/>
  <c r="U354" i="5"/>
  <c r="T354" i="5"/>
  <c r="Q354" i="5"/>
  <c r="K354" i="5"/>
  <c r="I354" i="5"/>
  <c r="C354" i="5"/>
  <c r="B354" i="5"/>
  <c r="U353" i="5"/>
  <c r="T353" i="5"/>
  <c r="Q353" i="5"/>
  <c r="K353" i="5"/>
  <c r="I353" i="5"/>
  <c r="C353" i="5"/>
  <c r="B353" i="5"/>
  <c r="U352" i="5"/>
  <c r="T352" i="5"/>
  <c r="Q352" i="5"/>
  <c r="K352" i="5"/>
  <c r="I352" i="5"/>
  <c r="C352" i="5"/>
  <c r="B352" i="5"/>
  <c r="U351" i="5"/>
  <c r="T351" i="5"/>
  <c r="Q351" i="5"/>
  <c r="K351" i="5"/>
  <c r="I351" i="5"/>
  <c r="C351" i="5"/>
  <c r="B351" i="5"/>
  <c r="U350" i="5"/>
  <c r="T350" i="5"/>
  <c r="Q350" i="5"/>
  <c r="K350" i="5"/>
  <c r="I350" i="5"/>
  <c r="C350" i="5"/>
  <c r="B350" i="5"/>
  <c r="U349" i="5"/>
  <c r="T349" i="5"/>
  <c r="Q349" i="5"/>
  <c r="K349" i="5"/>
  <c r="I349" i="5"/>
  <c r="C349" i="5"/>
  <c r="B349" i="5"/>
  <c r="U348" i="5"/>
  <c r="T348" i="5"/>
  <c r="Q348" i="5"/>
  <c r="K348" i="5"/>
  <c r="I348" i="5"/>
  <c r="C348" i="5"/>
  <c r="B348" i="5"/>
  <c r="U347" i="5"/>
  <c r="T347" i="5"/>
  <c r="Q347" i="5"/>
  <c r="K347" i="5"/>
  <c r="I347" i="5"/>
  <c r="C347" i="5"/>
  <c r="B347" i="5"/>
  <c r="U346" i="5"/>
  <c r="T346" i="5"/>
  <c r="Q346" i="5"/>
  <c r="K346" i="5"/>
  <c r="I346" i="5"/>
  <c r="C346" i="5"/>
  <c r="B346" i="5"/>
  <c r="U345" i="5"/>
  <c r="T345" i="5"/>
  <c r="Q345" i="5"/>
  <c r="K345" i="5"/>
  <c r="I345" i="5"/>
  <c r="C345" i="5"/>
  <c r="B345" i="5"/>
  <c r="U344" i="5"/>
  <c r="T344" i="5"/>
  <c r="Q344" i="5"/>
  <c r="K344" i="5"/>
  <c r="I344" i="5"/>
  <c r="C344" i="5"/>
  <c r="B344" i="5"/>
  <c r="U343" i="5"/>
  <c r="T343" i="5"/>
  <c r="Q343" i="5"/>
  <c r="K343" i="5"/>
  <c r="I343" i="5"/>
  <c r="C343" i="5"/>
  <c r="B343" i="5"/>
  <c r="U342" i="5"/>
  <c r="T342" i="5"/>
  <c r="Q342" i="5"/>
  <c r="K342" i="5"/>
  <c r="I342" i="5"/>
  <c r="C342" i="5"/>
  <c r="B342" i="5"/>
  <c r="U341" i="5"/>
  <c r="T341" i="5"/>
  <c r="Q341" i="5"/>
  <c r="K341" i="5"/>
  <c r="I341" i="5"/>
  <c r="C341" i="5"/>
  <c r="B341" i="5"/>
  <c r="U340" i="5"/>
  <c r="T340" i="5"/>
  <c r="Q340" i="5"/>
  <c r="K340" i="5"/>
  <c r="I340" i="5"/>
  <c r="C340" i="5"/>
  <c r="B340" i="5"/>
  <c r="U339" i="5"/>
  <c r="T339" i="5"/>
  <c r="Q339" i="5"/>
  <c r="K339" i="5"/>
  <c r="I339" i="5"/>
  <c r="C339" i="5"/>
  <c r="B339" i="5"/>
  <c r="U338" i="5"/>
  <c r="T338" i="5"/>
  <c r="Q338" i="5"/>
  <c r="K338" i="5"/>
  <c r="I338" i="5"/>
  <c r="C338" i="5"/>
  <c r="B338" i="5"/>
  <c r="U337" i="5"/>
  <c r="T337" i="5"/>
  <c r="Q337" i="5"/>
  <c r="K337" i="5"/>
  <c r="I337" i="5"/>
  <c r="C337" i="5"/>
  <c r="B337" i="5"/>
  <c r="U336" i="5"/>
  <c r="T336" i="5"/>
  <c r="Q336" i="5"/>
  <c r="K336" i="5"/>
  <c r="I336" i="5"/>
  <c r="C336" i="5"/>
  <c r="B336" i="5"/>
  <c r="U335" i="5"/>
  <c r="T335" i="5"/>
  <c r="Q335" i="5"/>
  <c r="K335" i="5"/>
  <c r="I335" i="5"/>
  <c r="C335" i="5"/>
  <c r="B335" i="5"/>
  <c r="U334" i="5"/>
  <c r="T334" i="5"/>
  <c r="Q334" i="5"/>
  <c r="K334" i="5"/>
  <c r="I334" i="5"/>
  <c r="C334" i="5"/>
  <c r="B334" i="5"/>
  <c r="U333" i="5"/>
  <c r="T333" i="5"/>
  <c r="Q333" i="5"/>
  <c r="K333" i="5"/>
  <c r="I333" i="5"/>
  <c r="C333" i="5"/>
  <c r="B333" i="5"/>
  <c r="U332" i="5"/>
  <c r="T332" i="5"/>
  <c r="Q332" i="5"/>
  <c r="K332" i="5"/>
  <c r="I332" i="5"/>
  <c r="C332" i="5"/>
  <c r="B332" i="5"/>
  <c r="U331" i="5"/>
  <c r="T331" i="5"/>
  <c r="Q331" i="5"/>
  <c r="K331" i="5"/>
  <c r="I331" i="5"/>
  <c r="C331" i="5"/>
  <c r="B331" i="5"/>
  <c r="U330" i="5"/>
  <c r="T330" i="5"/>
  <c r="Q330" i="5"/>
  <c r="K330" i="5"/>
  <c r="I330" i="5"/>
  <c r="C330" i="5"/>
  <c r="B330" i="5"/>
  <c r="U329" i="5"/>
  <c r="T329" i="5"/>
  <c r="Q329" i="5"/>
  <c r="K329" i="5"/>
  <c r="I329" i="5"/>
  <c r="C329" i="5"/>
  <c r="B329" i="5"/>
  <c r="U328" i="5"/>
  <c r="T328" i="5"/>
  <c r="Q328" i="5"/>
  <c r="K328" i="5"/>
  <c r="I328" i="5"/>
  <c r="C328" i="5"/>
  <c r="B328" i="5"/>
  <c r="U327" i="5"/>
  <c r="T327" i="5"/>
  <c r="Q327" i="5"/>
  <c r="K327" i="5"/>
  <c r="I327" i="5"/>
  <c r="C327" i="5"/>
  <c r="B327" i="5"/>
  <c r="U326" i="5"/>
  <c r="T326" i="5"/>
  <c r="Q326" i="5"/>
  <c r="K326" i="5"/>
  <c r="I326" i="5"/>
  <c r="C326" i="5"/>
  <c r="B326" i="5"/>
  <c r="U325" i="5"/>
  <c r="T325" i="5"/>
  <c r="Q325" i="5"/>
  <c r="K325" i="5"/>
  <c r="I325" i="5"/>
  <c r="C325" i="5"/>
  <c r="B325" i="5"/>
  <c r="U324" i="5"/>
  <c r="T324" i="5"/>
  <c r="Q324" i="5"/>
  <c r="K324" i="5"/>
  <c r="I324" i="5"/>
  <c r="C324" i="5"/>
  <c r="B324" i="5"/>
  <c r="U323" i="5"/>
  <c r="T323" i="5"/>
  <c r="Q323" i="5"/>
  <c r="K323" i="5"/>
  <c r="I323" i="5"/>
  <c r="C323" i="5"/>
  <c r="B323" i="5"/>
  <c r="U322" i="5"/>
  <c r="T322" i="5"/>
  <c r="Q322" i="5"/>
  <c r="K322" i="5"/>
  <c r="I322" i="5"/>
  <c r="C322" i="5"/>
  <c r="B322" i="5"/>
  <c r="U321" i="5"/>
  <c r="T321" i="5"/>
  <c r="Q321" i="5"/>
  <c r="K321" i="5"/>
  <c r="I321" i="5"/>
  <c r="C321" i="5"/>
  <c r="B321" i="5"/>
  <c r="U320" i="5"/>
  <c r="T320" i="5"/>
  <c r="Q320" i="5"/>
  <c r="K320" i="5"/>
  <c r="I320" i="5"/>
  <c r="C320" i="5"/>
  <c r="B320" i="5"/>
  <c r="U319" i="5"/>
  <c r="T319" i="5"/>
  <c r="Q319" i="5"/>
  <c r="K319" i="5"/>
  <c r="I319" i="5"/>
  <c r="C319" i="5"/>
  <c r="B319" i="5"/>
  <c r="U318" i="5"/>
  <c r="T318" i="5"/>
  <c r="Q318" i="5"/>
  <c r="K318" i="5"/>
  <c r="I318" i="5"/>
  <c r="C318" i="5"/>
  <c r="B318" i="5"/>
  <c r="U317" i="5"/>
  <c r="T317" i="5"/>
  <c r="Q317" i="5"/>
  <c r="K317" i="5"/>
  <c r="I317" i="5"/>
  <c r="C317" i="5"/>
  <c r="B317" i="5"/>
  <c r="U316" i="5"/>
  <c r="T316" i="5"/>
  <c r="Q316" i="5"/>
  <c r="K316" i="5"/>
  <c r="I316" i="5"/>
  <c r="C316" i="5"/>
  <c r="B316" i="5"/>
  <c r="U315" i="5"/>
  <c r="T315" i="5"/>
  <c r="Q315" i="5"/>
  <c r="K315" i="5"/>
  <c r="I315" i="5"/>
  <c r="C315" i="5"/>
  <c r="B315" i="5"/>
  <c r="U314" i="5"/>
  <c r="T314" i="5"/>
  <c r="Q314" i="5"/>
  <c r="K314" i="5"/>
  <c r="I314" i="5"/>
  <c r="C314" i="5"/>
  <c r="B314" i="5"/>
  <c r="U313" i="5"/>
  <c r="T313" i="5"/>
  <c r="Q313" i="5"/>
  <c r="K313" i="5"/>
  <c r="I313" i="5"/>
  <c r="C313" i="5"/>
  <c r="B313" i="5"/>
  <c r="U312" i="5"/>
  <c r="T312" i="5"/>
  <c r="Q312" i="5"/>
  <c r="K312" i="5"/>
  <c r="I312" i="5"/>
  <c r="C312" i="5"/>
  <c r="B312" i="5"/>
  <c r="U311" i="5"/>
  <c r="T311" i="5"/>
  <c r="Q311" i="5"/>
  <c r="K311" i="5"/>
  <c r="I311" i="5"/>
  <c r="C311" i="5"/>
  <c r="B311" i="5"/>
  <c r="U310" i="5"/>
  <c r="T310" i="5"/>
  <c r="Q310" i="5"/>
  <c r="K310" i="5"/>
  <c r="I310" i="5"/>
  <c r="C310" i="5"/>
  <c r="B310" i="5"/>
  <c r="U309" i="5"/>
  <c r="T309" i="5"/>
  <c r="Q309" i="5"/>
  <c r="K309" i="5"/>
  <c r="I309" i="5"/>
  <c r="C309" i="5"/>
  <c r="B309" i="5"/>
  <c r="U308" i="5"/>
  <c r="T308" i="5"/>
  <c r="Q308" i="5"/>
  <c r="K308" i="5"/>
  <c r="I308" i="5"/>
  <c r="C308" i="5"/>
  <c r="B308" i="5"/>
  <c r="U307" i="5"/>
  <c r="T307" i="5"/>
  <c r="Q307" i="5"/>
  <c r="K307" i="5"/>
  <c r="I307" i="5"/>
  <c r="C307" i="5"/>
  <c r="B307" i="5"/>
  <c r="U306" i="5"/>
  <c r="T306" i="5"/>
  <c r="Q306" i="5"/>
  <c r="K306" i="5"/>
  <c r="I306" i="5"/>
  <c r="C306" i="5"/>
  <c r="B306" i="5"/>
  <c r="U305" i="5"/>
  <c r="T305" i="5"/>
  <c r="Q305" i="5"/>
  <c r="K305" i="5"/>
  <c r="I305" i="5"/>
  <c r="C305" i="5"/>
  <c r="B305" i="5"/>
  <c r="U304" i="5"/>
  <c r="T304" i="5"/>
  <c r="Q304" i="5"/>
  <c r="K304" i="5"/>
  <c r="I304" i="5"/>
  <c r="C304" i="5"/>
  <c r="B304" i="5"/>
  <c r="U303" i="5"/>
  <c r="T303" i="5"/>
  <c r="Q303" i="5"/>
  <c r="K303" i="5"/>
  <c r="I303" i="5"/>
  <c r="C303" i="5"/>
  <c r="B303" i="5"/>
  <c r="U302" i="5"/>
  <c r="T302" i="5"/>
  <c r="Q302" i="5"/>
  <c r="K302" i="5"/>
  <c r="I302" i="5"/>
  <c r="C302" i="5"/>
  <c r="B302" i="5"/>
  <c r="U301" i="5"/>
  <c r="T301" i="5"/>
  <c r="Q301" i="5"/>
  <c r="K301" i="5"/>
  <c r="I301" i="5"/>
  <c r="C301" i="5"/>
  <c r="B301" i="5"/>
  <c r="U300" i="5"/>
  <c r="T300" i="5"/>
  <c r="Q300" i="5"/>
  <c r="K300" i="5"/>
  <c r="I300" i="5"/>
  <c r="C300" i="5"/>
  <c r="B300" i="5"/>
  <c r="U299" i="5"/>
  <c r="T299" i="5"/>
  <c r="Q299" i="5"/>
  <c r="K299" i="5"/>
  <c r="I299" i="5"/>
  <c r="C299" i="5"/>
  <c r="B299" i="5"/>
  <c r="U298" i="5"/>
  <c r="T298" i="5"/>
  <c r="Q298" i="5"/>
  <c r="K298" i="5"/>
  <c r="I298" i="5"/>
  <c r="C298" i="5"/>
  <c r="B298" i="5"/>
  <c r="U297" i="5"/>
  <c r="T297" i="5"/>
  <c r="Q297" i="5"/>
  <c r="K297" i="5"/>
  <c r="I297" i="5"/>
  <c r="C297" i="5"/>
  <c r="B297" i="5"/>
  <c r="U296" i="5"/>
  <c r="T296" i="5"/>
  <c r="Q296" i="5"/>
  <c r="K296" i="5"/>
  <c r="I296" i="5"/>
  <c r="C296" i="5"/>
  <c r="B296" i="5"/>
  <c r="U295" i="5"/>
  <c r="T295" i="5"/>
  <c r="Q295" i="5"/>
  <c r="K295" i="5"/>
  <c r="I295" i="5"/>
  <c r="C295" i="5"/>
  <c r="B295" i="5"/>
  <c r="U294" i="5"/>
  <c r="T294" i="5"/>
  <c r="Q294" i="5"/>
  <c r="K294" i="5"/>
  <c r="I294" i="5"/>
  <c r="C294" i="5"/>
  <c r="B294" i="5"/>
  <c r="U293" i="5"/>
  <c r="T293" i="5"/>
  <c r="Q293" i="5"/>
  <c r="K293" i="5"/>
  <c r="I293" i="5"/>
  <c r="C293" i="5"/>
  <c r="B293" i="5"/>
  <c r="U292" i="5"/>
  <c r="T292" i="5"/>
  <c r="Q292" i="5"/>
  <c r="K292" i="5"/>
  <c r="I292" i="5"/>
  <c r="C292" i="5"/>
  <c r="B292" i="5"/>
  <c r="U291" i="5"/>
  <c r="T291" i="5"/>
  <c r="Q291" i="5"/>
  <c r="K291" i="5"/>
  <c r="I291" i="5"/>
  <c r="C291" i="5"/>
  <c r="B291" i="5"/>
  <c r="U290" i="5"/>
  <c r="T290" i="5"/>
  <c r="Q290" i="5"/>
  <c r="K290" i="5"/>
  <c r="I290" i="5"/>
  <c r="C290" i="5"/>
  <c r="B290" i="5"/>
  <c r="U289" i="5"/>
  <c r="T289" i="5"/>
  <c r="Q289" i="5"/>
  <c r="K289" i="5"/>
  <c r="I289" i="5"/>
  <c r="C289" i="5"/>
  <c r="B289" i="5"/>
  <c r="U288" i="5"/>
  <c r="T288" i="5"/>
  <c r="Q288" i="5"/>
  <c r="K288" i="5"/>
  <c r="I288" i="5"/>
  <c r="C288" i="5"/>
  <c r="B288" i="5"/>
  <c r="U287" i="5"/>
  <c r="T287" i="5"/>
  <c r="Q287" i="5"/>
  <c r="K287" i="5"/>
  <c r="I287" i="5"/>
  <c r="C287" i="5"/>
  <c r="B287" i="5"/>
  <c r="U286" i="5"/>
  <c r="T286" i="5"/>
  <c r="Q286" i="5"/>
  <c r="K286" i="5"/>
  <c r="I286" i="5"/>
  <c r="C286" i="5"/>
  <c r="B286" i="5"/>
  <c r="U285" i="5"/>
  <c r="T285" i="5"/>
  <c r="Q285" i="5"/>
  <c r="K285" i="5"/>
  <c r="I285" i="5"/>
  <c r="C285" i="5"/>
  <c r="B285" i="5"/>
  <c r="U284" i="5"/>
  <c r="T284" i="5"/>
  <c r="Q284" i="5"/>
  <c r="K284" i="5"/>
  <c r="I284" i="5"/>
  <c r="C284" i="5"/>
  <c r="B284" i="5"/>
  <c r="U283" i="5"/>
  <c r="T283" i="5"/>
  <c r="Q283" i="5"/>
  <c r="K283" i="5"/>
  <c r="I283" i="5"/>
  <c r="C283" i="5"/>
  <c r="B283" i="5"/>
  <c r="U282" i="5"/>
  <c r="T282" i="5"/>
  <c r="Q282" i="5"/>
  <c r="K282" i="5"/>
  <c r="I282" i="5"/>
  <c r="C282" i="5"/>
  <c r="B282" i="5"/>
  <c r="U281" i="5"/>
  <c r="T281" i="5"/>
  <c r="Q281" i="5"/>
  <c r="K281" i="5"/>
  <c r="I281" i="5"/>
  <c r="C281" i="5"/>
  <c r="B281" i="5"/>
  <c r="U280" i="5"/>
  <c r="T280" i="5"/>
  <c r="Q280" i="5"/>
  <c r="K280" i="5"/>
  <c r="I280" i="5"/>
  <c r="C280" i="5"/>
  <c r="B280" i="5"/>
  <c r="U279" i="5"/>
  <c r="T279" i="5"/>
  <c r="Q279" i="5"/>
  <c r="K279" i="5"/>
  <c r="I279" i="5"/>
  <c r="C279" i="5"/>
  <c r="B279" i="5"/>
  <c r="U278" i="5"/>
  <c r="T278" i="5"/>
  <c r="Q278" i="5"/>
  <c r="K278" i="5"/>
  <c r="I278" i="5"/>
  <c r="C278" i="5"/>
  <c r="B278" i="5"/>
  <c r="U277" i="5"/>
  <c r="T277" i="5"/>
  <c r="Q277" i="5"/>
  <c r="K277" i="5"/>
  <c r="I277" i="5"/>
  <c r="C277" i="5"/>
  <c r="B277" i="5"/>
  <c r="U276" i="5"/>
  <c r="T276" i="5"/>
  <c r="Q276" i="5"/>
  <c r="K276" i="5"/>
  <c r="I276" i="5"/>
  <c r="C276" i="5"/>
  <c r="B276" i="5"/>
  <c r="U275" i="5"/>
  <c r="T275" i="5"/>
  <c r="Q275" i="5"/>
  <c r="K275" i="5"/>
  <c r="I275" i="5"/>
  <c r="C275" i="5"/>
  <c r="B275" i="5"/>
  <c r="U274" i="5"/>
  <c r="T274" i="5"/>
  <c r="Q274" i="5"/>
  <c r="K274" i="5"/>
  <c r="I274" i="5"/>
  <c r="C274" i="5"/>
  <c r="B274" i="5"/>
  <c r="U273" i="5"/>
  <c r="T273" i="5"/>
  <c r="Q273" i="5"/>
  <c r="K273" i="5"/>
  <c r="I273" i="5"/>
  <c r="C273" i="5"/>
  <c r="B273" i="5"/>
  <c r="U272" i="5"/>
  <c r="T272" i="5"/>
  <c r="Q272" i="5"/>
  <c r="K272" i="5"/>
  <c r="I272" i="5"/>
  <c r="C272" i="5"/>
  <c r="B272" i="5"/>
  <c r="U271" i="5"/>
  <c r="T271" i="5"/>
  <c r="Q271" i="5"/>
  <c r="K271" i="5"/>
  <c r="I271" i="5"/>
  <c r="C271" i="5"/>
  <c r="B271" i="5"/>
  <c r="U270" i="5"/>
  <c r="T270" i="5"/>
  <c r="Q270" i="5"/>
  <c r="K270" i="5"/>
  <c r="I270" i="5"/>
  <c r="C270" i="5"/>
  <c r="B270" i="5"/>
  <c r="U269" i="5"/>
  <c r="T269" i="5"/>
  <c r="Q269" i="5"/>
  <c r="K269" i="5"/>
  <c r="I269" i="5"/>
  <c r="C269" i="5"/>
  <c r="B269" i="5"/>
  <c r="U268" i="5"/>
  <c r="T268" i="5"/>
  <c r="Q268" i="5"/>
  <c r="K268" i="5"/>
  <c r="I268" i="5"/>
  <c r="C268" i="5"/>
  <c r="B268" i="5"/>
  <c r="U267" i="5"/>
  <c r="T267" i="5"/>
  <c r="Q267" i="5"/>
  <c r="K267" i="5"/>
  <c r="I267" i="5"/>
  <c r="C267" i="5"/>
  <c r="B267" i="5"/>
  <c r="U266" i="5"/>
  <c r="T266" i="5"/>
  <c r="Q266" i="5"/>
  <c r="K266" i="5"/>
  <c r="I266" i="5"/>
  <c r="C266" i="5"/>
  <c r="B266" i="5"/>
  <c r="U265" i="5"/>
  <c r="T265" i="5"/>
  <c r="Q265" i="5"/>
  <c r="K265" i="5"/>
  <c r="I265" i="5"/>
  <c r="C265" i="5"/>
  <c r="B265" i="5"/>
  <c r="U264" i="5"/>
  <c r="T264" i="5"/>
  <c r="Q264" i="5"/>
  <c r="K264" i="5"/>
  <c r="I264" i="5"/>
  <c r="C264" i="5"/>
  <c r="B264" i="5"/>
  <c r="U263" i="5"/>
  <c r="T263" i="5"/>
  <c r="Q263" i="5"/>
  <c r="K263" i="5"/>
  <c r="I263" i="5"/>
  <c r="C263" i="5"/>
  <c r="B263" i="5"/>
  <c r="U262" i="5"/>
  <c r="T262" i="5"/>
  <c r="Q262" i="5"/>
  <c r="K262" i="5"/>
  <c r="I262" i="5"/>
  <c r="C262" i="5"/>
  <c r="B262" i="5"/>
  <c r="U261" i="5"/>
  <c r="T261" i="5"/>
  <c r="Q261" i="5"/>
  <c r="K261" i="5"/>
  <c r="I261" i="5"/>
  <c r="C261" i="5"/>
  <c r="B261" i="5"/>
  <c r="U260" i="5"/>
  <c r="T260" i="5"/>
  <c r="Q260" i="5"/>
  <c r="K260" i="5"/>
  <c r="I260" i="5"/>
  <c r="C260" i="5"/>
  <c r="B260" i="5"/>
  <c r="U259" i="5"/>
  <c r="T259" i="5"/>
  <c r="Q259" i="5"/>
  <c r="K259" i="5"/>
  <c r="I259" i="5"/>
  <c r="C259" i="5"/>
  <c r="B259" i="5"/>
  <c r="U258" i="5"/>
  <c r="T258" i="5"/>
  <c r="Q258" i="5"/>
  <c r="K258" i="5"/>
  <c r="I258" i="5"/>
  <c r="C258" i="5"/>
  <c r="B258" i="5"/>
  <c r="U257" i="5"/>
  <c r="T257" i="5"/>
  <c r="Q257" i="5"/>
  <c r="K257" i="5"/>
  <c r="I257" i="5"/>
  <c r="C257" i="5"/>
  <c r="B257" i="5"/>
  <c r="U256" i="5"/>
  <c r="T256" i="5"/>
  <c r="Q256" i="5"/>
  <c r="K256" i="5"/>
  <c r="I256" i="5"/>
  <c r="C256" i="5"/>
  <c r="B256" i="5"/>
  <c r="U255" i="5"/>
  <c r="T255" i="5"/>
  <c r="Q255" i="5"/>
  <c r="K255" i="5"/>
  <c r="I255" i="5"/>
  <c r="C255" i="5"/>
  <c r="B255" i="5"/>
  <c r="U254" i="5"/>
  <c r="T254" i="5"/>
  <c r="Q254" i="5"/>
  <c r="K254" i="5"/>
  <c r="I254" i="5"/>
  <c r="C254" i="5"/>
  <c r="B254" i="5"/>
  <c r="U253" i="5"/>
  <c r="T253" i="5"/>
  <c r="Q253" i="5"/>
  <c r="K253" i="5"/>
  <c r="I253" i="5"/>
  <c r="C253" i="5"/>
  <c r="B253" i="5"/>
  <c r="U252" i="5"/>
  <c r="T252" i="5"/>
  <c r="Q252" i="5"/>
  <c r="K252" i="5"/>
  <c r="I252" i="5"/>
  <c r="C252" i="5"/>
  <c r="B252" i="5"/>
  <c r="U251" i="5"/>
  <c r="T251" i="5"/>
  <c r="Q251" i="5"/>
  <c r="K251" i="5"/>
  <c r="I251" i="5"/>
  <c r="C251" i="5"/>
  <c r="B251" i="5"/>
  <c r="P378" i="17"/>
  <c r="V378" i="17"/>
  <c r="D397" i="25"/>
  <c r="E397" i="25"/>
  <c r="K397" i="25"/>
  <c r="L397" i="25"/>
  <c r="M397" i="25"/>
  <c r="N397" i="25"/>
  <c r="O397" i="25"/>
  <c r="Q397" i="25"/>
  <c r="S397" i="25"/>
  <c r="T397" i="25"/>
  <c r="U397" i="25"/>
  <c r="V397" i="25"/>
  <c r="W397" i="25"/>
  <c r="Y397" i="25"/>
  <c r="Z397" i="25"/>
  <c r="AC397" i="25"/>
  <c r="D398" i="25"/>
  <c r="E398" i="25"/>
  <c r="K398" i="25"/>
  <c r="L398" i="25"/>
  <c r="M398" i="25"/>
  <c r="N398" i="25"/>
  <c r="O398" i="25"/>
  <c r="Q398" i="25"/>
  <c r="S398" i="25"/>
  <c r="T398" i="25"/>
  <c r="U398" i="25"/>
  <c r="V398" i="25"/>
  <c r="W398" i="25"/>
  <c r="Y398" i="25"/>
  <c r="Z398" i="25"/>
  <c r="AC398" i="25"/>
  <c r="D399" i="25"/>
  <c r="E399" i="25"/>
  <c r="K399" i="25"/>
  <c r="L399" i="25"/>
  <c r="M399" i="25"/>
  <c r="N399" i="25"/>
  <c r="O399" i="25"/>
  <c r="Q399" i="25"/>
  <c r="S399" i="25"/>
  <c r="T399" i="25"/>
  <c r="U399" i="25"/>
  <c r="V399" i="25"/>
  <c r="W399" i="25"/>
  <c r="Y399" i="25"/>
  <c r="Z399" i="25"/>
  <c r="AC399" i="25"/>
  <c r="D400" i="25"/>
  <c r="E400" i="25"/>
  <c r="K400" i="25"/>
  <c r="L400" i="25"/>
  <c r="M400" i="25"/>
  <c r="N400" i="25"/>
  <c r="O400" i="25"/>
  <c r="Q400" i="25"/>
  <c r="S400" i="25"/>
  <c r="T400" i="25"/>
  <c r="U400" i="25"/>
  <c r="V400" i="25"/>
  <c r="W400" i="25"/>
  <c r="Y400" i="25"/>
  <c r="Z400" i="25"/>
  <c r="AC400" i="25"/>
  <c r="D401" i="25"/>
  <c r="E401" i="25"/>
  <c r="K401" i="25"/>
  <c r="L401" i="25"/>
  <c r="M401" i="25"/>
  <c r="N401" i="25"/>
  <c r="O401" i="25"/>
  <c r="Q401" i="25"/>
  <c r="S401" i="25"/>
  <c r="T401" i="25"/>
  <c r="U401" i="25"/>
  <c r="V401" i="25"/>
  <c r="W401" i="25"/>
  <c r="Y401" i="25"/>
  <c r="Z401" i="25"/>
  <c r="AC401" i="25"/>
  <c r="D402" i="25"/>
  <c r="E402" i="25"/>
  <c r="K402" i="25"/>
  <c r="L402" i="25"/>
  <c r="M402" i="25"/>
  <c r="N402" i="25"/>
  <c r="O402" i="25"/>
  <c r="Q402" i="25"/>
  <c r="S402" i="25"/>
  <c r="T402" i="25"/>
  <c r="U402" i="25"/>
  <c r="V402" i="25"/>
  <c r="W402" i="25"/>
  <c r="Y402" i="25"/>
  <c r="Z402" i="25"/>
  <c r="AC402" i="25"/>
  <c r="D403" i="25"/>
  <c r="E403" i="25"/>
  <c r="K403" i="25"/>
  <c r="L403" i="25"/>
  <c r="M403" i="25"/>
  <c r="N403" i="25"/>
  <c r="O403" i="25"/>
  <c r="Q403" i="25"/>
  <c r="S403" i="25"/>
  <c r="T403" i="25"/>
  <c r="U403" i="25"/>
  <c r="V403" i="25"/>
  <c r="W403" i="25"/>
  <c r="Y403" i="25"/>
  <c r="Z403" i="25"/>
  <c r="AC403" i="25"/>
  <c r="D404" i="25"/>
  <c r="E404" i="25"/>
  <c r="K404" i="25"/>
  <c r="L404" i="25"/>
  <c r="M404" i="25"/>
  <c r="N404" i="25"/>
  <c r="O404" i="25"/>
  <c r="Q404" i="25"/>
  <c r="S404" i="25"/>
  <c r="T404" i="25"/>
  <c r="U404" i="25"/>
  <c r="V404" i="25"/>
  <c r="W404" i="25"/>
  <c r="Y404" i="25"/>
  <c r="Z404" i="25"/>
  <c r="AC404" i="25"/>
  <c r="D405" i="25"/>
  <c r="E405" i="25"/>
  <c r="K405" i="25"/>
  <c r="L405" i="25"/>
  <c r="M405" i="25"/>
  <c r="N405" i="25"/>
  <c r="O405" i="25"/>
  <c r="Q405" i="25"/>
  <c r="S405" i="25"/>
  <c r="T405" i="25"/>
  <c r="U405" i="25"/>
  <c r="V405" i="25"/>
  <c r="W405" i="25"/>
  <c r="Y405" i="25"/>
  <c r="Z405" i="25"/>
  <c r="AC405" i="25"/>
  <c r="D406" i="25"/>
  <c r="E406" i="25"/>
  <c r="K406" i="25"/>
  <c r="L406" i="25"/>
  <c r="M406" i="25"/>
  <c r="N406" i="25"/>
  <c r="O406" i="25"/>
  <c r="Q406" i="25"/>
  <c r="S406" i="25"/>
  <c r="T406" i="25"/>
  <c r="U406" i="25"/>
  <c r="V406" i="25"/>
  <c r="W406" i="25"/>
  <c r="Y406" i="25"/>
  <c r="Z406" i="25"/>
  <c r="AC406" i="25"/>
  <c r="D407" i="25"/>
  <c r="E407" i="25"/>
  <c r="K407" i="25"/>
  <c r="L407" i="25"/>
  <c r="M407" i="25"/>
  <c r="N407" i="25"/>
  <c r="O407" i="25"/>
  <c r="Q407" i="25"/>
  <c r="S407" i="25"/>
  <c r="T407" i="25"/>
  <c r="U407" i="25"/>
  <c r="V407" i="25"/>
  <c r="W407" i="25"/>
  <c r="Y407" i="25"/>
  <c r="Z407" i="25"/>
  <c r="AC407" i="25"/>
  <c r="D408" i="25"/>
  <c r="E408" i="25"/>
  <c r="K408" i="25"/>
  <c r="L408" i="25"/>
  <c r="M408" i="25"/>
  <c r="N408" i="25"/>
  <c r="O408" i="25"/>
  <c r="Q408" i="25"/>
  <c r="S408" i="25"/>
  <c r="T408" i="25"/>
  <c r="U408" i="25"/>
  <c r="V408" i="25"/>
  <c r="W408" i="25"/>
  <c r="Y408" i="25"/>
  <c r="Z408" i="25"/>
  <c r="AC408" i="25"/>
  <c r="D409" i="25"/>
  <c r="E409" i="25"/>
  <c r="K409" i="25"/>
  <c r="L409" i="25"/>
  <c r="M409" i="25"/>
  <c r="N409" i="25"/>
  <c r="O409" i="25"/>
  <c r="Q409" i="25"/>
  <c r="S409" i="25"/>
  <c r="T409" i="25"/>
  <c r="U409" i="25"/>
  <c r="V409" i="25"/>
  <c r="W409" i="25"/>
  <c r="Y409" i="25"/>
  <c r="Z409" i="25"/>
  <c r="AC409" i="25"/>
  <c r="D410" i="25"/>
  <c r="E410" i="25"/>
  <c r="K410" i="25"/>
  <c r="L410" i="25"/>
  <c r="M410" i="25"/>
  <c r="N410" i="25"/>
  <c r="O410" i="25"/>
  <c r="Q410" i="25"/>
  <c r="S410" i="25"/>
  <c r="T410" i="25"/>
  <c r="U410" i="25"/>
  <c r="V410" i="25"/>
  <c r="W410" i="25"/>
  <c r="Y410" i="25"/>
  <c r="Z410" i="25"/>
  <c r="AC410" i="25"/>
  <c r="D411" i="25"/>
  <c r="E411" i="25"/>
  <c r="K411" i="25"/>
  <c r="L411" i="25"/>
  <c r="M411" i="25"/>
  <c r="N411" i="25"/>
  <c r="O411" i="25"/>
  <c r="Q411" i="25"/>
  <c r="S411" i="25"/>
  <c r="T411" i="25"/>
  <c r="U411" i="25"/>
  <c r="V411" i="25"/>
  <c r="W411" i="25"/>
  <c r="Y411" i="25"/>
  <c r="Z411" i="25"/>
  <c r="AC411" i="25"/>
  <c r="D412" i="25"/>
  <c r="E412" i="25"/>
  <c r="K412" i="25"/>
  <c r="L412" i="25"/>
  <c r="M412" i="25"/>
  <c r="N412" i="25"/>
  <c r="O412" i="25"/>
  <c r="Q412" i="25"/>
  <c r="S412" i="25"/>
  <c r="T412" i="25"/>
  <c r="U412" i="25"/>
  <c r="V412" i="25"/>
  <c r="W412" i="25"/>
  <c r="Y412" i="25"/>
  <c r="Z412" i="25"/>
  <c r="AC412" i="25"/>
  <c r="D413" i="25"/>
  <c r="E413" i="25"/>
  <c r="K413" i="25"/>
  <c r="L413" i="25"/>
  <c r="M413" i="25"/>
  <c r="N413" i="25"/>
  <c r="O413" i="25"/>
  <c r="Q413" i="25"/>
  <c r="S413" i="25"/>
  <c r="T413" i="25"/>
  <c r="U413" i="25"/>
  <c r="V413" i="25"/>
  <c r="W413" i="25"/>
  <c r="Y413" i="25"/>
  <c r="Z413" i="25"/>
  <c r="AC413" i="25"/>
  <c r="D414" i="25"/>
  <c r="E414" i="25"/>
  <c r="K414" i="25"/>
  <c r="L414" i="25"/>
  <c r="M414" i="25"/>
  <c r="N414" i="25"/>
  <c r="O414" i="25"/>
  <c r="Q414" i="25"/>
  <c r="S414" i="25"/>
  <c r="T414" i="25"/>
  <c r="U414" i="25"/>
  <c r="V414" i="25"/>
  <c r="W414" i="25"/>
  <c r="Y414" i="25"/>
  <c r="Z414" i="25"/>
  <c r="AC414" i="25"/>
  <c r="D415" i="25"/>
  <c r="E415" i="25"/>
  <c r="K415" i="25"/>
  <c r="L415" i="25"/>
  <c r="M415" i="25"/>
  <c r="N415" i="25"/>
  <c r="O415" i="25"/>
  <c r="Q415" i="25"/>
  <c r="S415" i="25"/>
  <c r="T415" i="25"/>
  <c r="U415" i="25"/>
  <c r="V415" i="25"/>
  <c r="W415" i="25"/>
  <c r="Y415" i="25"/>
  <c r="Z415" i="25"/>
  <c r="AC415" i="25"/>
  <c r="D416" i="25"/>
  <c r="E416" i="25"/>
  <c r="K416" i="25"/>
  <c r="L416" i="25"/>
  <c r="M416" i="25"/>
  <c r="N416" i="25"/>
  <c r="O416" i="25"/>
  <c r="Q416" i="25"/>
  <c r="S416" i="25"/>
  <c r="T416" i="25"/>
  <c r="U416" i="25"/>
  <c r="V416" i="25"/>
  <c r="W416" i="25"/>
  <c r="Y416" i="25"/>
  <c r="Z416" i="25"/>
  <c r="AC416" i="25"/>
  <c r="D417" i="25"/>
  <c r="B417" i="25" s="1"/>
  <c r="E417" i="25"/>
  <c r="K417" i="25"/>
  <c r="L417" i="25"/>
  <c r="M417" i="25"/>
  <c r="N417" i="25"/>
  <c r="O417" i="25"/>
  <c r="Q417" i="25"/>
  <c r="S417" i="25"/>
  <c r="T417" i="25"/>
  <c r="U417" i="25"/>
  <c r="V417" i="25"/>
  <c r="W417" i="25"/>
  <c r="Y417" i="25"/>
  <c r="Z417" i="25"/>
  <c r="AC417" i="25"/>
  <c r="D418" i="25"/>
  <c r="E418" i="25"/>
  <c r="K418" i="25"/>
  <c r="L418" i="25"/>
  <c r="M418" i="25"/>
  <c r="N418" i="25"/>
  <c r="O418" i="25"/>
  <c r="Q418" i="25"/>
  <c r="S418" i="25"/>
  <c r="T418" i="25"/>
  <c r="U418" i="25"/>
  <c r="V418" i="25"/>
  <c r="W418" i="25"/>
  <c r="Y418" i="25"/>
  <c r="Z418" i="25"/>
  <c r="AC418" i="25"/>
  <c r="D419" i="25"/>
  <c r="E419" i="25"/>
  <c r="K419" i="25"/>
  <c r="L419" i="25"/>
  <c r="M419" i="25"/>
  <c r="N419" i="25"/>
  <c r="O419" i="25"/>
  <c r="Q419" i="25"/>
  <c r="S419" i="25"/>
  <c r="T419" i="25"/>
  <c r="U419" i="25"/>
  <c r="V419" i="25"/>
  <c r="W419" i="25"/>
  <c r="Y419" i="25"/>
  <c r="Z419" i="25"/>
  <c r="AC419" i="25"/>
  <c r="D420" i="25"/>
  <c r="E420" i="25"/>
  <c r="K420" i="25"/>
  <c r="L420" i="25"/>
  <c r="M420" i="25"/>
  <c r="N420" i="25"/>
  <c r="O420" i="25"/>
  <c r="Q420" i="25"/>
  <c r="S420" i="25"/>
  <c r="T420" i="25"/>
  <c r="U420" i="25"/>
  <c r="V420" i="25"/>
  <c r="W420" i="25"/>
  <c r="Y420" i="25"/>
  <c r="Z420" i="25"/>
  <c r="AC420" i="25"/>
  <c r="D421" i="25"/>
  <c r="E421" i="25"/>
  <c r="K421" i="25"/>
  <c r="L421" i="25"/>
  <c r="M421" i="25"/>
  <c r="N421" i="25"/>
  <c r="O421" i="25"/>
  <c r="Q421" i="25"/>
  <c r="S421" i="25"/>
  <c r="T421" i="25"/>
  <c r="U421" i="25"/>
  <c r="V421" i="25"/>
  <c r="W421" i="25"/>
  <c r="Y421" i="25"/>
  <c r="Z421" i="25"/>
  <c r="AC421" i="25"/>
  <c r="D422" i="25"/>
  <c r="E422" i="25"/>
  <c r="K422" i="25"/>
  <c r="L422" i="25"/>
  <c r="M422" i="25"/>
  <c r="N422" i="25"/>
  <c r="O422" i="25"/>
  <c r="Q422" i="25"/>
  <c r="S422" i="25"/>
  <c r="T422" i="25"/>
  <c r="U422" i="25"/>
  <c r="V422" i="25"/>
  <c r="W422" i="25"/>
  <c r="Y422" i="25"/>
  <c r="Z422" i="25"/>
  <c r="AC422" i="25"/>
  <c r="D423" i="25"/>
  <c r="E423" i="25"/>
  <c r="K423" i="25"/>
  <c r="L423" i="25"/>
  <c r="M423" i="25"/>
  <c r="N423" i="25"/>
  <c r="O423" i="25"/>
  <c r="Q423" i="25"/>
  <c r="S423" i="25"/>
  <c r="T423" i="25"/>
  <c r="U423" i="25"/>
  <c r="V423" i="25"/>
  <c r="W423" i="25"/>
  <c r="Y423" i="25"/>
  <c r="Z423" i="25"/>
  <c r="AC423" i="25"/>
  <c r="D424" i="25"/>
  <c r="E424" i="25"/>
  <c r="K424" i="25"/>
  <c r="L424" i="25"/>
  <c r="M424" i="25"/>
  <c r="N424" i="25"/>
  <c r="O424" i="25"/>
  <c r="Q424" i="25"/>
  <c r="S424" i="25"/>
  <c r="T424" i="25"/>
  <c r="U424" i="25"/>
  <c r="V424" i="25"/>
  <c r="W424" i="25"/>
  <c r="Y424" i="25"/>
  <c r="Z424" i="25"/>
  <c r="AC424" i="25"/>
  <c r="D425" i="25"/>
  <c r="B425" i="25" s="1"/>
  <c r="E425" i="25"/>
  <c r="K425" i="25"/>
  <c r="L425" i="25"/>
  <c r="M425" i="25"/>
  <c r="N425" i="25"/>
  <c r="O425" i="25"/>
  <c r="Q425" i="25"/>
  <c r="S425" i="25"/>
  <c r="T425" i="25"/>
  <c r="U425" i="25"/>
  <c r="V425" i="25"/>
  <c r="W425" i="25"/>
  <c r="Y425" i="25"/>
  <c r="Z425" i="25"/>
  <c r="AC425" i="25"/>
  <c r="D426" i="25"/>
  <c r="E426" i="25"/>
  <c r="B426" i="25" s="1"/>
  <c r="K426" i="25"/>
  <c r="L426" i="25"/>
  <c r="M426" i="25"/>
  <c r="N426" i="25"/>
  <c r="O426" i="25"/>
  <c r="Q426" i="25"/>
  <c r="S426" i="25"/>
  <c r="T426" i="25"/>
  <c r="U426" i="25"/>
  <c r="V426" i="25"/>
  <c r="W426" i="25"/>
  <c r="Y426" i="25"/>
  <c r="Z426" i="25"/>
  <c r="AC426" i="25"/>
  <c r="D427" i="25"/>
  <c r="E427" i="25"/>
  <c r="K427" i="25"/>
  <c r="L427" i="25"/>
  <c r="M427" i="25"/>
  <c r="N427" i="25"/>
  <c r="O427" i="25"/>
  <c r="Q427" i="25"/>
  <c r="S427" i="25"/>
  <c r="T427" i="25"/>
  <c r="U427" i="25"/>
  <c r="V427" i="25"/>
  <c r="W427" i="25"/>
  <c r="Y427" i="25"/>
  <c r="Z427" i="25"/>
  <c r="AC427" i="25"/>
  <c r="D428" i="25"/>
  <c r="E428" i="25"/>
  <c r="K428" i="25"/>
  <c r="L428" i="25"/>
  <c r="M428" i="25"/>
  <c r="N428" i="25"/>
  <c r="O428" i="25"/>
  <c r="Q428" i="25"/>
  <c r="S428" i="25"/>
  <c r="T428" i="25"/>
  <c r="U428" i="25"/>
  <c r="V428" i="25"/>
  <c r="W428" i="25"/>
  <c r="Y428" i="25"/>
  <c r="Z428" i="25"/>
  <c r="AC428" i="25"/>
  <c r="D429" i="25"/>
  <c r="E429" i="25"/>
  <c r="K429" i="25"/>
  <c r="L429" i="25"/>
  <c r="M429" i="25"/>
  <c r="N429" i="25"/>
  <c r="O429" i="25"/>
  <c r="Q429" i="25"/>
  <c r="S429" i="25"/>
  <c r="T429" i="25"/>
  <c r="U429" i="25"/>
  <c r="V429" i="25"/>
  <c r="W429" i="25"/>
  <c r="Y429" i="25"/>
  <c r="Z429" i="25"/>
  <c r="AC429" i="25"/>
  <c r="D430" i="25"/>
  <c r="B430" i="25" s="1"/>
  <c r="E430" i="25"/>
  <c r="K430" i="25"/>
  <c r="L430" i="25"/>
  <c r="M430" i="25"/>
  <c r="N430" i="25"/>
  <c r="O430" i="25"/>
  <c r="Q430" i="25"/>
  <c r="S430" i="25"/>
  <c r="T430" i="25"/>
  <c r="U430" i="25"/>
  <c r="V430" i="25"/>
  <c r="W430" i="25"/>
  <c r="Y430" i="25"/>
  <c r="Z430" i="25"/>
  <c r="AC430" i="25"/>
  <c r="D431" i="25"/>
  <c r="E431" i="25"/>
  <c r="K431" i="25"/>
  <c r="L431" i="25"/>
  <c r="M431" i="25"/>
  <c r="N431" i="25"/>
  <c r="O431" i="25"/>
  <c r="Q431" i="25"/>
  <c r="S431" i="25"/>
  <c r="T431" i="25"/>
  <c r="U431" i="25"/>
  <c r="V431" i="25"/>
  <c r="W431" i="25"/>
  <c r="Y431" i="25"/>
  <c r="Z431" i="25"/>
  <c r="AC431" i="25"/>
  <c r="D432" i="25"/>
  <c r="E432" i="25"/>
  <c r="K432" i="25"/>
  <c r="L432" i="25"/>
  <c r="M432" i="25"/>
  <c r="N432" i="25"/>
  <c r="O432" i="25"/>
  <c r="Q432" i="25"/>
  <c r="S432" i="25"/>
  <c r="T432" i="25"/>
  <c r="U432" i="25"/>
  <c r="V432" i="25"/>
  <c r="W432" i="25"/>
  <c r="Y432" i="25"/>
  <c r="Z432" i="25"/>
  <c r="AC432" i="25"/>
  <c r="D433" i="25"/>
  <c r="B433" i="25" s="1"/>
  <c r="E433" i="25"/>
  <c r="K433" i="25"/>
  <c r="L433" i="25"/>
  <c r="M433" i="25"/>
  <c r="N433" i="25"/>
  <c r="O433" i="25"/>
  <c r="Q433" i="25"/>
  <c r="S433" i="25"/>
  <c r="T433" i="25"/>
  <c r="U433" i="25"/>
  <c r="V433" i="25"/>
  <c r="W433" i="25"/>
  <c r="Y433" i="25"/>
  <c r="Z433" i="25"/>
  <c r="AC433" i="25"/>
  <c r="D434" i="25"/>
  <c r="E434" i="25"/>
  <c r="K434" i="25"/>
  <c r="L434" i="25"/>
  <c r="M434" i="25"/>
  <c r="N434" i="25"/>
  <c r="O434" i="25"/>
  <c r="Q434" i="25"/>
  <c r="S434" i="25"/>
  <c r="T434" i="25"/>
  <c r="U434" i="25"/>
  <c r="V434" i="25"/>
  <c r="W434" i="25"/>
  <c r="Y434" i="25"/>
  <c r="Z434" i="25"/>
  <c r="AC434" i="25"/>
  <c r="D435" i="25"/>
  <c r="E435" i="25"/>
  <c r="K435" i="25"/>
  <c r="L435" i="25"/>
  <c r="M435" i="25"/>
  <c r="N435" i="25"/>
  <c r="O435" i="25"/>
  <c r="Q435" i="25"/>
  <c r="S435" i="25"/>
  <c r="T435" i="25"/>
  <c r="U435" i="25"/>
  <c r="V435" i="25"/>
  <c r="W435" i="25"/>
  <c r="Y435" i="25"/>
  <c r="Z435" i="25"/>
  <c r="AC435" i="25"/>
  <c r="D436" i="25"/>
  <c r="E436" i="25"/>
  <c r="K436" i="25"/>
  <c r="L436" i="25"/>
  <c r="M436" i="25"/>
  <c r="N436" i="25"/>
  <c r="O436" i="25"/>
  <c r="Q436" i="25"/>
  <c r="S436" i="25"/>
  <c r="T436" i="25"/>
  <c r="U436" i="25"/>
  <c r="V436" i="25"/>
  <c r="W436" i="25"/>
  <c r="Y436" i="25"/>
  <c r="Z436" i="25"/>
  <c r="AC436" i="25"/>
  <c r="D437" i="25"/>
  <c r="E437" i="25"/>
  <c r="B437" i="25" s="1"/>
  <c r="K437" i="25"/>
  <c r="L437" i="25"/>
  <c r="M437" i="25"/>
  <c r="N437" i="25"/>
  <c r="O437" i="25"/>
  <c r="Q437" i="25"/>
  <c r="S437" i="25"/>
  <c r="T437" i="25"/>
  <c r="U437" i="25"/>
  <c r="V437" i="25"/>
  <c r="W437" i="25"/>
  <c r="Y437" i="25"/>
  <c r="Z437" i="25"/>
  <c r="AC437" i="25"/>
  <c r="D438" i="25"/>
  <c r="E438" i="25"/>
  <c r="K438" i="25"/>
  <c r="L438" i="25"/>
  <c r="M438" i="25"/>
  <c r="N438" i="25"/>
  <c r="O438" i="25"/>
  <c r="Q438" i="25"/>
  <c r="S438" i="25"/>
  <c r="T438" i="25"/>
  <c r="U438" i="25"/>
  <c r="V438" i="25"/>
  <c r="W438" i="25"/>
  <c r="Y438" i="25"/>
  <c r="Z438" i="25"/>
  <c r="AC438" i="25"/>
  <c r="D439" i="25"/>
  <c r="E439" i="25"/>
  <c r="K439" i="25"/>
  <c r="L439" i="25"/>
  <c r="M439" i="25"/>
  <c r="N439" i="25"/>
  <c r="O439" i="25"/>
  <c r="Q439" i="25"/>
  <c r="S439" i="25"/>
  <c r="T439" i="25"/>
  <c r="U439" i="25"/>
  <c r="V439" i="25"/>
  <c r="W439" i="25"/>
  <c r="Y439" i="25"/>
  <c r="Z439" i="25"/>
  <c r="AC439" i="25"/>
  <c r="D440" i="25"/>
  <c r="E440" i="25"/>
  <c r="K440" i="25"/>
  <c r="L440" i="25"/>
  <c r="M440" i="25"/>
  <c r="N440" i="25"/>
  <c r="O440" i="25"/>
  <c r="Q440" i="25"/>
  <c r="S440" i="25"/>
  <c r="T440" i="25"/>
  <c r="U440" i="25"/>
  <c r="V440" i="25"/>
  <c r="W440" i="25"/>
  <c r="Y440" i="25"/>
  <c r="Z440" i="25"/>
  <c r="AC440" i="25"/>
  <c r="D441" i="25"/>
  <c r="E441" i="25"/>
  <c r="K441" i="25"/>
  <c r="L441" i="25"/>
  <c r="M441" i="25"/>
  <c r="N441" i="25"/>
  <c r="O441" i="25"/>
  <c r="Q441" i="25"/>
  <c r="S441" i="25"/>
  <c r="T441" i="25"/>
  <c r="U441" i="25"/>
  <c r="V441" i="25"/>
  <c r="W441" i="25"/>
  <c r="Y441" i="25"/>
  <c r="Z441" i="25"/>
  <c r="AC441" i="25"/>
  <c r="D442" i="25"/>
  <c r="E442" i="25"/>
  <c r="K442" i="25"/>
  <c r="L442" i="25"/>
  <c r="M442" i="25"/>
  <c r="N442" i="25"/>
  <c r="O442" i="25"/>
  <c r="Q442" i="25"/>
  <c r="S442" i="25"/>
  <c r="T442" i="25"/>
  <c r="U442" i="25"/>
  <c r="V442" i="25"/>
  <c r="W442" i="25"/>
  <c r="Y442" i="25"/>
  <c r="Z442" i="25"/>
  <c r="AC442" i="25"/>
  <c r="D443" i="25"/>
  <c r="E443" i="25"/>
  <c r="K443" i="25"/>
  <c r="L443" i="25"/>
  <c r="M443" i="25"/>
  <c r="N443" i="25"/>
  <c r="O443" i="25"/>
  <c r="Q443" i="25"/>
  <c r="S443" i="25"/>
  <c r="T443" i="25"/>
  <c r="U443" i="25"/>
  <c r="V443" i="25"/>
  <c r="W443" i="25"/>
  <c r="Y443" i="25"/>
  <c r="Z443" i="25"/>
  <c r="AC443" i="25"/>
  <c r="D444" i="25"/>
  <c r="E444" i="25"/>
  <c r="K444" i="25"/>
  <c r="L444" i="25"/>
  <c r="M444" i="25"/>
  <c r="N444" i="25"/>
  <c r="O444" i="25"/>
  <c r="Q444" i="25"/>
  <c r="S444" i="25"/>
  <c r="T444" i="25"/>
  <c r="U444" i="25"/>
  <c r="V444" i="25"/>
  <c r="W444" i="25"/>
  <c r="Y444" i="25"/>
  <c r="Z444" i="25"/>
  <c r="AC444" i="25"/>
  <c r="D445" i="25"/>
  <c r="E445" i="25"/>
  <c r="K445" i="25"/>
  <c r="L445" i="25"/>
  <c r="M445" i="25"/>
  <c r="N445" i="25"/>
  <c r="O445" i="25"/>
  <c r="Q445" i="25"/>
  <c r="S445" i="25"/>
  <c r="T445" i="25"/>
  <c r="U445" i="25"/>
  <c r="V445" i="25"/>
  <c r="W445" i="25"/>
  <c r="Y445" i="25"/>
  <c r="Z445" i="25"/>
  <c r="AC445" i="25"/>
  <c r="D446" i="25"/>
  <c r="B446" i="25" s="1"/>
  <c r="E446" i="25"/>
  <c r="K446" i="25"/>
  <c r="L446" i="25"/>
  <c r="M446" i="25"/>
  <c r="N446" i="25"/>
  <c r="O446" i="25"/>
  <c r="Q446" i="25"/>
  <c r="S446" i="25"/>
  <c r="T446" i="25"/>
  <c r="U446" i="25"/>
  <c r="V446" i="25"/>
  <c r="W446" i="25"/>
  <c r="Y446" i="25"/>
  <c r="Z446" i="25"/>
  <c r="AC446" i="25"/>
  <c r="D447" i="25"/>
  <c r="E447" i="25"/>
  <c r="K447" i="25"/>
  <c r="L447" i="25"/>
  <c r="M447" i="25"/>
  <c r="N447" i="25"/>
  <c r="O447" i="25"/>
  <c r="Q447" i="25"/>
  <c r="S447" i="25"/>
  <c r="T447" i="25"/>
  <c r="U447" i="25"/>
  <c r="V447" i="25"/>
  <c r="W447" i="25"/>
  <c r="Y447" i="25"/>
  <c r="Z447" i="25"/>
  <c r="AC447" i="25"/>
  <c r="D448" i="25"/>
  <c r="E448" i="25"/>
  <c r="B448" i="25" s="1"/>
  <c r="K448" i="25"/>
  <c r="L448" i="25"/>
  <c r="M448" i="25"/>
  <c r="N448" i="25"/>
  <c r="O448" i="25"/>
  <c r="Q448" i="25"/>
  <c r="S448" i="25"/>
  <c r="T448" i="25"/>
  <c r="U448" i="25"/>
  <c r="V448" i="25"/>
  <c r="W448" i="25"/>
  <c r="Y448" i="25"/>
  <c r="Z448" i="25"/>
  <c r="AC448" i="25"/>
  <c r="D449" i="25"/>
  <c r="B449" i="25" s="1"/>
  <c r="E449" i="25"/>
  <c r="K449" i="25"/>
  <c r="L449" i="25"/>
  <c r="M449" i="25"/>
  <c r="N449" i="25"/>
  <c r="O449" i="25"/>
  <c r="Q449" i="25"/>
  <c r="S449" i="25"/>
  <c r="T449" i="25"/>
  <c r="U449" i="25"/>
  <c r="V449" i="25"/>
  <c r="W449" i="25"/>
  <c r="Y449" i="25"/>
  <c r="Z449" i="25"/>
  <c r="AC449" i="25"/>
  <c r="D450" i="25"/>
  <c r="E450" i="25"/>
  <c r="K450" i="25"/>
  <c r="L450" i="25"/>
  <c r="M450" i="25"/>
  <c r="N450" i="25"/>
  <c r="O450" i="25"/>
  <c r="Q450" i="25"/>
  <c r="S450" i="25"/>
  <c r="T450" i="25"/>
  <c r="U450" i="25"/>
  <c r="V450" i="25"/>
  <c r="W450" i="25"/>
  <c r="Y450" i="25"/>
  <c r="Z450" i="25"/>
  <c r="AC450" i="25"/>
  <c r="D451" i="25"/>
  <c r="E451" i="25"/>
  <c r="K451" i="25"/>
  <c r="L451" i="25"/>
  <c r="M451" i="25"/>
  <c r="N451" i="25"/>
  <c r="O451" i="25"/>
  <c r="Q451" i="25"/>
  <c r="S451" i="25"/>
  <c r="T451" i="25"/>
  <c r="U451" i="25"/>
  <c r="V451" i="25"/>
  <c r="W451" i="25"/>
  <c r="Y451" i="25"/>
  <c r="Z451" i="25"/>
  <c r="AC451" i="25"/>
  <c r="D452" i="25"/>
  <c r="E452" i="25"/>
  <c r="K452" i="25"/>
  <c r="L452" i="25"/>
  <c r="M452" i="25"/>
  <c r="N452" i="25"/>
  <c r="O452" i="25"/>
  <c r="Q452" i="25"/>
  <c r="S452" i="25"/>
  <c r="T452" i="25"/>
  <c r="U452" i="25"/>
  <c r="V452" i="25"/>
  <c r="W452" i="25"/>
  <c r="Y452" i="25"/>
  <c r="Z452" i="25"/>
  <c r="AC452" i="25"/>
  <c r="D453" i="25"/>
  <c r="E453" i="25"/>
  <c r="B453" i="25" s="1"/>
  <c r="K453" i="25"/>
  <c r="L453" i="25"/>
  <c r="M453" i="25"/>
  <c r="N453" i="25"/>
  <c r="O453" i="25"/>
  <c r="Q453" i="25"/>
  <c r="S453" i="25"/>
  <c r="T453" i="25"/>
  <c r="U453" i="25"/>
  <c r="V453" i="25"/>
  <c r="W453" i="25"/>
  <c r="Y453" i="25"/>
  <c r="Z453" i="25"/>
  <c r="AC453" i="25"/>
  <c r="D454" i="25"/>
  <c r="E454" i="25"/>
  <c r="K454" i="25"/>
  <c r="L454" i="25"/>
  <c r="M454" i="25"/>
  <c r="N454" i="25"/>
  <c r="O454" i="25"/>
  <c r="Q454" i="25"/>
  <c r="S454" i="25"/>
  <c r="T454" i="25"/>
  <c r="U454" i="25"/>
  <c r="V454" i="25"/>
  <c r="W454" i="25"/>
  <c r="Y454" i="25"/>
  <c r="Z454" i="25"/>
  <c r="AC454" i="25"/>
  <c r="D455" i="25"/>
  <c r="E455" i="25"/>
  <c r="B455" i="25" s="1"/>
  <c r="K455" i="25"/>
  <c r="L455" i="25"/>
  <c r="M455" i="25"/>
  <c r="N455" i="25"/>
  <c r="O455" i="25"/>
  <c r="Q455" i="25"/>
  <c r="S455" i="25"/>
  <c r="T455" i="25"/>
  <c r="U455" i="25"/>
  <c r="V455" i="25"/>
  <c r="W455" i="25"/>
  <c r="Y455" i="25"/>
  <c r="Z455" i="25"/>
  <c r="AC455" i="25"/>
  <c r="D456" i="25"/>
  <c r="E456" i="25"/>
  <c r="K456" i="25"/>
  <c r="L456" i="25"/>
  <c r="M456" i="25"/>
  <c r="N456" i="25"/>
  <c r="O456" i="25"/>
  <c r="Q456" i="25"/>
  <c r="S456" i="25"/>
  <c r="T456" i="25"/>
  <c r="U456" i="25"/>
  <c r="V456" i="25"/>
  <c r="W456" i="25"/>
  <c r="Y456" i="25"/>
  <c r="Z456" i="25"/>
  <c r="AC456" i="25"/>
  <c r="D457" i="25"/>
  <c r="E457" i="25"/>
  <c r="K457" i="25"/>
  <c r="L457" i="25"/>
  <c r="M457" i="25"/>
  <c r="N457" i="25"/>
  <c r="O457" i="25"/>
  <c r="Q457" i="25"/>
  <c r="S457" i="25"/>
  <c r="T457" i="25"/>
  <c r="U457" i="25"/>
  <c r="V457" i="25"/>
  <c r="W457" i="25"/>
  <c r="Y457" i="25"/>
  <c r="Z457" i="25"/>
  <c r="AC457" i="25"/>
  <c r="D458" i="25"/>
  <c r="E458" i="25"/>
  <c r="K458" i="25"/>
  <c r="L458" i="25"/>
  <c r="M458" i="25"/>
  <c r="N458" i="25"/>
  <c r="O458" i="25"/>
  <c r="Q458" i="25"/>
  <c r="S458" i="25"/>
  <c r="T458" i="25"/>
  <c r="U458" i="25"/>
  <c r="V458" i="25"/>
  <c r="W458" i="25"/>
  <c r="Y458" i="25"/>
  <c r="Z458" i="25"/>
  <c r="AC458" i="25"/>
  <c r="D459" i="25"/>
  <c r="E459" i="25"/>
  <c r="K459" i="25"/>
  <c r="L459" i="25"/>
  <c r="M459" i="25"/>
  <c r="N459" i="25"/>
  <c r="O459" i="25"/>
  <c r="Q459" i="25"/>
  <c r="S459" i="25"/>
  <c r="T459" i="25"/>
  <c r="U459" i="25"/>
  <c r="V459" i="25"/>
  <c r="W459" i="25"/>
  <c r="Y459" i="25"/>
  <c r="Z459" i="25"/>
  <c r="AC459" i="25"/>
  <c r="D460" i="25"/>
  <c r="E460" i="25"/>
  <c r="K460" i="25"/>
  <c r="L460" i="25"/>
  <c r="M460" i="25"/>
  <c r="N460" i="25"/>
  <c r="O460" i="25"/>
  <c r="Q460" i="25"/>
  <c r="S460" i="25"/>
  <c r="T460" i="25"/>
  <c r="U460" i="25"/>
  <c r="V460" i="25"/>
  <c r="W460" i="25"/>
  <c r="Y460" i="25"/>
  <c r="Z460" i="25"/>
  <c r="AC460" i="25"/>
  <c r="D461" i="25"/>
  <c r="E461" i="25"/>
  <c r="K461" i="25"/>
  <c r="L461" i="25"/>
  <c r="M461" i="25"/>
  <c r="N461" i="25"/>
  <c r="O461" i="25"/>
  <c r="Q461" i="25"/>
  <c r="S461" i="25"/>
  <c r="T461" i="25"/>
  <c r="U461" i="25"/>
  <c r="V461" i="25"/>
  <c r="W461" i="25"/>
  <c r="Y461" i="25"/>
  <c r="Z461" i="25"/>
  <c r="AC461" i="25"/>
  <c r="D462" i="25"/>
  <c r="E462" i="25"/>
  <c r="K462" i="25"/>
  <c r="L462" i="25"/>
  <c r="M462" i="25"/>
  <c r="N462" i="25"/>
  <c r="O462" i="25"/>
  <c r="Q462" i="25"/>
  <c r="S462" i="25"/>
  <c r="T462" i="25"/>
  <c r="U462" i="25"/>
  <c r="V462" i="25"/>
  <c r="W462" i="25"/>
  <c r="Y462" i="25"/>
  <c r="Z462" i="25"/>
  <c r="AC462" i="25"/>
  <c r="D463" i="25"/>
  <c r="E463" i="25"/>
  <c r="K463" i="25"/>
  <c r="L463" i="25"/>
  <c r="M463" i="25"/>
  <c r="N463" i="25"/>
  <c r="O463" i="25"/>
  <c r="Q463" i="25"/>
  <c r="S463" i="25"/>
  <c r="T463" i="25"/>
  <c r="U463" i="25"/>
  <c r="V463" i="25"/>
  <c r="W463" i="25"/>
  <c r="Y463" i="25"/>
  <c r="Z463" i="25"/>
  <c r="AC463" i="25"/>
  <c r="D464" i="25"/>
  <c r="E464" i="25"/>
  <c r="K464" i="25"/>
  <c r="L464" i="25"/>
  <c r="M464" i="25"/>
  <c r="N464" i="25"/>
  <c r="O464" i="25"/>
  <c r="Q464" i="25"/>
  <c r="S464" i="25"/>
  <c r="T464" i="25"/>
  <c r="U464" i="25"/>
  <c r="V464" i="25"/>
  <c r="W464" i="25"/>
  <c r="Y464" i="25"/>
  <c r="Z464" i="25"/>
  <c r="AC464" i="25"/>
  <c r="D465" i="25"/>
  <c r="E465" i="25"/>
  <c r="K465" i="25"/>
  <c r="L465" i="25"/>
  <c r="M465" i="25"/>
  <c r="N465" i="25"/>
  <c r="O465" i="25"/>
  <c r="Q465" i="25"/>
  <c r="S465" i="25"/>
  <c r="T465" i="25"/>
  <c r="U465" i="25"/>
  <c r="V465" i="25"/>
  <c r="W465" i="25"/>
  <c r="Y465" i="25"/>
  <c r="Z465" i="25"/>
  <c r="AC465" i="25"/>
  <c r="D466" i="25"/>
  <c r="E466" i="25"/>
  <c r="B466" i="25" s="1"/>
  <c r="K466" i="25"/>
  <c r="L466" i="25"/>
  <c r="M466" i="25"/>
  <c r="N466" i="25"/>
  <c r="O466" i="25"/>
  <c r="Q466" i="25"/>
  <c r="S466" i="25"/>
  <c r="T466" i="25"/>
  <c r="U466" i="25"/>
  <c r="V466" i="25"/>
  <c r="W466" i="25"/>
  <c r="Y466" i="25"/>
  <c r="Z466" i="25"/>
  <c r="AC466" i="25"/>
  <c r="D467" i="25"/>
  <c r="E467" i="25"/>
  <c r="K467" i="25"/>
  <c r="L467" i="25"/>
  <c r="M467" i="25"/>
  <c r="N467" i="25"/>
  <c r="O467" i="25"/>
  <c r="Q467" i="25"/>
  <c r="S467" i="25"/>
  <c r="T467" i="25"/>
  <c r="U467" i="25"/>
  <c r="V467" i="25"/>
  <c r="W467" i="25"/>
  <c r="Y467" i="25"/>
  <c r="Z467" i="25"/>
  <c r="AC467" i="25"/>
  <c r="D468" i="25"/>
  <c r="E468" i="25"/>
  <c r="K468" i="25"/>
  <c r="L468" i="25"/>
  <c r="M468" i="25"/>
  <c r="N468" i="25"/>
  <c r="O468" i="25"/>
  <c r="Q468" i="25"/>
  <c r="S468" i="25"/>
  <c r="T468" i="25"/>
  <c r="U468" i="25"/>
  <c r="V468" i="25"/>
  <c r="W468" i="25"/>
  <c r="Y468" i="25"/>
  <c r="Z468" i="25"/>
  <c r="AC468" i="25"/>
  <c r="D469" i="25"/>
  <c r="E469" i="25"/>
  <c r="K469" i="25"/>
  <c r="L469" i="25"/>
  <c r="M469" i="25"/>
  <c r="N469" i="25"/>
  <c r="O469" i="25"/>
  <c r="Q469" i="25"/>
  <c r="S469" i="25"/>
  <c r="T469" i="25"/>
  <c r="U469" i="25"/>
  <c r="V469" i="25"/>
  <c r="W469" i="25"/>
  <c r="Y469" i="25"/>
  <c r="Z469" i="25"/>
  <c r="AC469" i="25"/>
  <c r="D470" i="25"/>
  <c r="E470" i="25"/>
  <c r="K470" i="25"/>
  <c r="L470" i="25"/>
  <c r="M470" i="25"/>
  <c r="N470" i="25"/>
  <c r="O470" i="25"/>
  <c r="Q470" i="25"/>
  <c r="S470" i="25"/>
  <c r="T470" i="25"/>
  <c r="U470" i="25"/>
  <c r="V470" i="25"/>
  <c r="W470" i="25"/>
  <c r="Y470" i="25"/>
  <c r="Z470" i="25"/>
  <c r="AC470" i="25"/>
  <c r="D471" i="25"/>
  <c r="E471" i="25"/>
  <c r="K471" i="25"/>
  <c r="L471" i="25"/>
  <c r="M471" i="25"/>
  <c r="N471" i="25"/>
  <c r="O471" i="25"/>
  <c r="Q471" i="25"/>
  <c r="S471" i="25"/>
  <c r="T471" i="25"/>
  <c r="U471" i="25"/>
  <c r="V471" i="25"/>
  <c r="W471" i="25"/>
  <c r="Y471" i="25"/>
  <c r="Z471" i="25"/>
  <c r="AC471" i="25"/>
  <c r="D472" i="25"/>
  <c r="E472" i="25"/>
  <c r="K472" i="25"/>
  <c r="L472" i="25"/>
  <c r="M472" i="25"/>
  <c r="N472" i="25"/>
  <c r="O472" i="25"/>
  <c r="Q472" i="25"/>
  <c r="S472" i="25"/>
  <c r="T472" i="25"/>
  <c r="U472" i="25"/>
  <c r="V472" i="25"/>
  <c r="W472" i="25"/>
  <c r="Y472" i="25"/>
  <c r="Z472" i="25"/>
  <c r="AC472" i="25"/>
  <c r="D473" i="25"/>
  <c r="E473" i="25"/>
  <c r="K473" i="25"/>
  <c r="L473" i="25"/>
  <c r="M473" i="25"/>
  <c r="N473" i="25"/>
  <c r="O473" i="25"/>
  <c r="Q473" i="25"/>
  <c r="S473" i="25"/>
  <c r="T473" i="25"/>
  <c r="U473" i="25"/>
  <c r="V473" i="25"/>
  <c r="W473" i="25"/>
  <c r="Y473" i="25"/>
  <c r="Z473" i="25"/>
  <c r="AC473" i="25"/>
  <c r="D474" i="25"/>
  <c r="E474" i="25"/>
  <c r="K474" i="25"/>
  <c r="L474" i="25"/>
  <c r="M474" i="25"/>
  <c r="N474" i="25"/>
  <c r="O474" i="25"/>
  <c r="Q474" i="25"/>
  <c r="S474" i="25"/>
  <c r="T474" i="25"/>
  <c r="U474" i="25"/>
  <c r="V474" i="25"/>
  <c r="W474" i="25"/>
  <c r="Y474" i="25"/>
  <c r="Z474" i="25"/>
  <c r="AC474" i="25"/>
  <c r="D475" i="25"/>
  <c r="E475" i="25"/>
  <c r="K475" i="25"/>
  <c r="L475" i="25"/>
  <c r="M475" i="25"/>
  <c r="N475" i="25"/>
  <c r="O475" i="25"/>
  <c r="Q475" i="25"/>
  <c r="S475" i="25"/>
  <c r="T475" i="25"/>
  <c r="U475" i="25"/>
  <c r="V475" i="25"/>
  <c r="W475" i="25"/>
  <c r="Y475" i="25"/>
  <c r="Z475" i="25"/>
  <c r="AC475" i="25"/>
  <c r="D476" i="25"/>
  <c r="E476" i="25"/>
  <c r="K476" i="25"/>
  <c r="L476" i="25"/>
  <c r="M476" i="25"/>
  <c r="N476" i="25"/>
  <c r="O476" i="25"/>
  <c r="Q476" i="25"/>
  <c r="S476" i="25"/>
  <c r="T476" i="25"/>
  <c r="U476" i="25"/>
  <c r="V476" i="25"/>
  <c r="W476" i="25"/>
  <c r="Y476" i="25"/>
  <c r="Z476" i="25"/>
  <c r="AC476" i="25"/>
  <c r="D477" i="25"/>
  <c r="E477" i="25"/>
  <c r="K477" i="25"/>
  <c r="L477" i="25"/>
  <c r="M477" i="25"/>
  <c r="N477" i="25"/>
  <c r="O477" i="25"/>
  <c r="Q477" i="25"/>
  <c r="S477" i="25"/>
  <c r="T477" i="25"/>
  <c r="U477" i="25"/>
  <c r="V477" i="25"/>
  <c r="W477" i="25"/>
  <c r="Y477" i="25"/>
  <c r="Z477" i="25"/>
  <c r="AC477" i="25"/>
  <c r="D478" i="25"/>
  <c r="E478" i="25"/>
  <c r="K478" i="25"/>
  <c r="L478" i="25"/>
  <c r="M478" i="25"/>
  <c r="N478" i="25"/>
  <c r="O478" i="25"/>
  <c r="Q478" i="25"/>
  <c r="S478" i="25"/>
  <c r="T478" i="25"/>
  <c r="U478" i="25"/>
  <c r="V478" i="25"/>
  <c r="W478" i="25"/>
  <c r="Y478" i="25"/>
  <c r="Z478" i="25"/>
  <c r="AC478" i="25"/>
  <c r="D479" i="25"/>
  <c r="E479" i="25"/>
  <c r="K479" i="25"/>
  <c r="L479" i="25"/>
  <c r="M479" i="25"/>
  <c r="N479" i="25"/>
  <c r="O479" i="25"/>
  <c r="Q479" i="25"/>
  <c r="S479" i="25"/>
  <c r="T479" i="25"/>
  <c r="U479" i="25"/>
  <c r="V479" i="25"/>
  <c r="W479" i="25"/>
  <c r="Y479" i="25"/>
  <c r="Z479" i="25"/>
  <c r="AC479" i="25"/>
  <c r="D480" i="25"/>
  <c r="E480" i="25"/>
  <c r="K480" i="25"/>
  <c r="L480" i="25"/>
  <c r="M480" i="25"/>
  <c r="N480" i="25"/>
  <c r="O480" i="25"/>
  <c r="Q480" i="25"/>
  <c r="S480" i="25"/>
  <c r="T480" i="25"/>
  <c r="U480" i="25"/>
  <c r="V480" i="25"/>
  <c r="W480" i="25"/>
  <c r="Y480" i="25"/>
  <c r="Z480" i="25"/>
  <c r="AC480" i="25"/>
  <c r="D481" i="25"/>
  <c r="E481" i="25"/>
  <c r="K481" i="25"/>
  <c r="L481" i="25"/>
  <c r="M481" i="25"/>
  <c r="N481" i="25"/>
  <c r="O481" i="25"/>
  <c r="Q481" i="25"/>
  <c r="S481" i="25"/>
  <c r="T481" i="25"/>
  <c r="U481" i="25"/>
  <c r="V481" i="25"/>
  <c r="W481" i="25"/>
  <c r="Y481" i="25"/>
  <c r="Z481" i="25"/>
  <c r="AC481" i="25"/>
  <c r="D482" i="25"/>
  <c r="E482" i="25"/>
  <c r="K482" i="25"/>
  <c r="L482" i="25"/>
  <c r="M482" i="25"/>
  <c r="N482" i="25"/>
  <c r="O482" i="25"/>
  <c r="Q482" i="25"/>
  <c r="S482" i="25"/>
  <c r="T482" i="25"/>
  <c r="U482" i="25"/>
  <c r="V482" i="25"/>
  <c r="W482" i="25"/>
  <c r="Y482" i="25"/>
  <c r="Z482" i="25"/>
  <c r="AC482" i="25"/>
  <c r="D483" i="25"/>
  <c r="E483" i="25"/>
  <c r="K483" i="25"/>
  <c r="L483" i="25"/>
  <c r="M483" i="25"/>
  <c r="N483" i="25"/>
  <c r="O483" i="25"/>
  <c r="Q483" i="25"/>
  <c r="S483" i="25"/>
  <c r="T483" i="25"/>
  <c r="U483" i="25"/>
  <c r="V483" i="25"/>
  <c r="W483" i="25"/>
  <c r="Y483" i="25"/>
  <c r="Z483" i="25"/>
  <c r="AC483" i="25"/>
  <c r="D484" i="25"/>
  <c r="E484" i="25"/>
  <c r="K484" i="25"/>
  <c r="L484" i="25"/>
  <c r="M484" i="25"/>
  <c r="N484" i="25"/>
  <c r="O484" i="25"/>
  <c r="Q484" i="25"/>
  <c r="S484" i="25"/>
  <c r="T484" i="25"/>
  <c r="U484" i="25"/>
  <c r="V484" i="25"/>
  <c r="W484" i="25"/>
  <c r="Y484" i="25"/>
  <c r="Z484" i="25"/>
  <c r="AC484" i="25"/>
  <c r="D485" i="25"/>
  <c r="E485" i="25"/>
  <c r="B485" i="25" s="1"/>
  <c r="K485" i="25"/>
  <c r="L485" i="25"/>
  <c r="M485" i="25"/>
  <c r="N485" i="25"/>
  <c r="O485" i="25"/>
  <c r="Q485" i="25"/>
  <c r="S485" i="25"/>
  <c r="T485" i="25"/>
  <c r="U485" i="25"/>
  <c r="V485" i="25"/>
  <c r="W485" i="25"/>
  <c r="Y485" i="25"/>
  <c r="Z485" i="25"/>
  <c r="AC485" i="25"/>
  <c r="D486" i="25"/>
  <c r="E486" i="25"/>
  <c r="K486" i="25"/>
  <c r="L486" i="25"/>
  <c r="M486" i="25"/>
  <c r="N486" i="25"/>
  <c r="O486" i="25"/>
  <c r="Q486" i="25"/>
  <c r="S486" i="25"/>
  <c r="T486" i="25"/>
  <c r="U486" i="25"/>
  <c r="V486" i="25"/>
  <c r="W486" i="25"/>
  <c r="Y486" i="25"/>
  <c r="Z486" i="25"/>
  <c r="AC486" i="25"/>
  <c r="D487" i="25"/>
  <c r="E487" i="25"/>
  <c r="K487" i="25"/>
  <c r="L487" i="25"/>
  <c r="M487" i="25"/>
  <c r="N487" i="25"/>
  <c r="O487" i="25"/>
  <c r="Q487" i="25"/>
  <c r="S487" i="25"/>
  <c r="T487" i="25"/>
  <c r="U487" i="25"/>
  <c r="V487" i="25"/>
  <c r="W487" i="25"/>
  <c r="Y487" i="25"/>
  <c r="Z487" i="25"/>
  <c r="AC487" i="25"/>
  <c r="D488" i="25"/>
  <c r="E488" i="25"/>
  <c r="K488" i="25"/>
  <c r="L488" i="25"/>
  <c r="M488" i="25"/>
  <c r="N488" i="25"/>
  <c r="O488" i="25"/>
  <c r="Q488" i="25"/>
  <c r="S488" i="25"/>
  <c r="T488" i="25"/>
  <c r="U488" i="25"/>
  <c r="V488" i="25"/>
  <c r="W488" i="25"/>
  <c r="Y488" i="25"/>
  <c r="Z488" i="25"/>
  <c r="AC488" i="25"/>
  <c r="D489" i="25"/>
  <c r="E489" i="25"/>
  <c r="K489" i="25"/>
  <c r="L489" i="25"/>
  <c r="M489" i="25"/>
  <c r="N489" i="25"/>
  <c r="O489" i="25"/>
  <c r="Q489" i="25"/>
  <c r="S489" i="25"/>
  <c r="T489" i="25"/>
  <c r="U489" i="25"/>
  <c r="V489" i="25"/>
  <c r="W489" i="25"/>
  <c r="Y489" i="25"/>
  <c r="Z489" i="25"/>
  <c r="AC489" i="25"/>
  <c r="D490" i="25"/>
  <c r="E490" i="25"/>
  <c r="K490" i="25"/>
  <c r="L490" i="25"/>
  <c r="M490" i="25"/>
  <c r="N490" i="25"/>
  <c r="O490" i="25"/>
  <c r="Q490" i="25"/>
  <c r="S490" i="25"/>
  <c r="T490" i="25"/>
  <c r="U490" i="25"/>
  <c r="V490" i="25"/>
  <c r="W490" i="25"/>
  <c r="Y490" i="25"/>
  <c r="Z490" i="25"/>
  <c r="AC490" i="25"/>
  <c r="D491" i="25"/>
  <c r="E491" i="25"/>
  <c r="K491" i="25"/>
  <c r="L491" i="25"/>
  <c r="M491" i="25"/>
  <c r="N491" i="25"/>
  <c r="O491" i="25"/>
  <c r="Q491" i="25"/>
  <c r="S491" i="25"/>
  <c r="T491" i="25"/>
  <c r="U491" i="25"/>
  <c r="V491" i="25"/>
  <c r="W491" i="25"/>
  <c r="Y491" i="25"/>
  <c r="Z491" i="25"/>
  <c r="AC491" i="25"/>
  <c r="B397" i="25"/>
  <c r="B399" i="25"/>
  <c r="B124" i="5"/>
  <c r="B156" i="5"/>
  <c r="I397" i="25" s="1"/>
  <c r="C156" i="5"/>
  <c r="J397" i="25" s="1"/>
  <c r="I156" i="5"/>
  <c r="P397" i="25" s="1"/>
  <c r="K156" i="5"/>
  <c r="R397" i="25" s="1"/>
  <c r="Q156" i="5"/>
  <c r="X397" i="25" s="1"/>
  <c r="T156" i="5"/>
  <c r="AA397" i="25" s="1"/>
  <c r="U156" i="5"/>
  <c r="AB397" i="25" s="1"/>
  <c r="B157" i="5"/>
  <c r="I398" i="25" s="1"/>
  <c r="C157" i="5"/>
  <c r="J398" i="25" s="1"/>
  <c r="I157" i="5"/>
  <c r="P398" i="25" s="1"/>
  <c r="K157" i="5"/>
  <c r="R398" i="25" s="1"/>
  <c r="AE398" i="25" s="1"/>
  <c r="Q157" i="5"/>
  <c r="X398" i="25" s="1"/>
  <c r="T157" i="5"/>
  <c r="AA398" i="25" s="1"/>
  <c r="U157" i="5"/>
  <c r="AB398" i="25" s="1"/>
  <c r="B158" i="5"/>
  <c r="I399" i="25" s="1"/>
  <c r="C158" i="5"/>
  <c r="J399" i="25" s="1"/>
  <c r="I158" i="5"/>
  <c r="P399" i="25" s="1"/>
  <c r="K158" i="5"/>
  <c r="R399" i="25" s="1"/>
  <c r="Q158" i="5"/>
  <c r="X399" i="25" s="1"/>
  <c r="T158" i="5"/>
  <c r="AA399" i="25" s="1"/>
  <c r="U158" i="5"/>
  <c r="AB399" i="25" s="1"/>
  <c r="B159" i="5"/>
  <c r="I400" i="25" s="1"/>
  <c r="C159" i="5"/>
  <c r="J400" i="25" s="1"/>
  <c r="I159" i="5"/>
  <c r="P400" i="25" s="1"/>
  <c r="K159" i="5"/>
  <c r="R400" i="25" s="1"/>
  <c r="AE400" i="25" s="1"/>
  <c r="Q159" i="5"/>
  <c r="X400" i="25" s="1"/>
  <c r="T159" i="5"/>
  <c r="AA400" i="25" s="1"/>
  <c r="U159" i="5"/>
  <c r="AB400" i="25" s="1"/>
  <c r="B160" i="5"/>
  <c r="I401" i="25" s="1"/>
  <c r="C160" i="5"/>
  <c r="J401" i="25" s="1"/>
  <c r="I160" i="5"/>
  <c r="P401" i="25" s="1"/>
  <c r="K160" i="5"/>
  <c r="R401" i="25" s="1"/>
  <c r="Q160" i="5"/>
  <c r="X401" i="25" s="1"/>
  <c r="T160" i="5"/>
  <c r="AA401" i="25" s="1"/>
  <c r="U160" i="5"/>
  <c r="AB401" i="25" s="1"/>
  <c r="B161" i="5"/>
  <c r="I402" i="25" s="1"/>
  <c r="C161" i="5"/>
  <c r="J402" i="25" s="1"/>
  <c r="I161" i="5"/>
  <c r="P402" i="25" s="1"/>
  <c r="K161" i="5"/>
  <c r="R402" i="25" s="1"/>
  <c r="Q161" i="5"/>
  <c r="X402" i="25" s="1"/>
  <c r="T161" i="5"/>
  <c r="AA402" i="25" s="1"/>
  <c r="U161" i="5"/>
  <c r="AB402" i="25" s="1"/>
  <c r="B162" i="5"/>
  <c r="I403" i="25" s="1"/>
  <c r="C162" i="5"/>
  <c r="J403" i="25" s="1"/>
  <c r="I162" i="5"/>
  <c r="P403" i="25" s="1"/>
  <c r="K162" i="5"/>
  <c r="R403" i="25" s="1"/>
  <c r="Q162" i="5"/>
  <c r="X403" i="25" s="1"/>
  <c r="T162" i="5"/>
  <c r="AA403" i="25" s="1"/>
  <c r="U162" i="5"/>
  <c r="AB403" i="25" s="1"/>
  <c r="B163" i="5"/>
  <c r="I404" i="25" s="1"/>
  <c r="C163" i="5"/>
  <c r="J404" i="25" s="1"/>
  <c r="I163" i="5"/>
  <c r="P404" i="25" s="1"/>
  <c r="K163" i="5"/>
  <c r="R404" i="25" s="1"/>
  <c r="Q163" i="5"/>
  <c r="X404" i="25" s="1"/>
  <c r="T163" i="5"/>
  <c r="AA404" i="25" s="1"/>
  <c r="U163" i="5"/>
  <c r="AB404" i="25" s="1"/>
  <c r="B164" i="5"/>
  <c r="I405" i="25" s="1"/>
  <c r="C164" i="5"/>
  <c r="J405" i="25" s="1"/>
  <c r="I164" i="5"/>
  <c r="P405" i="25" s="1"/>
  <c r="K164" i="5"/>
  <c r="R405" i="25" s="1"/>
  <c r="Q164" i="5"/>
  <c r="X405" i="25" s="1"/>
  <c r="T164" i="5"/>
  <c r="AA405" i="25" s="1"/>
  <c r="U164" i="5"/>
  <c r="AB405" i="25" s="1"/>
  <c r="B165" i="5"/>
  <c r="I406" i="25" s="1"/>
  <c r="C165" i="5"/>
  <c r="J406" i="25" s="1"/>
  <c r="I165" i="5"/>
  <c r="P406" i="25" s="1"/>
  <c r="K165" i="5"/>
  <c r="R406" i="25" s="1"/>
  <c r="Q165" i="5"/>
  <c r="X406" i="25" s="1"/>
  <c r="T165" i="5"/>
  <c r="AA406" i="25" s="1"/>
  <c r="U165" i="5"/>
  <c r="AB406" i="25" s="1"/>
  <c r="B166" i="5"/>
  <c r="I407" i="25" s="1"/>
  <c r="C166" i="5"/>
  <c r="J407" i="25" s="1"/>
  <c r="I166" i="5"/>
  <c r="P407" i="25" s="1"/>
  <c r="K166" i="5"/>
  <c r="R407" i="25" s="1"/>
  <c r="Q166" i="5"/>
  <c r="X407" i="25" s="1"/>
  <c r="T166" i="5"/>
  <c r="AA407" i="25" s="1"/>
  <c r="U166" i="5"/>
  <c r="AB407" i="25" s="1"/>
  <c r="B167" i="5"/>
  <c r="I408" i="25" s="1"/>
  <c r="C167" i="5"/>
  <c r="J408" i="25" s="1"/>
  <c r="I167" i="5"/>
  <c r="P408" i="25" s="1"/>
  <c r="K167" i="5"/>
  <c r="R408" i="25" s="1"/>
  <c r="AE408" i="25" s="1"/>
  <c r="Q167" i="5"/>
  <c r="X408" i="25" s="1"/>
  <c r="T167" i="5"/>
  <c r="AA408" i="25" s="1"/>
  <c r="U167" i="5"/>
  <c r="AB408" i="25" s="1"/>
  <c r="B168" i="5"/>
  <c r="I409" i="25" s="1"/>
  <c r="C168" i="5"/>
  <c r="J409" i="25" s="1"/>
  <c r="I168" i="5"/>
  <c r="P409" i="25" s="1"/>
  <c r="K168" i="5"/>
  <c r="R409" i="25" s="1"/>
  <c r="Q168" i="5"/>
  <c r="X409" i="25" s="1"/>
  <c r="T168" i="5"/>
  <c r="AA409" i="25" s="1"/>
  <c r="U168" i="5"/>
  <c r="AB409" i="25" s="1"/>
  <c r="B169" i="5"/>
  <c r="I410" i="25" s="1"/>
  <c r="C169" i="5"/>
  <c r="J410" i="25" s="1"/>
  <c r="I169" i="5"/>
  <c r="P410" i="25" s="1"/>
  <c r="K169" i="5"/>
  <c r="R410" i="25" s="1"/>
  <c r="Q169" i="5"/>
  <c r="X410" i="25" s="1"/>
  <c r="T169" i="5"/>
  <c r="AA410" i="25" s="1"/>
  <c r="U169" i="5"/>
  <c r="AB410" i="25" s="1"/>
  <c r="B170" i="5"/>
  <c r="I411" i="25" s="1"/>
  <c r="C170" i="5"/>
  <c r="J411" i="25" s="1"/>
  <c r="I170" i="5"/>
  <c r="P411" i="25" s="1"/>
  <c r="K170" i="5"/>
  <c r="R411" i="25" s="1"/>
  <c r="Q170" i="5"/>
  <c r="X411" i="25" s="1"/>
  <c r="T170" i="5"/>
  <c r="AA411" i="25" s="1"/>
  <c r="U170" i="5"/>
  <c r="AB411" i="25" s="1"/>
  <c r="B171" i="5"/>
  <c r="I412" i="25" s="1"/>
  <c r="C171" i="5"/>
  <c r="J412" i="25" s="1"/>
  <c r="I171" i="5"/>
  <c r="P412" i="25" s="1"/>
  <c r="K171" i="5"/>
  <c r="R412" i="25" s="1"/>
  <c r="Q171" i="5"/>
  <c r="X412" i="25" s="1"/>
  <c r="T171" i="5"/>
  <c r="AA412" i="25" s="1"/>
  <c r="U171" i="5"/>
  <c r="AB412" i="25" s="1"/>
  <c r="B172" i="5"/>
  <c r="I413" i="25" s="1"/>
  <c r="C172" i="5"/>
  <c r="J413" i="25" s="1"/>
  <c r="I172" i="5"/>
  <c r="P413" i="25" s="1"/>
  <c r="K172" i="5"/>
  <c r="R413" i="25" s="1"/>
  <c r="Q172" i="5"/>
  <c r="X413" i="25" s="1"/>
  <c r="T172" i="5"/>
  <c r="AA413" i="25" s="1"/>
  <c r="U172" i="5"/>
  <c r="AB413" i="25" s="1"/>
  <c r="B173" i="5"/>
  <c r="I414" i="25" s="1"/>
  <c r="C173" i="5"/>
  <c r="J414" i="25" s="1"/>
  <c r="I173" i="5"/>
  <c r="P414" i="25" s="1"/>
  <c r="K173" i="5"/>
  <c r="R414" i="25" s="1"/>
  <c r="Q173" i="5"/>
  <c r="X414" i="25" s="1"/>
  <c r="T173" i="5"/>
  <c r="AA414" i="25" s="1"/>
  <c r="U173" i="5"/>
  <c r="AB414" i="25" s="1"/>
  <c r="B174" i="5"/>
  <c r="I415" i="25" s="1"/>
  <c r="C174" i="5"/>
  <c r="J415" i="25" s="1"/>
  <c r="I174" i="5"/>
  <c r="P415" i="25" s="1"/>
  <c r="K174" i="5"/>
  <c r="R415" i="25" s="1"/>
  <c r="Q174" i="5"/>
  <c r="X415" i="25" s="1"/>
  <c r="T174" i="5"/>
  <c r="AA415" i="25" s="1"/>
  <c r="U174" i="5"/>
  <c r="AB415" i="25" s="1"/>
  <c r="B175" i="5"/>
  <c r="I416" i="25" s="1"/>
  <c r="C175" i="5"/>
  <c r="J416" i="25" s="1"/>
  <c r="I175" i="5"/>
  <c r="P416" i="25" s="1"/>
  <c r="K175" i="5"/>
  <c r="R416" i="25" s="1"/>
  <c r="Q175" i="5"/>
  <c r="X416" i="25" s="1"/>
  <c r="T175" i="5"/>
  <c r="AA416" i="25" s="1"/>
  <c r="U175" i="5"/>
  <c r="AB416" i="25" s="1"/>
  <c r="B176" i="5"/>
  <c r="I417" i="25" s="1"/>
  <c r="C176" i="5"/>
  <c r="J417" i="25" s="1"/>
  <c r="I176" i="5"/>
  <c r="P417" i="25" s="1"/>
  <c r="K176" i="5"/>
  <c r="R417" i="25" s="1"/>
  <c r="Q176" i="5"/>
  <c r="X417" i="25" s="1"/>
  <c r="T176" i="5"/>
  <c r="AA417" i="25" s="1"/>
  <c r="U176" i="5"/>
  <c r="AB417" i="25" s="1"/>
  <c r="B177" i="5"/>
  <c r="I418" i="25" s="1"/>
  <c r="C177" i="5"/>
  <c r="J418" i="25" s="1"/>
  <c r="I177" i="5"/>
  <c r="P418" i="25" s="1"/>
  <c r="K177" i="5"/>
  <c r="R418" i="25" s="1"/>
  <c r="Q177" i="5"/>
  <c r="X418" i="25" s="1"/>
  <c r="T177" i="5"/>
  <c r="AA418" i="25" s="1"/>
  <c r="U177" i="5"/>
  <c r="AB418" i="25" s="1"/>
  <c r="B178" i="5"/>
  <c r="I419" i="25" s="1"/>
  <c r="C178" i="5"/>
  <c r="J419" i="25" s="1"/>
  <c r="I178" i="5"/>
  <c r="P419" i="25" s="1"/>
  <c r="K178" i="5"/>
  <c r="R419" i="25" s="1"/>
  <c r="Q178" i="5"/>
  <c r="X419" i="25" s="1"/>
  <c r="T178" i="5"/>
  <c r="AA419" i="25" s="1"/>
  <c r="U178" i="5"/>
  <c r="AB419" i="25" s="1"/>
  <c r="B179" i="5"/>
  <c r="I420" i="25" s="1"/>
  <c r="C179" i="5"/>
  <c r="J420" i="25" s="1"/>
  <c r="I179" i="5"/>
  <c r="P420" i="25" s="1"/>
  <c r="K179" i="5"/>
  <c r="R420" i="25" s="1"/>
  <c r="AE420" i="25" s="1"/>
  <c r="Q179" i="5"/>
  <c r="X420" i="25" s="1"/>
  <c r="T179" i="5"/>
  <c r="AA420" i="25" s="1"/>
  <c r="U179" i="5"/>
  <c r="AB420" i="25" s="1"/>
  <c r="B180" i="5"/>
  <c r="I421" i="25" s="1"/>
  <c r="C180" i="5"/>
  <c r="J421" i="25" s="1"/>
  <c r="I180" i="5"/>
  <c r="P421" i="25" s="1"/>
  <c r="K180" i="5"/>
  <c r="R421" i="25" s="1"/>
  <c r="Q180" i="5"/>
  <c r="X421" i="25" s="1"/>
  <c r="T180" i="5"/>
  <c r="AA421" i="25" s="1"/>
  <c r="U180" i="5"/>
  <c r="AB421" i="25" s="1"/>
  <c r="B181" i="5"/>
  <c r="I422" i="25" s="1"/>
  <c r="C181" i="5"/>
  <c r="J422" i="25" s="1"/>
  <c r="I181" i="5"/>
  <c r="P422" i="25" s="1"/>
  <c r="K181" i="5"/>
  <c r="R422" i="25" s="1"/>
  <c r="Q181" i="5"/>
  <c r="X422" i="25" s="1"/>
  <c r="T181" i="5"/>
  <c r="AA422" i="25" s="1"/>
  <c r="U181" i="5"/>
  <c r="AB422" i="25" s="1"/>
  <c r="B182" i="5"/>
  <c r="I423" i="25" s="1"/>
  <c r="C182" i="5"/>
  <c r="J423" i="25" s="1"/>
  <c r="I182" i="5"/>
  <c r="P423" i="25" s="1"/>
  <c r="K182" i="5"/>
  <c r="R423" i="25" s="1"/>
  <c r="Q182" i="5"/>
  <c r="X423" i="25" s="1"/>
  <c r="T182" i="5"/>
  <c r="AA423" i="25" s="1"/>
  <c r="U182" i="5"/>
  <c r="AB423" i="25" s="1"/>
  <c r="B183" i="5"/>
  <c r="I424" i="25" s="1"/>
  <c r="C183" i="5"/>
  <c r="J424" i="25" s="1"/>
  <c r="I183" i="5"/>
  <c r="P424" i="25" s="1"/>
  <c r="K183" i="5"/>
  <c r="R424" i="25" s="1"/>
  <c r="Q183" i="5"/>
  <c r="X424" i="25" s="1"/>
  <c r="T183" i="5"/>
  <c r="AA424" i="25" s="1"/>
  <c r="U183" i="5"/>
  <c r="AB424" i="25" s="1"/>
  <c r="B184" i="5"/>
  <c r="I425" i="25" s="1"/>
  <c r="C184" i="5"/>
  <c r="J425" i="25" s="1"/>
  <c r="I184" i="5"/>
  <c r="P425" i="25" s="1"/>
  <c r="K184" i="5"/>
  <c r="R425" i="25" s="1"/>
  <c r="Q184" i="5"/>
  <c r="X425" i="25" s="1"/>
  <c r="T184" i="5"/>
  <c r="AA425" i="25" s="1"/>
  <c r="U184" i="5"/>
  <c r="AB425" i="25" s="1"/>
  <c r="B185" i="5"/>
  <c r="I426" i="25" s="1"/>
  <c r="C185" i="5"/>
  <c r="J426" i="25" s="1"/>
  <c r="I185" i="5"/>
  <c r="P426" i="25" s="1"/>
  <c r="K185" i="5"/>
  <c r="R426" i="25" s="1"/>
  <c r="Q185" i="5"/>
  <c r="X426" i="25" s="1"/>
  <c r="T185" i="5"/>
  <c r="AA426" i="25" s="1"/>
  <c r="U185" i="5"/>
  <c r="AB426" i="25" s="1"/>
  <c r="B186" i="5"/>
  <c r="I427" i="25" s="1"/>
  <c r="C186" i="5"/>
  <c r="J427" i="25" s="1"/>
  <c r="I186" i="5"/>
  <c r="P427" i="25" s="1"/>
  <c r="K186" i="5"/>
  <c r="R427" i="25" s="1"/>
  <c r="Q186" i="5"/>
  <c r="X427" i="25" s="1"/>
  <c r="T186" i="5"/>
  <c r="AA427" i="25" s="1"/>
  <c r="U186" i="5"/>
  <c r="AB427" i="25" s="1"/>
  <c r="B187" i="5"/>
  <c r="I428" i="25" s="1"/>
  <c r="C187" i="5"/>
  <c r="J428" i="25" s="1"/>
  <c r="I187" i="5"/>
  <c r="P428" i="25" s="1"/>
  <c r="K187" i="5"/>
  <c r="R428" i="25" s="1"/>
  <c r="Q187" i="5"/>
  <c r="X428" i="25" s="1"/>
  <c r="T187" i="5"/>
  <c r="AA428" i="25" s="1"/>
  <c r="U187" i="5"/>
  <c r="AB428" i="25" s="1"/>
  <c r="B188" i="5"/>
  <c r="I429" i="25" s="1"/>
  <c r="C188" i="5"/>
  <c r="J429" i="25" s="1"/>
  <c r="I188" i="5"/>
  <c r="P429" i="25" s="1"/>
  <c r="K188" i="5"/>
  <c r="R429" i="25" s="1"/>
  <c r="Q188" i="5"/>
  <c r="X429" i="25" s="1"/>
  <c r="T188" i="5"/>
  <c r="AA429" i="25" s="1"/>
  <c r="U188" i="5"/>
  <c r="AB429" i="25" s="1"/>
  <c r="B189" i="5"/>
  <c r="I430" i="25" s="1"/>
  <c r="C189" i="5"/>
  <c r="J430" i="25" s="1"/>
  <c r="I189" i="5"/>
  <c r="P430" i="25" s="1"/>
  <c r="K189" i="5"/>
  <c r="R430" i="25" s="1"/>
  <c r="Q189" i="5"/>
  <c r="X430" i="25" s="1"/>
  <c r="T189" i="5"/>
  <c r="AA430" i="25" s="1"/>
  <c r="U189" i="5"/>
  <c r="AB430" i="25" s="1"/>
  <c r="B190" i="5"/>
  <c r="I431" i="25" s="1"/>
  <c r="C190" i="5"/>
  <c r="J431" i="25" s="1"/>
  <c r="I190" i="5"/>
  <c r="P431" i="25" s="1"/>
  <c r="K190" i="5"/>
  <c r="R431" i="25" s="1"/>
  <c r="Q190" i="5"/>
  <c r="X431" i="25" s="1"/>
  <c r="T190" i="5"/>
  <c r="AA431" i="25" s="1"/>
  <c r="U190" i="5"/>
  <c r="AB431" i="25" s="1"/>
  <c r="B191" i="5"/>
  <c r="I432" i="25" s="1"/>
  <c r="C191" i="5"/>
  <c r="J432" i="25" s="1"/>
  <c r="I191" i="5"/>
  <c r="P432" i="25" s="1"/>
  <c r="K191" i="5"/>
  <c r="R432" i="25" s="1"/>
  <c r="Q191" i="5"/>
  <c r="X432" i="25" s="1"/>
  <c r="T191" i="5"/>
  <c r="AA432" i="25" s="1"/>
  <c r="U191" i="5"/>
  <c r="AB432" i="25" s="1"/>
  <c r="B192" i="5"/>
  <c r="I433" i="25" s="1"/>
  <c r="C192" i="5"/>
  <c r="J433" i="25" s="1"/>
  <c r="I192" i="5"/>
  <c r="P433" i="25" s="1"/>
  <c r="K192" i="5"/>
  <c r="R433" i="25" s="1"/>
  <c r="Q192" i="5"/>
  <c r="X433" i="25" s="1"/>
  <c r="T192" i="5"/>
  <c r="AA433" i="25" s="1"/>
  <c r="U192" i="5"/>
  <c r="AB433" i="25" s="1"/>
  <c r="B193" i="5"/>
  <c r="I434" i="25" s="1"/>
  <c r="C193" i="5"/>
  <c r="J434" i="25" s="1"/>
  <c r="I193" i="5"/>
  <c r="P434" i="25" s="1"/>
  <c r="K193" i="5"/>
  <c r="R434" i="25" s="1"/>
  <c r="Q193" i="5"/>
  <c r="X434" i="25" s="1"/>
  <c r="T193" i="5"/>
  <c r="AA434" i="25" s="1"/>
  <c r="U193" i="5"/>
  <c r="AB434" i="25" s="1"/>
  <c r="B194" i="5"/>
  <c r="I435" i="25" s="1"/>
  <c r="C194" i="5"/>
  <c r="J435" i="25" s="1"/>
  <c r="I194" i="5"/>
  <c r="P435" i="25" s="1"/>
  <c r="K194" i="5"/>
  <c r="R435" i="25" s="1"/>
  <c r="Q194" i="5"/>
  <c r="X435" i="25" s="1"/>
  <c r="T194" i="5"/>
  <c r="AA435" i="25" s="1"/>
  <c r="U194" i="5"/>
  <c r="AB435" i="25" s="1"/>
  <c r="B195" i="5"/>
  <c r="I436" i="25" s="1"/>
  <c r="C195" i="5"/>
  <c r="J436" i="25" s="1"/>
  <c r="I195" i="5"/>
  <c r="P436" i="25" s="1"/>
  <c r="K195" i="5"/>
  <c r="R436" i="25" s="1"/>
  <c r="Q195" i="5"/>
  <c r="X436" i="25" s="1"/>
  <c r="T195" i="5"/>
  <c r="AA436" i="25" s="1"/>
  <c r="U195" i="5"/>
  <c r="AB436" i="25" s="1"/>
  <c r="B196" i="5"/>
  <c r="I437" i="25" s="1"/>
  <c r="C196" i="5"/>
  <c r="J437" i="25" s="1"/>
  <c r="I196" i="5"/>
  <c r="P437" i="25" s="1"/>
  <c r="K196" i="5"/>
  <c r="R437" i="25" s="1"/>
  <c r="Q196" i="5"/>
  <c r="X437" i="25" s="1"/>
  <c r="T196" i="5"/>
  <c r="AA437" i="25" s="1"/>
  <c r="U196" i="5"/>
  <c r="AB437" i="25" s="1"/>
  <c r="B197" i="5"/>
  <c r="I438" i="25" s="1"/>
  <c r="C197" i="5"/>
  <c r="J438" i="25" s="1"/>
  <c r="I197" i="5"/>
  <c r="P438" i="25" s="1"/>
  <c r="K197" i="5"/>
  <c r="R438" i="25" s="1"/>
  <c r="Q197" i="5"/>
  <c r="X438" i="25" s="1"/>
  <c r="T197" i="5"/>
  <c r="AA438" i="25" s="1"/>
  <c r="U197" i="5"/>
  <c r="AB438" i="25" s="1"/>
  <c r="B198" i="5"/>
  <c r="I439" i="25" s="1"/>
  <c r="C198" i="5"/>
  <c r="J439" i="25" s="1"/>
  <c r="I198" i="5"/>
  <c r="P439" i="25" s="1"/>
  <c r="K198" i="5"/>
  <c r="R439" i="25" s="1"/>
  <c r="Q198" i="5"/>
  <c r="X439" i="25" s="1"/>
  <c r="T198" i="5"/>
  <c r="AA439" i="25" s="1"/>
  <c r="U198" i="5"/>
  <c r="AB439" i="25" s="1"/>
  <c r="B199" i="5"/>
  <c r="I440" i="25" s="1"/>
  <c r="C199" i="5"/>
  <c r="J440" i="25" s="1"/>
  <c r="I199" i="5"/>
  <c r="P440" i="25" s="1"/>
  <c r="K199" i="5"/>
  <c r="R440" i="25" s="1"/>
  <c r="Q199" i="5"/>
  <c r="X440" i="25" s="1"/>
  <c r="T199" i="5"/>
  <c r="AA440" i="25" s="1"/>
  <c r="U199" i="5"/>
  <c r="AB440" i="25" s="1"/>
  <c r="B200" i="5"/>
  <c r="I441" i="25" s="1"/>
  <c r="C200" i="5"/>
  <c r="J441" i="25" s="1"/>
  <c r="I200" i="5"/>
  <c r="P441" i="25" s="1"/>
  <c r="K200" i="5"/>
  <c r="R441" i="25" s="1"/>
  <c r="Q200" i="5"/>
  <c r="X441" i="25" s="1"/>
  <c r="T200" i="5"/>
  <c r="AA441" i="25" s="1"/>
  <c r="U200" i="5"/>
  <c r="AB441" i="25" s="1"/>
  <c r="B201" i="5"/>
  <c r="I442" i="25" s="1"/>
  <c r="C201" i="5"/>
  <c r="J442" i="25" s="1"/>
  <c r="I201" i="5"/>
  <c r="P442" i="25" s="1"/>
  <c r="K201" i="5"/>
  <c r="R442" i="25" s="1"/>
  <c r="Q201" i="5"/>
  <c r="X442" i="25" s="1"/>
  <c r="T201" i="5"/>
  <c r="AA442" i="25" s="1"/>
  <c r="U201" i="5"/>
  <c r="AB442" i="25" s="1"/>
  <c r="B202" i="5"/>
  <c r="I443" i="25" s="1"/>
  <c r="C202" i="5"/>
  <c r="J443" i="25" s="1"/>
  <c r="I202" i="5"/>
  <c r="P443" i="25" s="1"/>
  <c r="K202" i="5"/>
  <c r="R443" i="25" s="1"/>
  <c r="Q202" i="5"/>
  <c r="X443" i="25" s="1"/>
  <c r="T202" i="5"/>
  <c r="AA443" i="25" s="1"/>
  <c r="U202" i="5"/>
  <c r="AB443" i="25" s="1"/>
  <c r="B203" i="5"/>
  <c r="I444" i="25" s="1"/>
  <c r="C203" i="5"/>
  <c r="J444" i="25" s="1"/>
  <c r="I203" i="5"/>
  <c r="P444" i="25" s="1"/>
  <c r="K203" i="5"/>
  <c r="R444" i="25" s="1"/>
  <c r="Q203" i="5"/>
  <c r="X444" i="25" s="1"/>
  <c r="T203" i="5"/>
  <c r="AA444" i="25" s="1"/>
  <c r="U203" i="5"/>
  <c r="AB444" i="25" s="1"/>
  <c r="B204" i="5"/>
  <c r="I445" i="25" s="1"/>
  <c r="C204" i="5"/>
  <c r="J445" i="25" s="1"/>
  <c r="I204" i="5"/>
  <c r="P445" i="25" s="1"/>
  <c r="K204" i="5"/>
  <c r="R445" i="25" s="1"/>
  <c r="Q204" i="5"/>
  <c r="X445" i="25" s="1"/>
  <c r="T204" i="5"/>
  <c r="AA445" i="25" s="1"/>
  <c r="U204" i="5"/>
  <c r="AB445" i="25" s="1"/>
  <c r="B205" i="5"/>
  <c r="I446" i="25" s="1"/>
  <c r="C205" i="5"/>
  <c r="J446" i="25" s="1"/>
  <c r="I205" i="5"/>
  <c r="P446" i="25" s="1"/>
  <c r="K205" i="5"/>
  <c r="R446" i="25" s="1"/>
  <c r="Q205" i="5"/>
  <c r="X446" i="25" s="1"/>
  <c r="T205" i="5"/>
  <c r="AA446" i="25" s="1"/>
  <c r="U205" i="5"/>
  <c r="AB446" i="25" s="1"/>
  <c r="B206" i="5"/>
  <c r="I447" i="25" s="1"/>
  <c r="C206" i="5"/>
  <c r="J447" i="25" s="1"/>
  <c r="I206" i="5"/>
  <c r="P447" i="25" s="1"/>
  <c r="K206" i="5"/>
  <c r="R447" i="25" s="1"/>
  <c r="Q206" i="5"/>
  <c r="X447" i="25" s="1"/>
  <c r="T206" i="5"/>
  <c r="AA447" i="25" s="1"/>
  <c r="U206" i="5"/>
  <c r="AB447" i="25" s="1"/>
  <c r="B207" i="5"/>
  <c r="I448" i="25" s="1"/>
  <c r="C207" i="5"/>
  <c r="J448" i="25" s="1"/>
  <c r="I207" i="5"/>
  <c r="P448" i="25" s="1"/>
  <c r="K207" i="5"/>
  <c r="R448" i="25" s="1"/>
  <c r="Q207" i="5"/>
  <c r="X448" i="25" s="1"/>
  <c r="T207" i="5"/>
  <c r="AA448" i="25" s="1"/>
  <c r="U207" i="5"/>
  <c r="AB448" i="25" s="1"/>
  <c r="B208" i="5"/>
  <c r="I449" i="25" s="1"/>
  <c r="C208" i="5"/>
  <c r="J449" i="25" s="1"/>
  <c r="I208" i="5"/>
  <c r="P449" i="25" s="1"/>
  <c r="K208" i="5"/>
  <c r="R449" i="25" s="1"/>
  <c r="Q208" i="5"/>
  <c r="X449" i="25" s="1"/>
  <c r="T208" i="5"/>
  <c r="AA449" i="25" s="1"/>
  <c r="U208" i="5"/>
  <c r="AB449" i="25" s="1"/>
  <c r="B209" i="5"/>
  <c r="I450" i="25" s="1"/>
  <c r="C209" i="5"/>
  <c r="J450" i="25" s="1"/>
  <c r="I209" i="5"/>
  <c r="P450" i="25" s="1"/>
  <c r="K209" i="5"/>
  <c r="R450" i="25" s="1"/>
  <c r="Q209" i="5"/>
  <c r="X450" i="25" s="1"/>
  <c r="T209" i="5"/>
  <c r="AA450" i="25" s="1"/>
  <c r="U209" i="5"/>
  <c r="AB450" i="25" s="1"/>
  <c r="B210" i="5"/>
  <c r="I451" i="25" s="1"/>
  <c r="C210" i="5"/>
  <c r="J451" i="25" s="1"/>
  <c r="I210" i="5"/>
  <c r="P451" i="25" s="1"/>
  <c r="K210" i="5"/>
  <c r="R451" i="25" s="1"/>
  <c r="Q210" i="5"/>
  <c r="X451" i="25" s="1"/>
  <c r="T210" i="5"/>
  <c r="AA451" i="25" s="1"/>
  <c r="U210" i="5"/>
  <c r="AB451" i="25" s="1"/>
  <c r="B211" i="5"/>
  <c r="I452" i="25" s="1"/>
  <c r="C211" i="5"/>
  <c r="J452" i="25" s="1"/>
  <c r="I211" i="5"/>
  <c r="P452" i="25" s="1"/>
  <c r="K211" i="5"/>
  <c r="R452" i="25" s="1"/>
  <c r="Q211" i="5"/>
  <c r="X452" i="25" s="1"/>
  <c r="T211" i="5"/>
  <c r="AA452" i="25" s="1"/>
  <c r="U211" i="5"/>
  <c r="AB452" i="25" s="1"/>
  <c r="B212" i="5"/>
  <c r="I453" i="25" s="1"/>
  <c r="C212" i="5"/>
  <c r="J453" i="25" s="1"/>
  <c r="I212" i="5"/>
  <c r="P453" i="25" s="1"/>
  <c r="K212" i="5"/>
  <c r="R453" i="25" s="1"/>
  <c r="Q212" i="5"/>
  <c r="X453" i="25" s="1"/>
  <c r="T212" i="5"/>
  <c r="AA453" i="25" s="1"/>
  <c r="U212" i="5"/>
  <c r="AB453" i="25" s="1"/>
  <c r="B213" i="5"/>
  <c r="I454" i="25" s="1"/>
  <c r="C213" i="5"/>
  <c r="J454" i="25" s="1"/>
  <c r="I213" i="5"/>
  <c r="P454" i="25" s="1"/>
  <c r="K213" i="5"/>
  <c r="R454" i="25" s="1"/>
  <c r="Q213" i="5"/>
  <c r="X454" i="25" s="1"/>
  <c r="T213" i="5"/>
  <c r="AA454" i="25" s="1"/>
  <c r="U213" i="5"/>
  <c r="AB454" i="25" s="1"/>
  <c r="B214" i="5"/>
  <c r="I455" i="25" s="1"/>
  <c r="C214" i="5"/>
  <c r="J455" i="25" s="1"/>
  <c r="I214" i="5"/>
  <c r="P455" i="25" s="1"/>
  <c r="K214" i="5"/>
  <c r="R455" i="25" s="1"/>
  <c r="Q214" i="5"/>
  <c r="X455" i="25" s="1"/>
  <c r="T214" i="5"/>
  <c r="AA455" i="25" s="1"/>
  <c r="U214" i="5"/>
  <c r="AB455" i="25" s="1"/>
  <c r="B215" i="5"/>
  <c r="I456" i="25" s="1"/>
  <c r="C215" i="5"/>
  <c r="J456" i="25" s="1"/>
  <c r="I215" i="5"/>
  <c r="P456" i="25" s="1"/>
  <c r="K215" i="5"/>
  <c r="R456" i="25" s="1"/>
  <c r="Q215" i="5"/>
  <c r="X456" i="25" s="1"/>
  <c r="T215" i="5"/>
  <c r="AA456" i="25" s="1"/>
  <c r="U215" i="5"/>
  <c r="AB456" i="25" s="1"/>
  <c r="B216" i="5"/>
  <c r="I457" i="25" s="1"/>
  <c r="C216" i="5"/>
  <c r="J457" i="25" s="1"/>
  <c r="I216" i="5"/>
  <c r="P457" i="25" s="1"/>
  <c r="K216" i="5"/>
  <c r="R457" i="25" s="1"/>
  <c r="Q216" i="5"/>
  <c r="X457" i="25" s="1"/>
  <c r="T216" i="5"/>
  <c r="AA457" i="25" s="1"/>
  <c r="U216" i="5"/>
  <c r="AB457" i="25" s="1"/>
  <c r="B217" i="5"/>
  <c r="I458" i="25" s="1"/>
  <c r="C217" i="5"/>
  <c r="J458" i="25" s="1"/>
  <c r="I217" i="5"/>
  <c r="P458" i="25" s="1"/>
  <c r="K217" i="5"/>
  <c r="R458" i="25" s="1"/>
  <c r="Q217" i="5"/>
  <c r="X458" i="25" s="1"/>
  <c r="T217" i="5"/>
  <c r="AA458" i="25" s="1"/>
  <c r="U217" i="5"/>
  <c r="AB458" i="25" s="1"/>
  <c r="B218" i="5"/>
  <c r="I459" i="25" s="1"/>
  <c r="C218" i="5"/>
  <c r="J459" i="25" s="1"/>
  <c r="I218" i="5"/>
  <c r="P459" i="25" s="1"/>
  <c r="K218" i="5"/>
  <c r="R459" i="25" s="1"/>
  <c r="Q218" i="5"/>
  <c r="X459" i="25" s="1"/>
  <c r="T218" i="5"/>
  <c r="AA459" i="25" s="1"/>
  <c r="U218" i="5"/>
  <c r="AB459" i="25" s="1"/>
  <c r="B219" i="5"/>
  <c r="I460" i="25" s="1"/>
  <c r="C219" i="5"/>
  <c r="J460" i="25" s="1"/>
  <c r="I219" i="5"/>
  <c r="P460" i="25" s="1"/>
  <c r="K219" i="5"/>
  <c r="R460" i="25" s="1"/>
  <c r="Q219" i="5"/>
  <c r="X460" i="25" s="1"/>
  <c r="T219" i="5"/>
  <c r="AA460" i="25" s="1"/>
  <c r="U219" i="5"/>
  <c r="AB460" i="25" s="1"/>
  <c r="B220" i="5"/>
  <c r="I461" i="25" s="1"/>
  <c r="C220" i="5"/>
  <c r="J461" i="25" s="1"/>
  <c r="I220" i="5"/>
  <c r="P461" i="25" s="1"/>
  <c r="K220" i="5"/>
  <c r="R461" i="25" s="1"/>
  <c r="Q220" i="5"/>
  <c r="X461" i="25" s="1"/>
  <c r="T220" i="5"/>
  <c r="AA461" i="25" s="1"/>
  <c r="U220" i="5"/>
  <c r="AB461" i="25" s="1"/>
  <c r="B221" i="5"/>
  <c r="I462" i="25" s="1"/>
  <c r="C221" i="5"/>
  <c r="J462" i="25" s="1"/>
  <c r="I221" i="5"/>
  <c r="P462" i="25" s="1"/>
  <c r="K221" i="5"/>
  <c r="R462" i="25" s="1"/>
  <c r="Q221" i="5"/>
  <c r="X462" i="25" s="1"/>
  <c r="T221" i="5"/>
  <c r="AA462" i="25" s="1"/>
  <c r="U221" i="5"/>
  <c r="AB462" i="25" s="1"/>
  <c r="B222" i="5"/>
  <c r="I463" i="25" s="1"/>
  <c r="C222" i="5"/>
  <c r="J463" i="25" s="1"/>
  <c r="I222" i="5"/>
  <c r="P463" i="25" s="1"/>
  <c r="K222" i="5"/>
  <c r="R463" i="25" s="1"/>
  <c r="Q222" i="5"/>
  <c r="X463" i="25" s="1"/>
  <c r="T222" i="5"/>
  <c r="AA463" i="25" s="1"/>
  <c r="U222" i="5"/>
  <c r="AB463" i="25" s="1"/>
  <c r="B223" i="5"/>
  <c r="I464" i="25" s="1"/>
  <c r="C223" i="5"/>
  <c r="J464" i="25" s="1"/>
  <c r="I223" i="5"/>
  <c r="P464" i="25" s="1"/>
  <c r="K223" i="5"/>
  <c r="R464" i="25" s="1"/>
  <c r="Q223" i="5"/>
  <c r="X464" i="25" s="1"/>
  <c r="T223" i="5"/>
  <c r="AA464" i="25" s="1"/>
  <c r="U223" i="5"/>
  <c r="AB464" i="25" s="1"/>
  <c r="B224" i="5"/>
  <c r="I465" i="25" s="1"/>
  <c r="C224" i="5"/>
  <c r="J465" i="25" s="1"/>
  <c r="I224" i="5"/>
  <c r="P465" i="25" s="1"/>
  <c r="K224" i="5"/>
  <c r="R465" i="25" s="1"/>
  <c r="Q224" i="5"/>
  <c r="X465" i="25" s="1"/>
  <c r="T224" i="5"/>
  <c r="AA465" i="25" s="1"/>
  <c r="U224" i="5"/>
  <c r="AB465" i="25" s="1"/>
  <c r="B225" i="5"/>
  <c r="I466" i="25" s="1"/>
  <c r="C225" i="5"/>
  <c r="J466" i="25" s="1"/>
  <c r="I225" i="5"/>
  <c r="P466" i="25" s="1"/>
  <c r="K225" i="5"/>
  <c r="R466" i="25" s="1"/>
  <c r="Q225" i="5"/>
  <c r="X466" i="25" s="1"/>
  <c r="T225" i="5"/>
  <c r="AA466" i="25" s="1"/>
  <c r="U225" i="5"/>
  <c r="AB466" i="25" s="1"/>
  <c r="B226" i="5"/>
  <c r="I467" i="25" s="1"/>
  <c r="C226" i="5"/>
  <c r="J467" i="25" s="1"/>
  <c r="I226" i="5"/>
  <c r="P467" i="25" s="1"/>
  <c r="K226" i="5"/>
  <c r="R467" i="25" s="1"/>
  <c r="Q226" i="5"/>
  <c r="X467" i="25" s="1"/>
  <c r="T226" i="5"/>
  <c r="AA467" i="25" s="1"/>
  <c r="U226" i="5"/>
  <c r="AB467" i="25" s="1"/>
  <c r="B227" i="5"/>
  <c r="I468" i="25" s="1"/>
  <c r="C227" i="5"/>
  <c r="J468" i="25" s="1"/>
  <c r="I227" i="5"/>
  <c r="P468" i="25" s="1"/>
  <c r="K227" i="5"/>
  <c r="R468" i="25" s="1"/>
  <c r="Q227" i="5"/>
  <c r="X468" i="25" s="1"/>
  <c r="T227" i="5"/>
  <c r="AA468" i="25" s="1"/>
  <c r="U227" i="5"/>
  <c r="AB468" i="25" s="1"/>
  <c r="B228" i="5"/>
  <c r="I469" i="25" s="1"/>
  <c r="C228" i="5"/>
  <c r="J469" i="25" s="1"/>
  <c r="I228" i="5"/>
  <c r="P469" i="25" s="1"/>
  <c r="K228" i="5"/>
  <c r="R469" i="25" s="1"/>
  <c r="Q228" i="5"/>
  <c r="X469" i="25" s="1"/>
  <c r="T228" i="5"/>
  <c r="AA469" i="25" s="1"/>
  <c r="U228" i="5"/>
  <c r="AB469" i="25" s="1"/>
  <c r="B229" i="5"/>
  <c r="I470" i="25" s="1"/>
  <c r="C229" i="5"/>
  <c r="J470" i="25" s="1"/>
  <c r="I229" i="5"/>
  <c r="P470" i="25" s="1"/>
  <c r="K229" i="5"/>
  <c r="R470" i="25" s="1"/>
  <c r="Q229" i="5"/>
  <c r="X470" i="25" s="1"/>
  <c r="T229" i="5"/>
  <c r="AA470" i="25" s="1"/>
  <c r="U229" i="5"/>
  <c r="AB470" i="25" s="1"/>
  <c r="B230" i="5"/>
  <c r="I471" i="25" s="1"/>
  <c r="C230" i="5"/>
  <c r="J471" i="25" s="1"/>
  <c r="I230" i="5"/>
  <c r="P471" i="25" s="1"/>
  <c r="K230" i="5"/>
  <c r="R471" i="25" s="1"/>
  <c r="Q230" i="5"/>
  <c r="X471" i="25" s="1"/>
  <c r="T230" i="5"/>
  <c r="AA471" i="25" s="1"/>
  <c r="U230" i="5"/>
  <c r="AB471" i="25" s="1"/>
  <c r="B231" i="5"/>
  <c r="I472" i="25" s="1"/>
  <c r="C231" i="5"/>
  <c r="J472" i="25" s="1"/>
  <c r="I231" i="5"/>
  <c r="P472" i="25" s="1"/>
  <c r="K231" i="5"/>
  <c r="R472" i="25" s="1"/>
  <c r="Q231" i="5"/>
  <c r="X472" i="25" s="1"/>
  <c r="T231" i="5"/>
  <c r="AA472" i="25" s="1"/>
  <c r="U231" i="5"/>
  <c r="AB472" i="25" s="1"/>
  <c r="B232" i="5"/>
  <c r="I473" i="25" s="1"/>
  <c r="C232" i="5"/>
  <c r="J473" i="25" s="1"/>
  <c r="I232" i="5"/>
  <c r="P473" i="25" s="1"/>
  <c r="K232" i="5"/>
  <c r="R473" i="25" s="1"/>
  <c r="Q232" i="5"/>
  <c r="X473" i="25" s="1"/>
  <c r="T232" i="5"/>
  <c r="AA473" i="25" s="1"/>
  <c r="U232" i="5"/>
  <c r="AB473" i="25" s="1"/>
  <c r="B233" i="5"/>
  <c r="I474" i="25" s="1"/>
  <c r="C233" i="5"/>
  <c r="J474" i="25" s="1"/>
  <c r="I233" i="5"/>
  <c r="P474" i="25" s="1"/>
  <c r="K233" i="5"/>
  <c r="R474" i="25" s="1"/>
  <c r="Q233" i="5"/>
  <c r="X474" i="25" s="1"/>
  <c r="T233" i="5"/>
  <c r="AA474" i="25" s="1"/>
  <c r="U233" i="5"/>
  <c r="AB474" i="25" s="1"/>
  <c r="B234" i="5"/>
  <c r="I475" i="25" s="1"/>
  <c r="C234" i="5"/>
  <c r="J475" i="25" s="1"/>
  <c r="I234" i="5"/>
  <c r="P475" i="25" s="1"/>
  <c r="K234" i="5"/>
  <c r="R475" i="25" s="1"/>
  <c r="Q234" i="5"/>
  <c r="X475" i="25" s="1"/>
  <c r="T234" i="5"/>
  <c r="AA475" i="25" s="1"/>
  <c r="U234" i="5"/>
  <c r="AB475" i="25" s="1"/>
  <c r="B235" i="5"/>
  <c r="I476" i="25" s="1"/>
  <c r="C235" i="5"/>
  <c r="J476" i="25" s="1"/>
  <c r="I235" i="5"/>
  <c r="P476" i="25" s="1"/>
  <c r="K235" i="5"/>
  <c r="R476" i="25" s="1"/>
  <c r="Q235" i="5"/>
  <c r="X476" i="25" s="1"/>
  <c r="T235" i="5"/>
  <c r="AA476" i="25" s="1"/>
  <c r="U235" i="5"/>
  <c r="AB476" i="25" s="1"/>
  <c r="B236" i="5"/>
  <c r="I477" i="25" s="1"/>
  <c r="C236" i="5"/>
  <c r="J477" i="25" s="1"/>
  <c r="I236" i="5"/>
  <c r="P477" i="25" s="1"/>
  <c r="K236" i="5"/>
  <c r="R477" i="25" s="1"/>
  <c r="Q236" i="5"/>
  <c r="X477" i="25" s="1"/>
  <c r="T236" i="5"/>
  <c r="AA477" i="25" s="1"/>
  <c r="U236" i="5"/>
  <c r="AB477" i="25" s="1"/>
  <c r="B237" i="5"/>
  <c r="I478" i="25" s="1"/>
  <c r="C237" i="5"/>
  <c r="J478" i="25" s="1"/>
  <c r="I237" i="5"/>
  <c r="P478" i="25" s="1"/>
  <c r="K237" i="5"/>
  <c r="R478" i="25" s="1"/>
  <c r="Q237" i="5"/>
  <c r="X478" i="25" s="1"/>
  <c r="T237" i="5"/>
  <c r="AA478" i="25" s="1"/>
  <c r="U237" i="5"/>
  <c r="AB478" i="25" s="1"/>
  <c r="B238" i="5"/>
  <c r="I479" i="25" s="1"/>
  <c r="C238" i="5"/>
  <c r="J479" i="25" s="1"/>
  <c r="I238" i="5"/>
  <c r="P479" i="25" s="1"/>
  <c r="K238" i="5"/>
  <c r="R479" i="25" s="1"/>
  <c r="Q238" i="5"/>
  <c r="X479" i="25" s="1"/>
  <c r="T238" i="5"/>
  <c r="AA479" i="25" s="1"/>
  <c r="U238" i="5"/>
  <c r="AB479" i="25" s="1"/>
  <c r="B239" i="5"/>
  <c r="I480" i="25" s="1"/>
  <c r="C239" i="5"/>
  <c r="J480" i="25" s="1"/>
  <c r="I239" i="5"/>
  <c r="P480" i="25" s="1"/>
  <c r="K239" i="5"/>
  <c r="R480" i="25" s="1"/>
  <c r="Q239" i="5"/>
  <c r="X480" i="25" s="1"/>
  <c r="T239" i="5"/>
  <c r="AA480" i="25" s="1"/>
  <c r="U239" i="5"/>
  <c r="AB480" i="25" s="1"/>
  <c r="B240" i="5"/>
  <c r="I481" i="25" s="1"/>
  <c r="C240" i="5"/>
  <c r="J481" i="25" s="1"/>
  <c r="I240" i="5"/>
  <c r="P481" i="25" s="1"/>
  <c r="K240" i="5"/>
  <c r="R481" i="25" s="1"/>
  <c r="Q240" i="5"/>
  <c r="X481" i="25" s="1"/>
  <c r="T240" i="5"/>
  <c r="AA481" i="25" s="1"/>
  <c r="U240" i="5"/>
  <c r="AB481" i="25" s="1"/>
  <c r="B241" i="5"/>
  <c r="I482" i="25" s="1"/>
  <c r="C241" i="5"/>
  <c r="J482" i="25" s="1"/>
  <c r="I241" i="5"/>
  <c r="P482" i="25" s="1"/>
  <c r="K241" i="5"/>
  <c r="R482" i="25" s="1"/>
  <c r="Q241" i="5"/>
  <c r="X482" i="25" s="1"/>
  <c r="T241" i="5"/>
  <c r="AA482" i="25" s="1"/>
  <c r="U241" i="5"/>
  <c r="AB482" i="25" s="1"/>
  <c r="B242" i="5"/>
  <c r="I483" i="25" s="1"/>
  <c r="C242" i="5"/>
  <c r="J483" i="25" s="1"/>
  <c r="I242" i="5"/>
  <c r="P483" i="25" s="1"/>
  <c r="K242" i="5"/>
  <c r="R483" i="25" s="1"/>
  <c r="Q242" i="5"/>
  <c r="X483" i="25" s="1"/>
  <c r="T242" i="5"/>
  <c r="AA483" i="25" s="1"/>
  <c r="U242" i="5"/>
  <c r="AB483" i="25" s="1"/>
  <c r="B243" i="5"/>
  <c r="I484" i="25" s="1"/>
  <c r="C243" i="5"/>
  <c r="J484" i="25" s="1"/>
  <c r="I243" i="5"/>
  <c r="P484" i="25" s="1"/>
  <c r="K243" i="5"/>
  <c r="R484" i="25" s="1"/>
  <c r="Q243" i="5"/>
  <c r="X484" i="25" s="1"/>
  <c r="T243" i="5"/>
  <c r="AA484" i="25" s="1"/>
  <c r="U243" i="5"/>
  <c r="AB484" i="25" s="1"/>
  <c r="B244" i="5"/>
  <c r="I485" i="25" s="1"/>
  <c r="C244" i="5"/>
  <c r="J485" i="25" s="1"/>
  <c r="I244" i="5"/>
  <c r="P485" i="25" s="1"/>
  <c r="K244" i="5"/>
  <c r="R485" i="25" s="1"/>
  <c r="Q244" i="5"/>
  <c r="X485" i="25" s="1"/>
  <c r="T244" i="5"/>
  <c r="AA485" i="25" s="1"/>
  <c r="U244" i="5"/>
  <c r="AB485" i="25" s="1"/>
  <c r="B245" i="5"/>
  <c r="I486" i="25" s="1"/>
  <c r="C245" i="5"/>
  <c r="J486" i="25" s="1"/>
  <c r="I245" i="5"/>
  <c r="P486" i="25" s="1"/>
  <c r="K245" i="5"/>
  <c r="R486" i="25" s="1"/>
  <c r="Q245" i="5"/>
  <c r="X486" i="25" s="1"/>
  <c r="T245" i="5"/>
  <c r="AA486" i="25" s="1"/>
  <c r="U245" i="5"/>
  <c r="AB486" i="25" s="1"/>
  <c r="B246" i="5"/>
  <c r="I487" i="25" s="1"/>
  <c r="C246" i="5"/>
  <c r="J487" i="25" s="1"/>
  <c r="I246" i="5"/>
  <c r="P487" i="25" s="1"/>
  <c r="K246" i="5"/>
  <c r="R487" i="25" s="1"/>
  <c r="Q246" i="5"/>
  <c r="X487" i="25" s="1"/>
  <c r="T246" i="5"/>
  <c r="AA487" i="25" s="1"/>
  <c r="U246" i="5"/>
  <c r="AB487" i="25" s="1"/>
  <c r="B247" i="5"/>
  <c r="I488" i="25" s="1"/>
  <c r="C247" i="5"/>
  <c r="J488" i="25" s="1"/>
  <c r="I247" i="5"/>
  <c r="P488" i="25" s="1"/>
  <c r="K247" i="5"/>
  <c r="R488" i="25" s="1"/>
  <c r="Q247" i="5"/>
  <c r="X488" i="25" s="1"/>
  <c r="T247" i="5"/>
  <c r="AA488" i="25" s="1"/>
  <c r="U247" i="5"/>
  <c r="AB488" i="25" s="1"/>
  <c r="B248" i="5"/>
  <c r="I489" i="25" s="1"/>
  <c r="C248" i="5"/>
  <c r="J489" i="25" s="1"/>
  <c r="I248" i="5"/>
  <c r="P489" i="25" s="1"/>
  <c r="K248" i="5"/>
  <c r="R489" i="25" s="1"/>
  <c r="Q248" i="5"/>
  <c r="X489" i="25" s="1"/>
  <c r="T248" i="5"/>
  <c r="AA489" i="25" s="1"/>
  <c r="U248" i="5"/>
  <c r="AB489" i="25" s="1"/>
  <c r="B249" i="5"/>
  <c r="I490" i="25" s="1"/>
  <c r="C249" i="5"/>
  <c r="J490" i="25" s="1"/>
  <c r="I249" i="5"/>
  <c r="P490" i="25" s="1"/>
  <c r="K249" i="5"/>
  <c r="R490" i="25" s="1"/>
  <c r="Q249" i="5"/>
  <c r="X490" i="25" s="1"/>
  <c r="T249" i="5"/>
  <c r="AA490" i="25" s="1"/>
  <c r="U249" i="5"/>
  <c r="AB490" i="25" s="1"/>
  <c r="B250" i="5"/>
  <c r="I491" i="25" s="1"/>
  <c r="C250" i="5"/>
  <c r="J491" i="25" s="1"/>
  <c r="I250" i="5"/>
  <c r="P491" i="25" s="1"/>
  <c r="K250" i="5"/>
  <c r="R491" i="25" s="1"/>
  <c r="Q250" i="5"/>
  <c r="X491" i="25" s="1"/>
  <c r="T250" i="5"/>
  <c r="AA491" i="25" s="1"/>
  <c r="U250" i="5"/>
  <c r="AB491" i="25" s="1"/>
  <c r="U124" i="5"/>
  <c r="U125" i="5"/>
  <c r="U126" i="5"/>
  <c r="U127" i="5"/>
  <c r="U128" i="5"/>
  <c r="U129" i="5"/>
  <c r="U130" i="5"/>
  <c r="U131" i="5"/>
  <c r="U132" i="5"/>
  <c r="U133" i="5"/>
  <c r="U134" i="5"/>
  <c r="U135" i="5"/>
  <c r="U136" i="5"/>
  <c r="U137" i="5"/>
  <c r="U138" i="5"/>
  <c r="U139" i="5"/>
  <c r="U140" i="5"/>
  <c r="U141" i="5"/>
  <c r="U142" i="5"/>
  <c r="U143" i="5"/>
  <c r="U144" i="5"/>
  <c r="U145" i="5"/>
  <c r="U146" i="5"/>
  <c r="U147" i="5"/>
  <c r="U148" i="5"/>
  <c r="U149" i="5"/>
  <c r="U150" i="5"/>
  <c r="U151" i="5"/>
  <c r="U152" i="5"/>
  <c r="U153" i="5"/>
  <c r="U154" i="5"/>
  <c r="U155" i="5"/>
  <c r="T124" i="5"/>
  <c r="T125" i="5"/>
  <c r="T126" i="5"/>
  <c r="T127" i="5"/>
  <c r="T128" i="5"/>
  <c r="T129" i="5"/>
  <c r="T130" i="5"/>
  <c r="T131" i="5"/>
  <c r="T132" i="5"/>
  <c r="T133" i="5"/>
  <c r="T134" i="5"/>
  <c r="T135" i="5"/>
  <c r="T136" i="5"/>
  <c r="T137" i="5"/>
  <c r="T138" i="5"/>
  <c r="T139" i="5"/>
  <c r="T140" i="5"/>
  <c r="T141" i="5"/>
  <c r="T142" i="5"/>
  <c r="T143" i="5"/>
  <c r="T144" i="5"/>
  <c r="T145" i="5"/>
  <c r="T146" i="5"/>
  <c r="T147" i="5"/>
  <c r="T148" i="5"/>
  <c r="T149" i="5"/>
  <c r="T150" i="5"/>
  <c r="T151" i="5"/>
  <c r="T152" i="5"/>
  <c r="T153" i="5"/>
  <c r="T154" i="5"/>
  <c r="T155" i="5"/>
  <c r="Q8" i="5"/>
  <c r="Q9" i="5"/>
  <c r="Q10" i="5"/>
  <c r="Q11" i="5"/>
  <c r="Q12" i="5"/>
  <c r="Q13" i="5"/>
  <c r="Q14" i="5"/>
  <c r="Q15" i="5"/>
  <c r="Q16" i="5"/>
  <c r="Q17" i="5"/>
  <c r="Q18" i="5"/>
  <c r="Q19" i="5"/>
  <c r="Q20" i="5"/>
  <c r="Q21" i="5"/>
  <c r="Q22" i="5"/>
  <c r="Q23" i="5"/>
  <c r="Q24" i="5"/>
  <c r="Q25" i="5"/>
  <c r="Q26" i="5"/>
  <c r="Q27" i="5"/>
  <c r="Q28" i="5"/>
  <c r="Q29" i="5"/>
  <c r="Q30" i="5"/>
  <c r="Q31" i="5"/>
  <c r="Q32" i="5"/>
  <c r="Q33" i="5"/>
  <c r="Q34" i="5"/>
  <c r="Q35" i="5"/>
  <c r="Q36" i="5"/>
  <c r="Q37" i="5"/>
  <c r="Q38" i="5"/>
  <c r="Q39" i="5"/>
  <c r="Q40" i="5"/>
  <c r="Q41" i="5"/>
  <c r="Q42" i="5"/>
  <c r="Q43" i="5"/>
  <c r="Q44" i="5"/>
  <c r="Q45" i="5"/>
  <c r="Q46" i="5"/>
  <c r="Q47" i="5"/>
  <c r="Q48" i="5"/>
  <c r="Q49" i="5"/>
  <c r="Q50" i="5"/>
  <c r="Q51" i="5"/>
  <c r="Q52" i="5"/>
  <c r="Q53" i="5"/>
  <c r="Q54" i="5"/>
  <c r="Q55" i="5"/>
  <c r="Q56" i="5"/>
  <c r="Q57" i="5"/>
  <c r="Q58" i="5"/>
  <c r="Q59" i="5"/>
  <c r="Q60" i="5"/>
  <c r="Q61" i="5"/>
  <c r="Q62" i="5"/>
  <c r="Q63" i="5"/>
  <c r="Q64" i="5"/>
  <c r="Q65" i="5"/>
  <c r="Q66" i="5"/>
  <c r="Q67" i="5"/>
  <c r="Q68" i="5"/>
  <c r="Q69" i="5"/>
  <c r="Q70" i="5"/>
  <c r="Q71" i="5"/>
  <c r="Q72" i="5"/>
  <c r="Q73" i="5"/>
  <c r="Q74" i="5"/>
  <c r="Q75" i="5"/>
  <c r="Q76" i="5"/>
  <c r="Q77" i="5"/>
  <c r="Q78" i="5"/>
  <c r="Q79" i="5"/>
  <c r="Q80" i="5"/>
  <c r="Q81" i="5"/>
  <c r="Q82" i="5"/>
  <c r="Q83" i="5"/>
  <c r="Q84" i="5"/>
  <c r="Q85" i="5"/>
  <c r="Q86" i="5"/>
  <c r="Q87" i="5"/>
  <c r="Q88" i="5"/>
  <c r="Q89" i="5"/>
  <c r="Q90" i="5"/>
  <c r="Q91" i="5"/>
  <c r="Q92" i="5"/>
  <c r="Q93" i="5"/>
  <c r="Q94" i="5"/>
  <c r="Q95" i="5"/>
  <c r="Q96" i="5"/>
  <c r="Q97" i="5"/>
  <c r="Q98" i="5"/>
  <c r="Q99" i="5"/>
  <c r="Q100" i="5"/>
  <c r="Q101" i="5"/>
  <c r="Q102" i="5"/>
  <c r="Q103" i="5"/>
  <c r="Q104" i="5"/>
  <c r="Q105" i="5"/>
  <c r="Q106" i="5"/>
  <c r="Q107" i="5"/>
  <c r="Q108" i="5"/>
  <c r="Q109" i="5"/>
  <c r="Q110" i="5"/>
  <c r="Q111" i="5"/>
  <c r="Q112" i="5"/>
  <c r="Q113" i="5"/>
  <c r="Q114" i="5"/>
  <c r="Q115" i="5"/>
  <c r="Q116" i="5"/>
  <c r="Q117" i="5"/>
  <c r="U23" i="17"/>
  <c r="U22" i="17"/>
  <c r="T24" i="17"/>
  <c r="T23" i="17"/>
  <c r="T22" i="17"/>
  <c r="D80" i="18"/>
  <c r="D79" i="18"/>
  <c r="D78" i="18"/>
  <c r="D77" i="18"/>
  <c r="C79" i="18"/>
  <c r="C78" i="18"/>
  <c r="C77" i="18"/>
  <c r="B28" i="26"/>
  <c r="B29" i="26"/>
  <c r="B30" i="26"/>
  <c r="B31" i="26"/>
  <c r="G66" i="19"/>
  <c r="G67" i="19"/>
  <c r="G68" i="19"/>
  <c r="G69" i="19"/>
  <c r="G70" i="19"/>
  <c r="G71" i="19"/>
  <c r="G72" i="19"/>
  <c r="G73" i="19"/>
  <c r="G74" i="19"/>
  <c r="Y68" i="11"/>
  <c r="Y69" i="11"/>
  <c r="Y70" i="11"/>
  <c r="Y71" i="11"/>
  <c r="Y72" i="11"/>
  <c r="Y73" i="11"/>
  <c r="Y74" i="11"/>
  <c r="Y75" i="11"/>
  <c r="Y76" i="11"/>
  <c r="Y77" i="11"/>
  <c r="Y78" i="11"/>
  <c r="Y79" i="11"/>
  <c r="Y80" i="11"/>
  <c r="Y81" i="11"/>
  <c r="Y82" i="11"/>
  <c r="Y67" i="11"/>
  <c r="Y42" i="11"/>
  <c r="Y43" i="11"/>
  <c r="Y44" i="11"/>
  <c r="Y45" i="11"/>
  <c r="Y46" i="11"/>
  <c r="Y47" i="11"/>
  <c r="Y48" i="11"/>
  <c r="Y49" i="11"/>
  <c r="Y50" i="11"/>
  <c r="Y51" i="11"/>
  <c r="Y52" i="11"/>
  <c r="Y53" i="11"/>
  <c r="Y54" i="11"/>
  <c r="Y55" i="11"/>
  <c r="Y56" i="11"/>
  <c r="Y57" i="11"/>
  <c r="Y58" i="11"/>
  <c r="Y59" i="11"/>
  <c r="Y60" i="11"/>
  <c r="Y61" i="11"/>
  <c r="Y62" i="11"/>
  <c r="Y63" i="11"/>
  <c r="Y41" i="11"/>
  <c r="Y40" i="11" s="1"/>
  <c r="X17" i="11" a="1"/>
  <c r="X17" i="11" s="1"/>
  <c r="Y17" i="11"/>
  <c r="X18" i="11" a="1"/>
  <c r="X18" i="11" s="1"/>
  <c r="Y18" i="11"/>
  <c r="X19" i="11" a="1"/>
  <c r="X19" i="11" s="1"/>
  <c r="Y19" i="11"/>
  <c r="X20" i="11" a="1"/>
  <c r="X20" i="11" s="1"/>
  <c r="Y20" i="11"/>
  <c r="X21" i="11" a="1"/>
  <c r="X21" i="11"/>
  <c r="Y21" i="11"/>
  <c r="X22" i="11" a="1"/>
  <c r="X22" i="11" s="1"/>
  <c r="Y22" i="11"/>
  <c r="X23" i="11" a="1"/>
  <c r="X23" i="11" s="1"/>
  <c r="Y23" i="11"/>
  <c r="X24" i="11" a="1"/>
  <c r="X24" i="11" s="1"/>
  <c r="Y24" i="11"/>
  <c r="X25" i="11" a="1"/>
  <c r="X25" i="11" s="1"/>
  <c r="Y25" i="11"/>
  <c r="X26" i="11" a="1"/>
  <c r="X26" i="11" s="1"/>
  <c r="Y26" i="11"/>
  <c r="X27" i="11" a="1"/>
  <c r="X27" i="11" s="1"/>
  <c r="Y27" i="11"/>
  <c r="X28" i="11" a="1"/>
  <c r="X28" i="11" s="1"/>
  <c r="Y28" i="11"/>
  <c r="X29" i="11" a="1"/>
  <c r="X29" i="11"/>
  <c r="Y29" i="11"/>
  <c r="X30" i="11" a="1"/>
  <c r="X30" i="11" s="1"/>
  <c r="Y30" i="11"/>
  <c r="X31" i="11" a="1"/>
  <c r="X31" i="11" s="1"/>
  <c r="Y31" i="11"/>
  <c r="X32" i="11" a="1"/>
  <c r="X32" i="11"/>
  <c r="Y32" i="11"/>
  <c r="X33" i="11" a="1"/>
  <c r="X33" i="11" s="1"/>
  <c r="Y33" i="11"/>
  <c r="X34" i="11" a="1"/>
  <c r="X34" i="11" s="1"/>
  <c r="Y34" i="11"/>
  <c r="X35" i="11" a="1"/>
  <c r="X35" i="11" s="1"/>
  <c r="Y35" i="11"/>
  <c r="X36" i="11" a="1"/>
  <c r="X36" i="11" s="1"/>
  <c r="Y36" i="11"/>
  <c r="Y16" i="11"/>
  <c r="Y15" i="11" s="1"/>
  <c r="H82" i="12"/>
  <c r="Y83" i="12"/>
  <c r="Y105" i="12"/>
  <c r="Y104" i="12"/>
  <c r="Y103" i="12"/>
  <c r="Y102" i="12"/>
  <c r="Y101" i="12"/>
  <c r="Y100" i="12"/>
  <c r="Y99" i="12"/>
  <c r="Y98" i="12"/>
  <c r="Y97" i="12"/>
  <c r="Y96" i="12"/>
  <c r="Y95" i="12"/>
  <c r="Y94" i="12"/>
  <c r="Y93" i="12"/>
  <c r="Y92" i="12"/>
  <c r="Y91" i="12"/>
  <c r="Y90" i="12"/>
  <c r="Y89" i="12"/>
  <c r="Y88" i="12"/>
  <c r="Y87" i="12"/>
  <c r="Y86" i="12"/>
  <c r="Y85" i="12"/>
  <c r="Y84" i="12"/>
  <c r="Y54" i="12"/>
  <c r="Y55" i="12"/>
  <c r="Y56" i="12"/>
  <c r="Y57" i="12"/>
  <c r="Y58" i="12"/>
  <c r="Y59" i="12"/>
  <c r="Y60" i="12"/>
  <c r="Y61" i="12"/>
  <c r="Y62" i="12"/>
  <c r="Y63" i="12"/>
  <c r="Y64" i="12"/>
  <c r="Y65" i="12"/>
  <c r="Y66" i="12"/>
  <c r="Y67" i="12"/>
  <c r="Y68" i="12"/>
  <c r="Y69" i="12"/>
  <c r="Y70" i="12"/>
  <c r="Y71" i="12"/>
  <c r="Y72" i="12"/>
  <c r="Y73" i="12"/>
  <c r="Y74" i="12"/>
  <c r="Y75" i="12"/>
  <c r="Y76" i="12"/>
  <c r="Y77" i="12"/>
  <c r="Y78" i="12"/>
  <c r="Y79" i="12"/>
  <c r="Y80" i="12"/>
  <c r="Y53" i="12"/>
  <c r="Y52" i="12" s="1"/>
  <c r="Y9" i="12"/>
  <c r="Y10" i="12"/>
  <c r="Y11" i="12"/>
  <c r="Y12" i="12"/>
  <c r="Y13" i="12"/>
  <c r="Y14" i="12"/>
  <c r="Y15" i="12"/>
  <c r="Y16" i="12"/>
  <c r="Y17" i="12"/>
  <c r="Y18" i="12"/>
  <c r="Y19" i="12"/>
  <c r="Y20" i="12"/>
  <c r="Y21" i="12"/>
  <c r="Y22" i="12"/>
  <c r="Y23" i="12"/>
  <c r="Y24" i="12"/>
  <c r="Y25" i="12"/>
  <c r="Y26" i="12"/>
  <c r="Y27" i="12"/>
  <c r="Y28" i="12"/>
  <c r="Y29" i="12"/>
  <c r="Y30" i="12"/>
  <c r="Y31" i="12"/>
  <c r="Y32" i="12"/>
  <c r="Y33" i="12"/>
  <c r="Y34" i="12"/>
  <c r="Y35" i="12"/>
  <c r="Y36" i="12"/>
  <c r="Y37" i="12"/>
  <c r="Y38" i="12"/>
  <c r="Y39" i="12"/>
  <c r="Y40" i="12"/>
  <c r="Y41" i="12"/>
  <c r="Y42" i="12"/>
  <c r="Y43" i="12"/>
  <c r="Y44" i="12"/>
  <c r="Y45" i="12"/>
  <c r="Y46" i="12"/>
  <c r="Y47" i="12"/>
  <c r="Y48" i="12"/>
  <c r="Y8" i="12"/>
  <c r="AA125" i="5"/>
  <c r="AA126" i="5"/>
  <c r="AA127" i="5"/>
  <c r="AA128" i="5"/>
  <c r="AA129" i="5"/>
  <c r="AA130" i="5"/>
  <c r="AA131" i="5"/>
  <c r="AA132" i="5"/>
  <c r="AA133" i="5"/>
  <c r="AA134" i="5"/>
  <c r="AA135" i="5"/>
  <c r="AA136" i="5"/>
  <c r="AA137" i="5"/>
  <c r="AA138" i="5"/>
  <c r="AA139" i="5"/>
  <c r="AA140" i="5"/>
  <c r="AA141" i="5"/>
  <c r="AA142" i="5"/>
  <c r="AA143" i="5"/>
  <c r="AA144" i="5"/>
  <c r="AA145" i="5"/>
  <c r="AA146" i="5"/>
  <c r="AA147" i="5"/>
  <c r="AA148" i="5"/>
  <c r="AA149" i="5"/>
  <c r="AA150" i="5"/>
  <c r="AA151" i="5"/>
  <c r="AA152" i="5"/>
  <c r="AA153" i="5"/>
  <c r="AA154" i="5"/>
  <c r="AA155" i="5"/>
  <c r="AA124" i="5"/>
  <c r="AA9" i="5"/>
  <c r="AA10" i="5"/>
  <c r="AA11" i="5"/>
  <c r="AA12" i="5"/>
  <c r="AA13" i="5"/>
  <c r="AA14" i="5"/>
  <c r="AA15" i="5"/>
  <c r="AA16" i="5"/>
  <c r="AA17" i="5"/>
  <c r="AA18" i="5"/>
  <c r="AA19" i="5"/>
  <c r="AA20" i="5"/>
  <c r="AA21" i="5"/>
  <c r="AA22" i="5"/>
  <c r="AA23" i="5"/>
  <c r="AA24" i="5"/>
  <c r="AA25" i="5"/>
  <c r="AA26" i="5"/>
  <c r="AA27" i="5"/>
  <c r="AA28" i="5"/>
  <c r="AA29" i="5"/>
  <c r="AA30" i="5"/>
  <c r="AA31" i="5"/>
  <c r="AA32" i="5"/>
  <c r="AA33" i="5"/>
  <c r="AA34" i="5"/>
  <c r="AA35" i="5"/>
  <c r="AA36" i="5"/>
  <c r="AA37" i="5"/>
  <c r="AA38" i="5"/>
  <c r="AA39" i="5"/>
  <c r="AA40" i="5"/>
  <c r="AA41" i="5"/>
  <c r="AA42" i="5"/>
  <c r="AA43" i="5"/>
  <c r="AA44" i="5"/>
  <c r="AA45" i="5"/>
  <c r="AA46" i="5"/>
  <c r="AA47" i="5"/>
  <c r="AA48" i="5"/>
  <c r="AA49" i="5"/>
  <c r="AA50" i="5"/>
  <c r="AA51" i="5"/>
  <c r="AA52" i="5"/>
  <c r="AA53" i="5"/>
  <c r="AA54" i="5"/>
  <c r="AA55" i="5"/>
  <c r="AA56" i="5"/>
  <c r="AA57" i="5"/>
  <c r="AA58" i="5"/>
  <c r="AA59" i="5"/>
  <c r="AA60" i="5"/>
  <c r="AA61" i="5"/>
  <c r="AA62" i="5"/>
  <c r="AA63" i="5"/>
  <c r="AA64" i="5"/>
  <c r="AA65" i="5"/>
  <c r="AA66" i="5"/>
  <c r="AA67" i="5"/>
  <c r="AA68" i="5"/>
  <c r="AA69" i="5"/>
  <c r="AA70" i="5"/>
  <c r="AA71" i="5"/>
  <c r="AA72" i="5"/>
  <c r="AA73" i="5"/>
  <c r="AA74" i="5"/>
  <c r="AA75" i="5"/>
  <c r="AA76" i="5"/>
  <c r="AA77" i="5"/>
  <c r="AA78" i="5"/>
  <c r="AA79" i="5"/>
  <c r="AA80" i="5"/>
  <c r="AA81" i="5"/>
  <c r="AA82" i="5"/>
  <c r="AA83" i="5"/>
  <c r="AA84" i="5"/>
  <c r="AA85" i="5"/>
  <c r="AA86" i="5"/>
  <c r="AA87" i="5"/>
  <c r="AA88" i="5"/>
  <c r="AA89" i="5"/>
  <c r="AA90" i="5"/>
  <c r="AA91" i="5"/>
  <c r="AA92" i="5"/>
  <c r="AA93" i="5"/>
  <c r="AA94" i="5"/>
  <c r="AA95" i="5"/>
  <c r="AA96" i="5"/>
  <c r="AA97" i="5"/>
  <c r="AA98" i="5"/>
  <c r="AA99" i="5"/>
  <c r="AA100" i="5"/>
  <c r="AA101" i="5"/>
  <c r="AA102" i="5"/>
  <c r="AA103" i="5"/>
  <c r="AA104" i="5"/>
  <c r="AA105" i="5"/>
  <c r="AA106" i="5"/>
  <c r="AA107" i="5"/>
  <c r="AA108" i="5"/>
  <c r="AA109" i="5"/>
  <c r="AA110" i="5"/>
  <c r="AA111" i="5"/>
  <c r="AA112" i="5"/>
  <c r="AA113" i="5"/>
  <c r="AA114" i="5"/>
  <c r="AA115" i="5"/>
  <c r="AA116" i="5"/>
  <c r="AA117" i="5"/>
  <c r="AA8" i="5"/>
  <c r="Z146" i="4"/>
  <c r="Z131" i="4"/>
  <c r="Z132" i="4"/>
  <c r="Z133" i="4"/>
  <c r="Z134" i="4"/>
  <c r="Z135" i="4"/>
  <c r="Z136" i="4"/>
  <c r="Z137" i="4"/>
  <c r="Z138" i="4"/>
  <c r="Z139" i="4"/>
  <c r="Z140" i="4"/>
  <c r="Z141" i="4"/>
  <c r="Z142" i="4"/>
  <c r="Z143" i="4"/>
  <c r="Z144" i="4"/>
  <c r="Z145" i="4"/>
  <c r="Z130" i="4"/>
  <c r="Z122" i="4"/>
  <c r="Z123" i="4"/>
  <c r="Z124" i="4"/>
  <c r="Z125" i="4"/>
  <c r="Z126" i="4"/>
  <c r="Z121" i="4"/>
  <c r="Z8" i="4"/>
  <c r="Z9" i="4"/>
  <c r="Z10" i="4"/>
  <c r="Z11" i="4"/>
  <c r="Z12" i="4"/>
  <c r="Z13" i="4"/>
  <c r="Z14" i="4"/>
  <c r="Z15" i="4"/>
  <c r="Z16" i="4"/>
  <c r="Z17" i="4"/>
  <c r="Z18" i="4"/>
  <c r="Z19" i="4"/>
  <c r="Z20" i="4"/>
  <c r="Z21" i="4"/>
  <c r="Z22" i="4"/>
  <c r="Z23" i="4"/>
  <c r="Z24" i="4"/>
  <c r="Z25" i="4"/>
  <c r="Z26" i="4"/>
  <c r="Z27" i="4"/>
  <c r="Z28" i="4"/>
  <c r="Z29" i="4"/>
  <c r="Z30" i="4"/>
  <c r="Z31" i="4"/>
  <c r="Z32" i="4"/>
  <c r="Z33" i="4"/>
  <c r="Z34" i="4"/>
  <c r="Z35" i="4"/>
  <c r="Z36" i="4"/>
  <c r="Z37" i="4"/>
  <c r="Z38" i="4"/>
  <c r="Z39" i="4"/>
  <c r="Z40" i="4"/>
  <c r="Z41" i="4"/>
  <c r="Z42" i="4"/>
  <c r="Z43" i="4"/>
  <c r="Z44" i="4"/>
  <c r="Z45" i="4"/>
  <c r="Z46" i="4"/>
  <c r="Z47" i="4"/>
  <c r="Z48" i="4"/>
  <c r="Z49" i="4"/>
  <c r="Z50" i="4"/>
  <c r="Z51" i="4"/>
  <c r="Z52" i="4"/>
  <c r="Z53" i="4"/>
  <c r="Z54" i="4"/>
  <c r="Z55" i="4"/>
  <c r="Z56" i="4"/>
  <c r="Z57" i="4"/>
  <c r="Z58" i="4"/>
  <c r="Z59" i="4"/>
  <c r="Z60" i="4"/>
  <c r="Z61" i="4"/>
  <c r="Z62" i="4"/>
  <c r="Z63" i="4"/>
  <c r="Z64" i="4"/>
  <c r="Z65" i="4"/>
  <c r="Z66" i="4"/>
  <c r="Z67" i="4"/>
  <c r="Z68" i="4"/>
  <c r="Z69" i="4"/>
  <c r="Z70" i="4"/>
  <c r="Z71" i="4"/>
  <c r="Z72" i="4"/>
  <c r="Z73" i="4"/>
  <c r="Z74" i="4"/>
  <c r="Z75" i="4"/>
  <c r="Z76" i="4"/>
  <c r="Z77" i="4"/>
  <c r="Z78" i="4"/>
  <c r="Z79" i="4"/>
  <c r="Z80" i="4"/>
  <c r="Z81" i="4"/>
  <c r="Z82" i="4"/>
  <c r="Z83" i="4"/>
  <c r="Z84" i="4"/>
  <c r="Z85" i="4"/>
  <c r="Z86" i="4"/>
  <c r="Z87" i="4"/>
  <c r="Z88" i="4"/>
  <c r="Z89" i="4"/>
  <c r="Z90" i="4"/>
  <c r="Z91" i="4"/>
  <c r="Z92" i="4"/>
  <c r="Z93" i="4"/>
  <c r="Z94" i="4"/>
  <c r="Z95" i="4"/>
  <c r="Z96" i="4"/>
  <c r="Z97" i="4"/>
  <c r="Z98" i="4"/>
  <c r="Z99" i="4"/>
  <c r="Z100" i="4"/>
  <c r="Z101" i="4"/>
  <c r="Z102" i="4"/>
  <c r="Z103" i="4"/>
  <c r="Z104" i="4"/>
  <c r="Z105" i="4"/>
  <c r="Z106" i="4"/>
  <c r="Z107" i="4"/>
  <c r="Z108" i="4"/>
  <c r="Z109" i="4"/>
  <c r="Z110" i="4"/>
  <c r="Z111" i="4"/>
  <c r="Z112" i="4"/>
  <c r="Z113" i="4"/>
  <c r="Z114" i="4"/>
  <c r="Z115" i="4"/>
  <c r="Z116" i="4"/>
  <c r="Z117" i="4"/>
  <c r="Z7" i="4"/>
  <c r="Y32" i="23"/>
  <c r="Y33" i="23"/>
  <c r="Y34" i="23"/>
  <c r="Y35" i="23"/>
  <c r="Y36" i="23"/>
  <c r="Y37" i="23"/>
  <c r="Y38" i="23"/>
  <c r="Y39" i="23"/>
  <c r="Y40" i="23"/>
  <c r="Y41" i="23"/>
  <c r="Y42" i="23"/>
  <c r="Y43" i="23"/>
  <c r="Y44" i="23"/>
  <c r="Y45" i="23"/>
  <c r="Y46" i="23"/>
  <c r="Y47" i="23"/>
  <c r="Y48" i="23"/>
  <c r="Y49" i="23"/>
  <c r="Y50" i="23"/>
  <c r="Y31" i="23"/>
  <c r="Y9" i="23"/>
  <c r="Y10" i="23"/>
  <c r="Y11" i="23"/>
  <c r="Y12" i="23"/>
  <c r="Y13" i="23"/>
  <c r="Y14" i="23"/>
  <c r="Y15" i="23"/>
  <c r="Y16" i="23"/>
  <c r="Y17" i="23"/>
  <c r="Y18" i="23"/>
  <c r="Y19" i="23"/>
  <c r="Y20" i="23"/>
  <c r="Y21" i="23"/>
  <c r="Y22" i="23"/>
  <c r="Y23" i="23"/>
  <c r="Y24" i="23"/>
  <c r="Y25" i="23"/>
  <c r="Y26" i="23"/>
  <c r="Y27" i="23"/>
  <c r="Y8" i="23"/>
  <c r="Y66" i="19"/>
  <c r="Y67" i="19"/>
  <c r="Y68" i="19"/>
  <c r="Y69" i="19"/>
  <c r="Y70" i="19"/>
  <c r="Y71" i="19"/>
  <c r="Y72" i="19"/>
  <c r="Y73" i="19"/>
  <c r="Y74" i="19"/>
  <c r="Y65" i="19"/>
  <c r="Y39" i="19"/>
  <c r="Y40" i="19"/>
  <c r="Y41" i="19"/>
  <c r="Y42" i="19"/>
  <c r="Y43" i="19"/>
  <c r="Y44" i="19"/>
  <c r="Y45" i="19"/>
  <c r="Y46" i="19"/>
  <c r="Y47" i="19"/>
  <c r="Y48" i="19"/>
  <c r="Y49" i="19"/>
  <c r="Y50" i="19"/>
  <c r="Y51" i="19"/>
  <c r="Y52" i="19"/>
  <c r="Y53" i="19"/>
  <c r="Y54" i="19"/>
  <c r="Y55" i="19"/>
  <c r="Y56" i="19"/>
  <c r="Y57" i="19"/>
  <c r="Y58" i="19"/>
  <c r="Y59" i="19"/>
  <c r="Y60" i="19"/>
  <c r="Y61" i="19"/>
  <c r="Y38" i="19"/>
  <c r="Y9" i="19"/>
  <c r="Y10" i="19"/>
  <c r="Y11" i="19"/>
  <c r="Y12" i="19"/>
  <c r="Y13" i="19"/>
  <c r="Y14" i="19"/>
  <c r="Y15" i="19"/>
  <c r="Y16" i="19"/>
  <c r="Y17" i="19"/>
  <c r="Y18" i="19"/>
  <c r="Y19" i="19"/>
  <c r="Y20" i="19"/>
  <c r="Y21" i="19"/>
  <c r="Y22" i="19"/>
  <c r="Y23" i="19"/>
  <c r="Y24" i="19"/>
  <c r="Y25" i="19"/>
  <c r="Y26" i="19"/>
  <c r="Y27" i="19"/>
  <c r="Y28" i="19"/>
  <c r="Y29" i="19"/>
  <c r="Y30" i="19"/>
  <c r="Y31" i="19"/>
  <c r="Y32" i="19"/>
  <c r="Y33" i="19"/>
  <c r="Y34" i="19"/>
  <c r="Y8" i="19"/>
  <c r="Y8" i="24"/>
  <c r="Y9" i="24"/>
  <c r="Y10" i="24"/>
  <c r="Y11" i="24"/>
  <c r="Y12" i="24"/>
  <c r="Y13" i="24"/>
  <c r="Y14" i="24"/>
  <c r="Y15" i="24"/>
  <c r="Y16" i="24"/>
  <c r="Y17" i="24"/>
  <c r="Y18" i="24"/>
  <c r="Y19" i="24"/>
  <c r="Y20" i="24"/>
  <c r="Y21" i="24"/>
  <c r="Y22" i="24"/>
  <c r="Y23" i="24"/>
  <c r="Y7" i="24"/>
  <c r="Y146" i="4"/>
  <c r="Y145" i="4" s="1"/>
  <c r="Y144" i="4" s="1"/>
  <c r="Y143" i="4" s="1"/>
  <c r="Y142" i="4" s="1"/>
  <c r="Y141" i="4" s="1"/>
  <c r="Y140" i="4" s="1"/>
  <c r="Y139" i="4" s="1"/>
  <c r="Y138" i="4" s="1"/>
  <c r="Y137" i="4" s="1"/>
  <c r="Y136" i="4" s="1"/>
  <c r="Y135" i="4" s="1"/>
  <c r="Y134" i="4" s="1"/>
  <c r="Y133" i="4" s="1"/>
  <c r="Y132" i="4" s="1"/>
  <c r="Y131" i="4" s="1"/>
  <c r="Y130" i="4" s="1"/>
  <c r="Y129" i="4" s="1"/>
  <c r="B479" i="25" l="1"/>
  <c r="B474" i="25"/>
  <c r="B456" i="25"/>
  <c r="B452" i="25"/>
  <c r="B445" i="25"/>
  <c r="B416" i="25"/>
  <c r="B412" i="25"/>
  <c r="B405" i="25"/>
  <c r="D83" i="18"/>
  <c r="Y7" i="12"/>
  <c r="AF411" i="25"/>
  <c r="AE486" i="25"/>
  <c r="AE462" i="25"/>
  <c r="AE478" i="25"/>
  <c r="AE470" i="25"/>
  <c r="AE454" i="25"/>
  <c r="AE446" i="25"/>
  <c r="AE438" i="25"/>
  <c r="AE430" i="25"/>
  <c r="AE422" i="25"/>
  <c r="AE415" i="25"/>
  <c r="AE407" i="25"/>
  <c r="AE399" i="25"/>
  <c r="AE409" i="25"/>
  <c r="AE401" i="25"/>
  <c r="AE416" i="25"/>
  <c r="AE490" i="25"/>
  <c r="AE474" i="25"/>
  <c r="AE466" i="25"/>
  <c r="AE458" i="25"/>
  <c r="AE450" i="25"/>
  <c r="AE442" i="25"/>
  <c r="AE434" i="25"/>
  <c r="AE426" i="25"/>
  <c r="AE410" i="25"/>
  <c r="AE402" i="25"/>
  <c r="AE491" i="25"/>
  <c r="AE483" i="25"/>
  <c r="AE475" i="25"/>
  <c r="AE467" i="25"/>
  <c r="AE459" i="25"/>
  <c r="AE451" i="25"/>
  <c r="AE443" i="25"/>
  <c r="AE435" i="25"/>
  <c r="AE427" i="25"/>
  <c r="AE419" i="25"/>
  <c r="AE411" i="25"/>
  <c r="AE403" i="25"/>
  <c r="AF491" i="25"/>
  <c r="AF420" i="25"/>
  <c r="AE484" i="25"/>
  <c r="AE476" i="25"/>
  <c r="AE460" i="25"/>
  <c r="AE452" i="25"/>
  <c r="AE444" i="25"/>
  <c r="AE436" i="25"/>
  <c r="AF418" i="25"/>
  <c r="AF417" i="25"/>
  <c r="AF414" i="25"/>
  <c r="AE485" i="25"/>
  <c r="AE477" i="25"/>
  <c r="AE469" i="25"/>
  <c r="AE461" i="25"/>
  <c r="AE453" i="25"/>
  <c r="AE445" i="25"/>
  <c r="AE437" i="25"/>
  <c r="AE429" i="25"/>
  <c r="AE487" i="25"/>
  <c r="AE479" i="25"/>
  <c r="AE471" i="25"/>
  <c r="AE463" i="25"/>
  <c r="AE455" i="25"/>
  <c r="AE447" i="25"/>
  <c r="AE439" i="25"/>
  <c r="AE431" i="25"/>
  <c r="AE423" i="25"/>
  <c r="AE464" i="25"/>
  <c r="AE456" i="25"/>
  <c r="AE448" i="25"/>
  <c r="AE440" i="25"/>
  <c r="AE432" i="25"/>
  <c r="AE424" i="25"/>
  <c r="AE488" i="25"/>
  <c r="AE480" i="25"/>
  <c r="AE472" i="25"/>
  <c r="AE489" i="25"/>
  <c r="AE481" i="25"/>
  <c r="AE473" i="25"/>
  <c r="AE465" i="25"/>
  <c r="AE457" i="25"/>
  <c r="AE449" i="25"/>
  <c r="AE441" i="25"/>
  <c r="AE433" i="25"/>
  <c r="AE425" i="25"/>
  <c r="AF468" i="25"/>
  <c r="AF467" i="25"/>
  <c r="AF466" i="25"/>
  <c r="AF460" i="25"/>
  <c r="AF445" i="25"/>
  <c r="AF442" i="25"/>
  <c r="AF437" i="25"/>
  <c r="AF434" i="25"/>
  <c r="AF427" i="25"/>
  <c r="AF426" i="25"/>
  <c r="AF402" i="25"/>
  <c r="AF397" i="25"/>
  <c r="AE417" i="25"/>
  <c r="AE418" i="25"/>
  <c r="AF400" i="25"/>
  <c r="AE468" i="25"/>
  <c r="AE412" i="25"/>
  <c r="AF410" i="25"/>
  <c r="AF405" i="25"/>
  <c r="AF404" i="25"/>
  <c r="AF403" i="25"/>
  <c r="AE413" i="25"/>
  <c r="AE397" i="25"/>
  <c r="AE414" i="25"/>
  <c r="AF490" i="25"/>
  <c r="AF485" i="25"/>
  <c r="AF484" i="25"/>
  <c r="AF483" i="25"/>
  <c r="AF482" i="25"/>
  <c r="AF477" i="25"/>
  <c r="AF476" i="25"/>
  <c r="AF475" i="25"/>
  <c r="AF474" i="25"/>
  <c r="AF469" i="25"/>
  <c r="AF464" i="25"/>
  <c r="AF463" i="25"/>
  <c r="AE428" i="25"/>
  <c r="AE404" i="25"/>
  <c r="AF489" i="25"/>
  <c r="AF488" i="25"/>
  <c r="AF486" i="25"/>
  <c r="AF459" i="25"/>
  <c r="AF458" i="25"/>
  <c r="AF455" i="25"/>
  <c r="AF452" i="25"/>
  <c r="AF451" i="25"/>
  <c r="AF450" i="25"/>
  <c r="AF444" i="25"/>
  <c r="AF443" i="25"/>
  <c r="AE421" i="25"/>
  <c r="AE405" i="25"/>
  <c r="AF441" i="25"/>
  <c r="AF440" i="25"/>
  <c r="AF438" i="25"/>
  <c r="AF436" i="25"/>
  <c r="AF435" i="25"/>
  <c r="AF419" i="25"/>
  <c r="AF413" i="25"/>
  <c r="AF412" i="25"/>
  <c r="AF409" i="25"/>
  <c r="AE406" i="25"/>
  <c r="AF481" i="25"/>
  <c r="AF478" i="25"/>
  <c r="AF461" i="25"/>
  <c r="AF432" i="25"/>
  <c r="AF428" i="25"/>
  <c r="AF406" i="25"/>
  <c r="AF473" i="25"/>
  <c r="AF470" i="25"/>
  <c r="AF423" i="25"/>
  <c r="AF453" i="25"/>
  <c r="AF399" i="25"/>
  <c r="AF487" i="25"/>
  <c r="AF471" i="25"/>
  <c r="AF448" i="25"/>
  <c r="AF425" i="25"/>
  <c r="AF422" i="25"/>
  <c r="AF407" i="25"/>
  <c r="AA123" i="5"/>
  <c r="AF479" i="25"/>
  <c r="AF456" i="25"/>
  <c r="AF433" i="25"/>
  <c r="AF430" i="25"/>
  <c r="AF415" i="25"/>
  <c r="AF472" i="25"/>
  <c r="AF449" i="25"/>
  <c r="AF446" i="25"/>
  <c r="AF431" i="25"/>
  <c r="AF421" i="25"/>
  <c r="AF408" i="25"/>
  <c r="AF480" i="25"/>
  <c r="AF457" i="25"/>
  <c r="AF454" i="25"/>
  <c r="AF439" i="25"/>
  <c r="AF429" i="25"/>
  <c r="AF416" i="25"/>
  <c r="AF465" i="25"/>
  <c r="AF462" i="25"/>
  <c r="AF447" i="25"/>
  <c r="AF424" i="25"/>
  <c r="AF401" i="25"/>
  <c r="AF398" i="25"/>
  <c r="B403" i="25"/>
  <c r="B482" i="25"/>
  <c r="B484" i="25"/>
  <c r="B472" i="25"/>
  <c r="B468" i="25"/>
  <c r="B461" i="25"/>
  <c r="B431" i="25"/>
  <c r="B477" i="25"/>
  <c r="B465" i="25"/>
  <c r="B462" i="25"/>
  <c r="B447" i="25"/>
  <c r="B442" i="25"/>
  <c r="B424" i="25"/>
  <c r="B420" i="25"/>
  <c r="B490" i="25"/>
  <c r="B441" i="25"/>
  <c r="B438" i="25"/>
  <c r="B488" i="25"/>
  <c r="B454" i="25"/>
  <c r="B439" i="25"/>
  <c r="B434" i="25"/>
  <c r="B419" i="25"/>
  <c r="B398" i="25"/>
  <c r="AE482" i="25"/>
  <c r="B418" i="25"/>
  <c r="B410" i="25"/>
  <c r="B407" i="25"/>
  <c r="B402" i="25"/>
  <c r="B400" i="25"/>
  <c r="B473" i="25"/>
  <c r="B421" i="25"/>
  <c r="B401" i="25"/>
  <c r="B489" i="25"/>
  <c r="B481" i="25"/>
  <c r="B478" i="25"/>
  <c r="B463" i="25"/>
  <c r="B458" i="25"/>
  <c r="B440" i="25"/>
  <c r="B436" i="25"/>
  <c r="B429" i="25"/>
  <c r="B409" i="25"/>
  <c r="B406" i="25"/>
  <c r="B470" i="25"/>
  <c r="B450" i="25"/>
  <c r="B432" i="25"/>
  <c r="B428" i="25"/>
  <c r="B413" i="25"/>
  <c r="B486" i="25"/>
  <c r="B471" i="25"/>
  <c r="B444" i="25"/>
  <c r="B422" i="25"/>
  <c r="B414" i="25"/>
  <c r="B487" i="25"/>
  <c r="B467" i="25"/>
  <c r="B464" i="25"/>
  <c r="B460" i="25"/>
  <c r="B423" i="25"/>
  <c r="B415" i="25"/>
  <c r="B480" i="25"/>
  <c r="B476" i="25"/>
  <c r="B469" i="25"/>
  <c r="B457" i="25"/>
  <c r="B408" i="25"/>
  <c r="B404" i="25"/>
  <c r="B459" i="25"/>
  <c r="B491" i="25"/>
  <c r="B427" i="25"/>
  <c r="B443" i="25"/>
  <c r="B475" i="25"/>
  <c r="B411" i="25"/>
  <c r="B483" i="25"/>
  <c r="B435" i="25"/>
  <c r="B451" i="25"/>
  <c r="AA7" i="5"/>
  <c r="Y66" i="11"/>
  <c r="Y7" i="23"/>
  <c r="Z120" i="4"/>
  <c r="Y7" i="19"/>
  <c r="Y6" i="24"/>
  <c r="Y64" i="19"/>
  <c r="Y30" i="23"/>
  <c r="Z129" i="4"/>
  <c r="I128" i="4" s="1"/>
  <c r="Y37" i="19" l="1"/>
  <c r="D158" i="25" l="1"/>
  <c r="E158" i="25"/>
  <c r="I158" i="25"/>
  <c r="J158" i="25"/>
  <c r="K158" i="25"/>
  <c r="L158" i="25"/>
  <c r="N158" i="25"/>
  <c r="O158" i="25"/>
  <c r="T158" i="25"/>
  <c r="U158" i="25"/>
  <c r="D159" i="25"/>
  <c r="E159" i="25"/>
  <c r="I159" i="25"/>
  <c r="J159" i="25"/>
  <c r="K159" i="25"/>
  <c r="L159" i="25"/>
  <c r="N159" i="25"/>
  <c r="O159" i="25"/>
  <c r="T159" i="25"/>
  <c r="U159" i="25"/>
  <c r="D160" i="25"/>
  <c r="E160" i="25"/>
  <c r="I160" i="25"/>
  <c r="J160" i="25"/>
  <c r="K160" i="25"/>
  <c r="L160" i="25"/>
  <c r="N160" i="25"/>
  <c r="O160" i="25"/>
  <c r="T160" i="25"/>
  <c r="U160" i="25"/>
  <c r="D161" i="25"/>
  <c r="E161" i="25"/>
  <c r="I161" i="25"/>
  <c r="J161" i="25"/>
  <c r="K161" i="25"/>
  <c r="L161" i="25"/>
  <c r="N161" i="25"/>
  <c r="O161" i="25"/>
  <c r="T161" i="25"/>
  <c r="U161" i="25"/>
  <c r="D162" i="25"/>
  <c r="E162" i="25"/>
  <c r="I162" i="25"/>
  <c r="J162" i="25"/>
  <c r="K162" i="25"/>
  <c r="L162" i="25"/>
  <c r="N162" i="25"/>
  <c r="O162" i="25"/>
  <c r="T162" i="25"/>
  <c r="U162" i="25"/>
  <c r="D163" i="25"/>
  <c r="E163" i="25"/>
  <c r="I163" i="25"/>
  <c r="J163" i="25"/>
  <c r="K163" i="25"/>
  <c r="L163" i="25"/>
  <c r="N163" i="25"/>
  <c r="O163" i="25"/>
  <c r="T163" i="25"/>
  <c r="U163" i="25"/>
  <c r="D164" i="25"/>
  <c r="E164" i="25"/>
  <c r="I164" i="25"/>
  <c r="J164" i="25"/>
  <c r="K164" i="25"/>
  <c r="L164" i="25"/>
  <c r="N164" i="25"/>
  <c r="O164" i="25"/>
  <c r="T164" i="25"/>
  <c r="U164" i="25"/>
  <c r="D165" i="25"/>
  <c r="E165" i="25"/>
  <c r="I165" i="25"/>
  <c r="J165" i="25"/>
  <c r="K165" i="25"/>
  <c r="L165" i="25"/>
  <c r="N165" i="25"/>
  <c r="O165" i="25"/>
  <c r="T165" i="25"/>
  <c r="U165" i="25"/>
  <c r="D166" i="25"/>
  <c r="E166" i="25"/>
  <c r="I166" i="25"/>
  <c r="J166" i="25"/>
  <c r="K166" i="25"/>
  <c r="L166" i="25"/>
  <c r="N166" i="25"/>
  <c r="O166" i="25"/>
  <c r="T166" i="25"/>
  <c r="U166" i="25"/>
  <c r="D138" i="25"/>
  <c r="E138" i="25"/>
  <c r="I138" i="25"/>
  <c r="J138" i="25"/>
  <c r="K138" i="25"/>
  <c r="L138" i="25"/>
  <c r="N138" i="25"/>
  <c r="O138" i="25"/>
  <c r="T138" i="25"/>
  <c r="U138" i="25"/>
  <c r="D139" i="25"/>
  <c r="E139" i="25"/>
  <c r="I139" i="25"/>
  <c r="J139" i="25"/>
  <c r="K139" i="25"/>
  <c r="L139" i="25"/>
  <c r="N139" i="25"/>
  <c r="O139" i="25"/>
  <c r="T139" i="25"/>
  <c r="U139" i="25"/>
  <c r="D140" i="25"/>
  <c r="E140" i="25"/>
  <c r="I140" i="25"/>
  <c r="J140" i="25"/>
  <c r="K140" i="25"/>
  <c r="L140" i="25"/>
  <c r="N140" i="25"/>
  <c r="O140" i="25"/>
  <c r="T140" i="25"/>
  <c r="U140" i="25"/>
  <c r="D141" i="25"/>
  <c r="E141" i="25"/>
  <c r="I141" i="25"/>
  <c r="J141" i="25"/>
  <c r="K141" i="25"/>
  <c r="L141" i="25"/>
  <c r="N141" i="25"/>
  <c r="O141" i="25"/>
  <c r="T141" i="25"/>
  <c r="U141" i="25"/>
  <c r="D142" i="25"/>
  <c r="E142" i="25"/>
  <c r="I142" i="25"/>
  <c r="J142" i="25"/>
  <c r="K142" i="25"/>
  <c r="L142" i="25"/>
  <c r="N142" i="25"/>
  <c r="O142" i="25"/>
  <c r="T142" i="25"/>
  <c r="U142" i="25"/>
  <c r="D143" i="25"/>
  <c r="E143" i="25"/>
  <c r="I143" i="25"/>
  <c r="J143" i="25"/>
  <c r="K143" i="25"/>
  <c r="L143" i="25"/>
  <c r="N143" i="25"/>
  <c r="O143" i="25"/>
  <c r="T143" i="25"/>
  <c r="U143" i="25"/>
  <c r="D144" i="25"/>
  <c r="E144" i="25"/>
  <c r="I144" i="25"/>
  <c r="J144" i="25"/>
  <c r="K144" i="25"/>
  <c r="L144" i="25"/>
  <c r="N144" i="25"/>
  <c r="O144" i="25"/>
  <c r="T144" i="25"/>
  <c r="U144" i="25"/>
  <c r="D145" i="25"/>
  <c r="E145" i="25"/>
  <c r="I145" i="25"/>
  <c r="J145" i="25"/>
  <c r="K145" i="25"/>
  <c r="L145" i="25"/>
  <c r="N145" i="25"/>
  <c r="O145" i="25"/>
  <c r="T145" i="25"/>
  <c r="U145" i="25"/>
  <c r="D146" i="25"/>
  <c r="E146" i="25"/>
  <c r="I146" i="25"/>
  <c r="J146" i="25"/>
  <c r="K146" i="25"/>
  <c r="L146" i="25"/>
  <c r="N146" i="25"/>
  <c r="O146" i="25"/>
  <c r="T146" i="25"/>
  <c r="U146" i="25"/>
  <c r="D147" i="25"/>
  <c r="E147" i="25"/>
  <c r="I147" i="25"/>
  <c r="J147" i="25"/>
  <c r="K147" i="25"/>
  <c r="L147" i="25"/>
  <c r="N147" i="25"/>
  <c r="O147" i="25"/>
  <c r="T147" i="25"/>
  <c r="U147" i="25"/>
  <c r="K31" i="23" a="1"/>
  <c r="K31" i="23" s="1"/>
  <c r="V31" i="23" a="1"/>
  <c r="V31" i="23" s="1"/>
  <c r="V32" i="23" a="1"/>
  <c r="V32" i="23" s="1"/>
  <c r="AC158" i="25" s="1"/>
  <c r="V33" i="23" a="1"/>
  <c r="V33" i="23" s="1"/>
  <c r="AC159" i="25" s="1"/>
  <c r="V34" i="23" a="1"/>
  <c r="V34" i="23" s="1"/>
  <c r="AC160" i="25" s="1"/>
  <c r="V35" i="23" a="1"/>
  <c r="V35" i="23" s="1"/>
  <c r="AC161" i="25" s="1"/>
  <c r="V36" i="23" a="1"/>
  <c r="V36" i="23" s="1"/>
  <c r="AC162" i="25" s="1"/>
  <c r="V37" i="23" a="1"/>
  <c r="V37" i="23" s="1"/>
  <c r="AC163" i="25" s="1"/>
  <c r="V38" i="23" a="1"/>
  <c r="V38" i="23" s="1"/>
  <c r="AC164" i="25" s="1"/>
  <c r="V39" i="23" a="1"/>
  <c r="V39" i="23" s="1"/>
  <c r="AC165" i="25" s="1"/>
  <c r="V40" i="23" a="1"/>
  <c r="V40" i="23" s="1"/>
  <c r="AC166" i="25" s="1"/>
  <c r="V41" i="23" a="1"/>
  <c r="V41" i="23" s="1"/>
  <c r="V42" i="23" a="1"/>
  <c r="V42" i="23" s="1"/>
  <c r="V43" i="23" a="1"/>
  <c r="V43" i="23" s="1"/>
  <c r="V44" i="23" a="1"/>
  <c r="V44" i="23" s="1"/>
  <c r="V45" i="23" a="1"/>
  <c r="V45" i="23" s="1"/>
  <c r="V46" i="23" a="1"/>
  <c r="V46" i="23" s="1"/>
  <c r="V47" i="23" a="1"/>
  <c r="V47" i="23" s="1"/>
  <c r="V48" i="23" a="1"/>
  <c r="V48" i="23" s="1"/>
  <c r="V49" i="23" a="1"/>
  <c r="V49" i="23" s="1"/>
  <c r="V50" i="23" a="1"/>
  <c r="V50" i="23" s="1"/>
  <c r="S31" i="23" a="1"/>
  <c r="S31" i="23" s="1"/>
  <c r="S32" i="23" a="1"/>
  <c r="S32" i="23" s="1"/>
  <c r="Z158" i="25" s="1"/>
  <c r="S33" i="23" a="1"/>
  <c r="S33" i="23" s="1"/>
  <c r="Z159" i="25" s="1"/>
  <c r="S34" i="23" a="1"/>
  <c r="S34" i="23" s="1"/>
  <c r="Z160" i="25" s="1"/>
  <c r="S35" i="23" a="1"/>
  <c r="S35" i="23" s="1"/>
  <c r="Z161" i="25" s="1"/>
  <c r="S36" i="23" a="1"/>
  <c r="S36" i="23" s="1"/>
  <c r="Z162" i="25" s="1"/>
  <c r="S37" i="23" a="1"/>
  <c r="S37" i="23" s="1"/>
  <c r="Z163" i="25" s="1"/>
  <c r="S38" i="23" a="1"/>
  <c r="S38" i="23" s="1"/>
  <c r="Z164" i="25" s="1"/>
  <c r="S39" i="23" a="1"/>
  <c r="S39" i="23" s="1"/>
  <c r="Z165" i="25" s="1"/>
  <c r="S40" i="23" a="1"/>
  <c r="S40" i="23" s="1"/>
  <c r="Z166" i="25" s="1"/>
  <c r="S41" i="23" a="1"/>
  <c r="S41" i="23" s="1"/>
  <c r="S42" i="23" a="1"/>
  <c r="S42" i="23" s="1"/>
  <c r="S43" i="23" a="1"/>
  <c r="S43" i="23" s="1"/>
  <c r="S44" i="23" a="1"/>
  <c r="S44" i="23" s="1"/>
  <c r="S45" i="23" a="1"/>
  <c r="S45" i="23" s="1"/>
  <c r="S46" i="23" a="1"/>
  <c r="S46" i="23" s="1"/>
  <c r="S47" i="23" a="1"/>
  <c r="S47" i="23" s="1"/>
  <c r="S48" i="23" a="1"/>
  <c r="S48" i="23" s="1"/>
  <c r="S49" i="23" a="1"/>
  <c r="S49" i="23" s="1"/>
  <c r="S50" i="23" a="1"/>
  <c r="S50" i="23" s="1"/>
  <c r="R31" i="23" a="1"/>
  <c r="R31" i="23" s="1"/>
  <c r="R32" i="23" a="1"/>
  <c r="R32" i="23" s="1"/>
  <c r="Y158" i="25" s="1"/>
  <c r="R33" i="23" a="1"/>
  <c r="R33" i="23" s="1"/>
  <c r="Y159" i="25" s="1"/>
  <c r="R34" i="23" a="1"/>
  <c r="R34" i="23" s="1"/>
  <c r="Y160" i="25" s="1"/>
  <c r="R35" i="23" a="1"/>
  <c r="R35" i="23" s="1"/>
  <c r="Y161" i="25" s="1"/>
  <c r="R36" i="23" a="1"/>
  <c r="R36" i="23" s="1"/>
  <c r="Y162" i="25" s="1"/>
  <c r="R37" i="23" a="1"/>
  <c r="R37" i="23" s="1"/>
  <c r="Y163" i="25" s="1"/>
  <c r="R38" i="23" a="1"/>
  <c r="R38" i="23" s="1"/>
  <c r="Y164" i="25" s="1"/>
  <c r="R39" i="23" a="1"/>
  <c r="R39" i="23" s="1"/>
  <c r="Y165" i="25" s="1"/>
  <c r="R40" i="23" a="1"/>
  <c r="R40" i="23" s="1"/>
  <c r="Y166" i="25" s="1"/>
  <c r="R41" i="23" a="1"/>
  <c r="R41" i="23" s="1"/>
  <c r="R42" i="23" a="1"/>
  <c r="R42" i="23" s="1"/>
  <c r="R43" i="23" a="1"/>
  <c r="R43" i="23" s="1"/>
  <c r="R44" i="23" a="1"/>
  <c r="R44" i="23" s="1"/>
  <c r="R45" i="23" a="1"/>
  <c r="R45" i="23" s="1"/>
  <c r="R46" i="23" a="1"/>
  <c r="R46" i="23" s="1"/>
  <c r="R47" i="23" a="1"/>
  <c r="R47" i="23" s="1"/>
  <c r="R48" i="23" a="1"/>
  <c r="R48" i="23" s="1"/>
  <c r="R49" i="23" a="1"/>
  <c r="R49" i="23" s="1"/>
  <c r="R50" i="23" a="1"/>
  <c r="R50" i="23" s="1"/>
  <c r="Q31" i="23" a="1"/>
  <c r="Q31" i="23" s="1"/>
  <c r="Q32" i="23" a="1"/>
  <c r="Q32" i="23" s="1"/>
  <c r="X158" i="25" s="1"/>
  <c r="Q33" i="23" a="1"/>
  <c r="Q33" i="23" s="1"/>
  <c r="X159" i="25" s="1"/>
  <c r="Q34" i="23" a="1"/>
  <c r="Q34" i="23" s="1"/>
  <c r="X160" i="25" s="1"/>
  <c r="Q35" i="23" a="1"/>
  <c r="Q35" i="23" s="1"/>
  <c r="X161" i="25" s="1"/>
  <c r="Q36" i="23" a="1"/>
  <c r="Q36" i="23" s="1"/>
  <c r="X162" i="25" s="1"/>
  <c r="Q37" i="23" a="1"/>
  <c r="Q37" i="23" s="1"/>
  <c r="X163" i="25" s="1"/>
  <c r="Q38" i="23" a="1"/>
  <c r="Q38" i="23" s="1"/>
  <c r="X164" i="25" s="1"/>
  <c r="Q39" i="23" a="1"/>
  <c r="Q39" i="23" s="1"/>
  <c r="X165" i="25" s="1"/>
  <c r="Q40" i="23" a="1"/>
  <c r="Q40" i="23" s="1"/>
  <c r="X166" i="25" s="1"/>
  <c r="Q41" i="23" a="1"/>
  <c r="Q41" i="23" s="1"/>
  <c r="Q42" i="23" a="1"/>
  <c r="Q42" i="23" s="1"/>
  <c r="Q43" i="23" a="1"/>
  <c r="Q43" i="23" s="1"/>
  <c r="Q44" i="23" a="1"/>
  <c r="Q44" i="23" s="1"/>
  <c r="Q45" i="23" a="1"/>
  <c r="Q45" i="23" s="1"/>
  <c r="Q46" i="23" a="1"/>
  <c r="Q46" i="23" s="1"/>
  <c r="Q47" i="23" a="1"/>
  <c r="Q47" i="23" s="1"/>
  <c r="Q48" i="23" a="1"/>
  <c r="Q48" i="23" s="1"/>
  <c r="Q49" i="23" a="1"/>
  <c r="Q49" i="23" s="1"/>
  <c r="Q50" i="23" a="1"/>
  <c r="Q50" i="23" s="1"/>
  <c r="P31" i="23" a="1"/>
  <c r="P31" i="23" s="1"/>
  <c r="P32" i="23" a="1"/>
  <c r="P32" i="23" s="1"/>
  <c r="W158" i="25" s="1"/>
  <c r="P33" i="23" a="1"/>
  <c r="P33" i="23" s="1"/>
  <c r="W159" i="25" s="1"/>
  <c r="P34" i="23" a="1"/>
  <c r="P34" i="23" s="1"/>
  <c r="W160" i="25" s="1"/>
  <c r="P35" i="23" a="1"/>
  <c r="P35" i="23" s="1"/>
  <c r="W161" i="25" s="1"/>
  <c r="P36" i="23" a="1"/>
  <c r="P36" i="23" s="1"/>
  <c r="W162" i="25" s="1"/>
  <c r="P37" i="23" a="1"/>
  <c r="P37" i="23" s="1"/>
  <c r="W163" i="25" s="1"/>
  <c r="P38" i="23" a="1"/>
  <c r="P38" i="23" s="1"/>
  <c r="W164" i="25" s="1"/>
  <c r="P39" i="23" a="1"/>
  <c r="P39" i="23" s="1"/>
  <c r="W165" i="25" s="1"/>
  <c r="P40" i="23" a="1"/>
  <c r="P40" i="23" s="1"/>
  <c r="W166" i="25" s="1"/>
  <c r="P41" i="23" a="1"/>
  <c r="P41" i="23" s="1"/>
  <c r="P42" i="23" a="1"/>
  <c r="P42" i="23" s="1"/>
  <c r="P43" i="23" a="1"/>
  <c r="P43" i="23" s="1"/>
  <c r="P44" i="23" a="1"/>
  <c r="P44" i="23" s="1"/>
  <c r="P45" i="23" a="1"/>
  <c r="P45" i="23" s="1"/>
  <c r="P46" i="23" a="1"/>
  <c r="P46" i="23" s="1"/>
  <c r="P47" i="23" a="1"/>
  <c r="P47" i="23" s="1"/>
  <c r="P48" i="23" a="1"/>
  <c r="P48" i="23" s="1"/>
  <c r="P49" i="23" a="1"/>
  <c r="P49" i="23" s="1"/>
  <c r="P50" i="23" a="1"/>
  <c r="P50" i="23" s="1"/>
  <c r="O31" i="23" a="1"/>
  <c r="O31" i="23" s="1"/>
  <c r="O32" i="23" a="1"/>
  <c r="O32" i="23" s="1"/>
  <c r="V158" i="25" s="1"/>
  <c r="O33" i="23" a="1"/>
  <c r="O33" i="23" s="1"/>
  <c r="V159" i="25" s="1"/>
  <c r="O34" i="23" a="1"/>
  <c r="O34" i="23" s="1"/>
  <c r="V160" i="25" s="1"/>
  <c r="O35" i="23" a="1"/>
  <c r="O35" i="23" s="1"/>
  <c r="V161" i="25" s="1"/>
  <c r="O36" i="23" a="1"/>
  <c r="O36" i="23" s="1"/>
  <c r="V162" i="25" s="1"/>
  <c r="O37" i="23" a="1"/>
  <c r="O37" i="23" s="1"/>
  <c r="V163" i="25" s="1"/>
  <c r="O38" i="23" a="1"/>
  <c r="O38" i="23" s="1"/>
  <c r="V164" i="25" s="1"/>
  <c r="O39" i="23" a="1"/>
  <c r="O39" i="23" s="1"/>
  <c r="V165" i="25" s="1"/>
  <c r="O40" i="23" a="1"/>
  <c r="O40" i="23" s="1"/>
  <c r="V166" i="25" s="1"/>
  <c r="O41" i="23" a="1"/>
  <c r="O41" i="23" s="1"/>
  <c r="O42" i="23" a="1"/>
  <c r="O42" i="23" s="1"/>
  <c r="O43" i="23" a="1"/>
  <c r="O43" i="23" s="1"/>
  <c r="O44" i="23" a="1"/>
  <c r="O44" i="23" s="1"/>
  <c r="O45" i="23" a="1"/>
  <c r="O45" i="23" s="1"/>
  <c r="O46" i="23" a="1"/>
  <c r="O46" i="23" s="1"/>
  <c r="O47" i="23" a="1"/>
  <c r="O47" i="23" s="1"/>
  <c r="O48" i="23" a="1"/>
  <c r="O48" i="23" s="1"/>
  <c r="O49" i="23" a="1"/>
  <c r="O49" i="23" s="1"/>
  <c r="O50" i="23" a="1"/>
  <c r="O50" i="23" s="1"/>
  <c r="K32" i="23" a="1"/>
  <c r="K32" i="23" s="1"/>
  <c r="R158" i="25" s="1"/>
  <c r="K33" i="23" a="1"/>
  <c r="K33" i="23" s="1"/>
  <c r="R159" i="25" s="1"/>
  <c r="AE159" i="25" s="1"/>
  <c r="K34" i="23" a="1"/>
  <c r="K34" i="23" s="1"/>
  <c r="R160" i="25" s="1"/>
  <c r="AE160" i="25" s="1"/>
  <c r="K35" i="23" a="1"/>
  <c r="K35" i="23" s="1"/>
  <c r="R161" i="25" s="1"/>
  <c r="K36" i="23" a="1"/>
  <c r="K36" i="23" s="1"/>
  <c r="R162" i="25" s="1"/>
  <c r="K37" i="23" a="1"/>
  <c r="K37" i="23" s="1"/>
  <c r="R163" i="25" s="1"/>
  <c r="K38" i="23" a="1"/>
  <c r="K38" i="23" s="1"/>
  <c r="R164" i="25" s="1"/>
  <c r="K39" i="23" a="1"/>
  <c r="K39" i="23" s="1"/>
  <c r="R165" i="25" s="1"/>
  <c r="AE165" i="25" s="1"/>
  <c r="K40" i="23" a="1"/>
  <c r="K40" i="23" s="1"/>
  <c r="R166" i="25" s="1"/>
  <c r="K41" i="23" a="1"/>
  <c r="K41" i="23" s="1"/>
  <c r="K42" i="23" a="1"/>
  <c r="K42" i="23" s="1"/>
  <c r="K43" i="23" a="1"/>
  <c r="K43" i="23" s="1"/>
  <c r="K44" i="23" a="1"/>
  <c r="K44" i="23" s="1"/>
  <c r="K45" i="23" a="1"/>
  <c r="K45" i="23" s="1"/>
  <c r="K46" i="23" a="1"/>
  <c r="K46" i="23" s="1"/>
  <c r="K47" i="23" a="1"/>
  <c r="K47" i="23" s="1"/>
  <c r="K48" i="23" a="1"/>
  <c r="K48" i="23" s="1"/>
  <c r="K49" i="23" a="1"/>
  <c r="K49" i="23" s="1"/>
  <c r="K50" i="23" a="1"/>
  <c r="K50" i="23" s="1"/>
  <c r="F32" i="23"/>
  <c r="F33" i="23"/>
  <c r="F34" i="23"/>
  <c r="F35" i="23"/>
  <c r="F36" i="23"/>
  <c r="F37" i="23"/>
  <c r="F38" i="23"/>
  <c r="F39" i="23"/>
  <c r="F40" i="23"/>
  <c r="I32" i="23" a="1"/>
  <c r="I32" i="23" s="1"/>
  <c r="P158" i="25" s="1"/>
  <c r="I33" i="23" a="1"/>
  <c r="I33" i="23" s="1"/>
  <c r="P159" i="25" s="1"/>
  <c r="I34" i="23" a="1"/>
  <c r="I34" i="23" s="1"/>
  <c r="P160" i="25" s="1"/>
  <c r="I35" i="23" a="1"/>
  <c r="I35" i="23" s="1"/>
  <c r="P161" i="25" s="1"/>
  <c r="I36" i="23" a="1"/>
  <c r="I36" i="23" s="1"/>
  <c r="P162" i="25" s="1"/>
  <c r="I37" i="23" a="1"/>
  <c r="I37" i="23" s="1"/>
  <c r="P163" i="25" s="1"/>
  <c r="I38" i="23" a="1"/>
  <c r="I38" i="23" s="1"/>
  <c r="P164" i="25" s="1"/>
  <c r="I39" i="23" a="1"/>
  <c r="I39" i="23" s="1"/>
  <c r="P165" i="25" s="1"/>
  <c r="I40" i="23" a="1"/>
  <c r="I40" i="23" s="1"/>
  <c r="P166" i="25" s="1"/>
  <c r="J32" i="23"/>
  <c r="Q158" i="25" s="1"/>
  <c r="J33" i="23"/>
  <c r="Q159" i="25" s="1"/>
  <c r="J34" i="23"/>
  <c r="Q160" i="25" s="1"/>
  <c r="J35" i="23"/>
  <c r="Q161" i="25" s="1"/>
  <c r="J36" i="23"/>
  <c r="Q162" i="25" s="1"/>
  <c r="J37" i="23"/>
  <c r="Q163" i="25" s="1"/>
  <c r="J38" i="23"/>
  <c r="Q164" i="25" s="1"/>
  <c r="J39" i="23"/>
  <c r="Q165" i="25" s="1"/>
  <c r="J40" i="23"/>
  <c r="Q166" i="25" s="1"/>
  <c r="F9" i="23"/>
  <c r="F10" i="23"/>
  <c r="F11" i="23"/>
  <c r="F12" i="23"/>
  <c r="F13" i="23"/>
  <c r="F14" i="23"/>
  <c r="F15" i="23"/>
  <c r="F16" i="23"/>
  <c r="F17" i="23"/>
  <c r="I9" i="23" a="1"/>
  <c r="I9" i="23" s="1"/>
  <c r="P138" i="25" s="1"/>
  <c r="I10" i="23" a="1"/>
  <c r="I10" i="23" s="1"/>
  <c r="P139" i="25" s="1"/>
  <c r="I11" i="23" a="1"/>
  <c r="I11" i="23" s="1"/>
  <c r="P140" i="25" s="1"/>
  <c r="I12" i="23" a="1"/>
  <c r="I12" i="23" s="1"/>
  <c r="P141" i="25" s="1"/>
  <c r="I13" i="23" a="1"/>
  <c r="I13" i="23" s="1"/>
  <c r="P142" i="25" s="1"/>
  <c r="I14" i="23" a="1"/>
  <c r="I14" i="23" s="1"/>
  <c r="P143" i="25" s="1"/>
  <c r="I15" i="23" a="1"/>
  <c r="I15" i="23" s="1"/>
  <c r="P144" i="25" s="1"/>
  <c r="I16" i="23" a="1"/>
  <c r="I16" i="23" s="1"/>
  <c r="P145" i="25" s="1"/>
  <c r="I17" i="23" a="1"/>
  <c r="I17" i="23" s="1"/>
  <c r="P146" i="25" s="1"/>
  <c r="J9" i="23"/>
  <c r="Q138" i="25" s="1"/>
  <c r="J10" i="23"/>
  <c r="Q139" i="25" s="1"/>
  <c r="J11" i="23"/>
  <c r="Q140" i="25" s="1"/>
  <c r="J12" i="23"/>
  <c r="Q141" i="25" s="1"/>
  <c r="J13" i="23"/>
  <c r="Q142" i="25" s="1"/>
  <c r="J14" i="23"/>
  <c r="Q143" i="25" s="1"/>
  <c r="J15" i="23"/>
  <c r="Q144" i="25" s="1"/>
  <c r="J16" i="23"/>
  <c r="Q145" i="25" s="1"/>
  <c r="J17" i="23"/>
  <c r="Q146" i="25" s="1"/>
  <c r="K9" i="23" a="1"/>
  <c r="K9" i="23" s="1"/>
  <c r="R138" i="25" s="1"/>
  <c r="K10" i="23" a="1"/>
  <c r="K10" i="23" s="1"/>
  <c r="R139" i="25" s="1"/>
  <c r="K11" i="23" a="1"/>
  <c r="K11" i="23" s="1"/>
  <c r="R140" i="25" s="1"/>
  <c r="K12" i="23" a="1"/>
  <c r="K12" i="23" s="1"/>
  <c r="R141" i="25" s="1"/>
  <c r="K13" i="23" a="1"/>
  <c r="K13" i="23" s="1"/>
  <c r="R142" i="25" s="1"/>
  <c r="K14" i="23" a="1"/>
  <c r="K14" i="23" s="1"/>
  <c r="R143" i="25" s="1"/>
  <c r="K15" i="23" a="1"/>
  <c r="K15" i="23" s="1"/>
  <c r="R144" i="25" s="1"/>
  <c r="K16" i="23" a="1"/>
  <c r="K16" i="23" s="1"/>
  <c r="R145" i="25" s="1"/>
  <c r="K17" i="23" a="1"/>
  <c r="K17" i="23" s="1"/>
  <c r="R146" i="25" s="1"/>
  <c r="O9" i="23" a="1"/>
  <c r="O9" i="23" s="1"/>
  <c r="V138" i="25" s="1"/>
  <c r="O10" i="23" a="1"/>
  <c r="O10" i="23" s="1"/>
  <c r="V139" i="25" s="1"/>
  <c r="O11" i="23" a="1"/>
  <c r="O11" i="23" s="1"/>
  <c r="V140" i="25" s="1"/>
  <c r="O12" i="23" a="1"/>
  <c r="O12" i="23" s="1"/>
  <c r="V141" i="25" s="1"/>
  <c r="O13" i="23" a="1"/>
  <c r="O13" i="23" s="1"/>
  <c r="V142" i="25" s="1"/>
  <c r="O14" i="23" a="1"/>
  <c r="O14" i="23" s="1"/>
  <c r="V143" i="25" s="1"/>
  <c r="O15" i="23" a="1"/>
  <c r="O15" i="23" s="1"/>
  <c r="V144" i="25" s="1"/>
  <c r="O16" i="23" a="1"/>
  <c r="O16" i="23" s="1"/>
  <c r="V145" i="25" s="1"/>
  <c r="O17" i="23" a="1"/>
  <c r="O17" i="23" s="1"/>
  <c r="V146" i="25" s="1"/>
  <c r="P9" i="23" a="1"/>
  <c r="P9" i="23" s="1"/>
  <c r="W138" i="25" s="1"/>
  <c r="P10" i="23" a="1"/>
  <c r="P10" i="23" s="1"/>
  <c r="W139" i="25" s="1"/>
  <c r="P11" i="23" a="1"/>
  <c r="P11" i="23" s="1"/>
  <c r="W140" i="25" s="1"/>
  <c r="P12" i="23" a="1"/>
  <c r="P12" i="23" s="1"/>
  <c r="W141" i="25" s="1"/>
  <c r="P13" i="23" a="1"/>
  <c r="P13" i="23" s="1"/>
  <c r="W142" i="25" s="1"/>
  <c r="P14" i="23" a="1"/>
  <c r="P14" i="23" s="1"/>
  <c r="W143" i="25" s="1"/>
  <c r="P15" i="23" a="1"/>
  <c r="P15" i="23" s="1"/>
  <c r="W144" i="25" s="1"/>
  <c r="P16" i="23" a="1"/>
  <c r="P16" i="23" s="1"/>
  <c r="W145" i="25" s="1"/>
  <c r="P17" i="23" a="1"/>
  <c r="P17" i="23" s="1"/>
  <c r="W146" i="25" s="1"/>
  <c r="Q9" i="23" a="1"/>
  <c r="Q9" i="23" s="1"/>
  <c r="X138" i="25" s="1"/>
  <c r="Q10" i="23" a="1"/>
  <c r="Q10" i="23" s="1"/>
  <c r="X139" i="25" s="1"/>
  <c r="Q11" i="23" a="1"/>
  <c r="Q11" i="23" s="1"/>
  <c r="X140" i="25" s="1"/>
  <c r="Q12" i="23" a="1"/>
  <c r="Q12" i="23" s="1"/>
  <c r="X141" i="25" s="1"/>
  <c r="Q13" i="23" a="1"/>
  <c r="Q13" i="23" s="1"/>
  <c r="X142" i="25" s="1"/>
  <c r="Q14" i="23" a="1"/>
  <c r="Q14" i="23" s="1"/>
  <c r="X143" i="25" s="1"/>
  <c r="Q15" i="23" a="1"/>
  <c r="Q15" i="23" s="1"/>
  <c r="X144" i="25" s="1"/>
  <c r="Q16" i="23" a="1"/>
  <c r="Q16" i="23" s="1"/>
  <c r="X145" i="25" s="1"/>
  <c r="Q17" i="23" a="1"/>
  <c r="Q17" i="23" s="1"/>
  <c r="X146" i="25" s="1"/>
  <c r="R9" i="23" a="1"/>
  <c r="R9" i="23" s="1"/>
  <c r="Y138" i="25" s="1"/>
  <c r="R10" i="23" a="1"/>
  <c r="R10" i="23" s="1"/>
  <c r="Y139" i="25" s="1"/>
  <c r="R11" i="23" a="1"/>
  <c r="R11" i="23" s="1"/>
  <c r="Y140" i="25" s="1"/>
  <c r="R12" i="23" a="1"/>
  <c r="R12" i="23" s="1"/>
  <c r="Y141" i="25" s="1"/>
  <c r="R13" i="23" a="1"/>
  <c r="R13" i="23" s="1"/>
  <c r="Y142" i="25" s="1"/>
  <c r="R14" i="23" a="1"/>
  <c r="R14" i="23" s="1"/>
  <c r="Y143" i="25" s="1"/>
  <c r="R15" i="23" a="1"/>
  <c r="R15" i="23" s="1"/>
  <c r="Y144" i="25" s="1"/>
  <c r="R16" i="23" a="1"/>
  <c r="R16" i="23" s="1"/>
  <c r="Y145" i="25" s="1"/>
  <c r="R17" i="23" a="1"/>
  <c r="R17" i="23" s="1"/>
  <c r="Y146" i="25" s="1"/>
  <c r="S9" i="23" a="1"/>
  <c r="S9" i="23" s="1"/>
  <c r="Z138" i="25" s="1"/>
  <c r="S10" i="23" a="1"/>
  <c r="S10" i="23" s="1"/>
  <c r="Z139" i="25" s="1"/>
  <c r="S11" i="23" a="1"/>
  <c r="S11" i="23" s="1"/>
  <c r="Z140" i="25" s="1"/>
  <c r="S12" i="23" a="1"/>
  <c r="S12" i="23" s="1"/>
  <c r="Z141" i="25" s="1"/>
  <c r="S13" i="23" a="1"/>
  <c r="S13" i="23" s="1"/>
  <c r="Z142" i="25" s="1"/>
  <c r="S14" i="23" a="1"/>
  <c r="S14" i="23" s="1"/>
  <c r="Z143" i="25" s="1"/>
  <c r="S15" i="23" a="1"/>
  <c r="S15" i="23" s="1"/>
  <c r="Z144" i="25" s="1"/>
  <c r="S16" i="23" a="1"/>
  <c r="S16" i="23" s="1"/>
  <c r="Z145" i="25" s="1"/>
  <c r="S17" i="23" a="1"/>
  <c r="S17" i="23" s="1"/>
  <c r="Z146" i="25" s="1"/>
  <c r="V9" i="23" a="1"/>
  <c r="V9" i="23" s="1"/>
  <c r="AC138" i="25" s="1"/>
  <c r="V10" i="23" a="1"/>
  <c r="V10" i="23" s="1"/>
  <c r="AC139" i="25" s="1"/>
  <c r="V11" i="23" a="1"/>
  <c r="V11" i="23" s="1"/>
  <c r="AC140" i="25" s="1"/>
  <c r="V12" i="23" a="1"/>
  <c r="V12" i="23" s="1"/>
  <c r="AC141" i="25" s="1"/>
  <c r="V13" i="23" a="1"/>
  <c r="V13" i="23" s="1"/>
  <c r="AC142" i="25" s="1"/>
  <c r="V14" i="23" a="1"/>
  <c r="V14" i="23" s="1"/>
  <c r="AC143" i="25" s="1"/>
  <c r="V15" i="23" a="1"/>
  <c r="V15" i="23" s="1"/>
  <c r="AC144" i="25" s="1"/>
  <c r="V16" i="23" a="1"/>
  <c r="V16" i="23" s="1"/>
  <c r="AC145" i="25" s="1"/>
  <c r="V17" i="23" a="1"/>
  <c r="V17" i="23" s="1"/>
  <c r="AC146" i="25" s="1"/>
  <c r="V18" i="23" a="1"/>
  <c r="V18" i="23" s="1"/>
  <c r="AC147" i="25" s="1"/>
  <c r="V19" i="23" a="1"/>
  <c r="V19" i="23" s="1"/>
  <c r="V20" i="23" a="1"/>
  <c r="V20" i="23" s="1"/>
  <c r="V21" i="23" a="1"/>
  <c r="V21" i="23" s="1"/>
  <c r="V22" i="23" a="1"/>
  <c r="V22" i="23" s="1"/>
  <c r="V23" i="23" a="1"/>
  <c r="V23" i="23" s="1"/>
  <c r="V24" i="23" a="1"/>
  <c r="V24" i="23" s="1"/>
  <c r="V25" i="23" a="1"/>
  <c r="V25" i="23" s="1"/>
  <c r="V26" i="23" a="1"/>
  <c r="V26" i="23" s="1"/>
  <c r="V27" i="23" a="1"/>
  <c r="V27" i="23" s="1"/>
  <c r="S18" i="23" a="1"/>
  <c r="S18" i="23" s="1"/>
  <c r="Z147" i="25" s="1"/>
  <c r="S19" i="23" a="1"/>
  <c r="S19" i="23" s="1"/>
  <c r="S20" i="23" a="1"/>
  <c r="S20" i="23" s="1"/>
  <c r="S21" i="23" a="1"/>
  <c r="S21" i="23" s="1"/>
  <c r="S22" i="23" a="1"/>
  <c r="S22" i="23" s="1"/>
  <c r="S23" i="23" a="1"/>
  <c r="S23" i="23" s="1"/>
  <c r="S24" i="23" a="1"/>
  <c r="S24" i="23" s="1"/>
  <c r="S25" i="23" a="1"/>
  <c r="S25" i="23" s="1"/>
  <c r="S26" i="23" a="1"/>
  <c r="S26" i="23" s="1"/>
  <c r="S27" i="23" a="1"/>
  <c r="S27" i="23" s="1"/>
  <c r="R18" i="23" a="1"/>
  <c r="R18" i="23" s="1"/>
  <c r="Y147" i="25" s="1"/>
  <c r="R19" i="23" a="1"/>
  <c r="R19" i="23" s="1"/>
  <c r="R20" i="23" a="1"/>
  <c r="R20" i="23" s="1"/>
  <c r="R21" i="23" a="1"/>
  <c r="R21" i="23" s="1"/>
  <c r="R22" i="23" a="1"/>
  <c r="R22" i="23" s="1"/>
  <c r="R23" i="23" a="1"/>
  <c r="R23" i="23" s="1"/>
  <c r="R24" i="23" a="1"/>
  <c r="R24" i="23" s="1"/>
  <c r="R25" i="23" a="1"/>
  <c r="R25" i="23" s="1"/>
  <c r="R26" i="23" a="1"/>
  <c r="R26" i="23" s="1"/>
  <c r="R27" i="23" a="1"/>
  <c r="R27" i="23" s="1"/>
  <c r="Q18" i="23" a="1"/>
  <c r="Q18" i="23" s="1"/>
  <c r="X147" i="25" s="1"/>
  <c r="Q19" i="23" a="1"/>
  <c r="Q19" i="23" s="1"/>
  <c r="Q20" i="23" a="1"/>
  <c r="Q20" i="23" s="1"/>
  <c r="Q21" i="23" a="1"/>
  <c r="Q21" i="23" s="1"/>
  <c r="Q22" i="23" a="1"/>
  <c r="Q22" i="23" s="1"/>
  <c r="Q23" i="23" a="1"/>
  <c r="Q23" i="23" s="1"/>
  <c r="Q24" i="23" a="1"/>
  <c r="Q24" i="23" s="1"/>
  <c r="Q25" i="23" a="1"/>
  <c r="Q25" i="23" s="1"/>
  <c r="Q26" i="23" a="1"/>
  <c r="Q26" i="23" s="1"/>
  <c r="Q27" i="23" a="1"/>
  <c r="Q27" i="23" s="1"/>
  <c r="P18" i="23" a="1"/>
  <c r="P18" i="23" s="1"/>
  <c r="W147" i="25" s="1"/>
  <c r="P19" i="23" a="1"/>
  <c r="P19" i="23" s="1"/>
  <c r="P20" i="23" a="1"/>
  <c r="P20" i="23" s="1"/>
  <c r="P21" i="23" a="1"/>
  <c r="P21" i="23" s="1"/>
  <c r="P22" i="23" a="1"/>
  <c r="P22" i="23" s="1"/>
  <c r="P23" i="23" a="1"/>
  <c r="P23" i="23" s="1"/>
  <c r="P24" i="23" a="1"/>
  <c r="P24" i="23" s="1"/>
  <c r="P25" i="23" a="1"/>
  <c r="P25" i="23" s="1"/>
  <c r="P26" i="23" a="1"/>
  <c r="P26" i="23" s="1"/>
  <c r="P27" i="23" a="1"/>
  <c r="P27" i="23" s="1"/>
  <c r="O18" i="23" a="1"/>
  <c r="O18" i="23" s="1"/>
  <c r="V147" i="25" s="1"/>
  <c r="O19" i="23" a="1"/>
  <c r="O19" i="23" s="1"/>
  <c r="O20" i="23" a="1"/>
  <c r="O20" i="23" s="1"/>
  <c r="O21" i="23" a="1"/>
  <c r="O21" i="23" s="1"/>
  <c r="O22" i="23" a="1"/>
  <c r="O22" i="23" s="1"/>
  <c r="O23" i="23" a="1"/>
  <c r="O23" i="23" s="1"/>
  <c r="O24" i="23" a="1"/>
  <c r="O24" i="23" s="1"/>
  <c r="O25" i="23" a="1"/>
  <c r="O25" i="23" s="1"/>
  <c r="O26" i="23" a="1"/>
  <c r="O26" i="23" s="1"/>
  <c r="O27" i="23" a="1"/>
  <c r="O27" i="23" s="1"/>
  <c r="K8" i="23" a="1"/>
  <c r="K8" i="23" s="1"/>
  <c r="K18" i="23" a="1"/>
  <c r="K18" i="23" s="1"/>
  <c r="R147" i="25" s="1"/>
  <c r="K19" i="23" a="1"/>
  <c r="K19" i="23" s="1"/>
  <c r="K20" i="23" a="1"/>
  <c r="K20" i="23" s="1"/>
  <c r="K21" i="23" a="1"/>
  <c r="K21" i="23" s="1"/>
  <c r="K22" i="23" a="1"/>
  <c r="K22" i="23" s="1"/>
  <c r="K23" i="23" a="1"/>
  <c r="K23" i="23" s="1"/>
  <c r="K24" i="23" a="1"/>
  <c r="K24" i="23" s="1"/>
  <c r="K25" i="23" a="1"/>
  <c r="K25" i="23" s="1"/>
  <c r="K26" i="23" a="1"/>
  <c r="K26" i="23" s="1"/>
  <c r="K27" i="23" a="1"/>
  <c r="K27" i="23" s="1"/>
  <c r="B163" i="25" l="1"/>
  <c r="B166" i="25"/>
  <c r="B143" i="25"/>
  <c r="M143" i="25"/>
  <c r="M146" i="25"/>
  <c r="M138" i="25"/>
  <c r="M163" i="25"/>
  <c r="M145" i="25"/>
  <c r="M162" i="25"/>
  <c r="AE163" i="25"/>
  <c r="M142" i="25"/>
  <c r="M159" i="25"/>
  <c r="M141" i="25"/>
  <c r="M166" i="25"/>
  <c r="M158" i="25"/>
  <c r="M161" i="25"/>
  <c r="M160" i="25"/>
  <c r="M140" i="25"/>
  <c r="M165" i="25"/>
  <c r="M144" i="25"/>
  <c r="M139" i="25"/>
  <c r="M164" i="25"/>
  <c r="AE164" i="25"/>
  <c r="AE158" i="25"/>
  <c r="AE166" i="25"/>
  <c r="B158" i="25"/>
  <c r="B140" i="25"/>
  <c r="B164" i="25"/>
  <c r="B141" i="25"/>
  <c r="B165" i="25"/>
  <c r="B145" i="25"/>
  <c r="B162" i="25"/>
  <c r="B147" i="25"/>
  <c r="B139" i="25"/>
  <c r="B142" i="25"/>
  <c r="B161" i="25"/>
  <c r="B144" i="25"/>
  <c r="B160" i="25"/>
  <c r="B146" i="25"/>
  <c r="B138" i="25"/>
  <c r="B159" i="25"/>
  <c r="AE140" i="25"/>
  <c r="AE162" i="25"/>
  <c r="AE161" i="25"/>
  <c r="AE144" i="25"/>
  <c r="AE147" i="25"/>
  <c r="AE145" i="25"/>
  <c r="AE139" i="25"/>
  <c r="AE143" i="25"/>
  <c r="AE146" i="25"/>
  <c r="AE142" i="25"/>
  <c r="AE141" i="25"/>
  <c r="AE138" i="25"/>
  <c r="L9" i="23"/>
  <c r="L16" i="23"/>
  <c r="L10" i="23"/>
  <c r="L36" i="23"/>
  <c r="T36" i="23" s="1"/>
  <c r="L35" i="23"/>
  <c r="T35" i="23" s="1"/>
  <c r="L34" i="23"/>
  <c r="T34" i="23" s="1"/>
  <c r="L40" i="23"/>
  <c r="T40" i="23" s="1"/>
  <c r="L39" i="23"/>
  <c r="T39" i="23" s="1"/>
  <c r="L33" i="23"/>
  <c r="T33" i="23" s="1"/>
  <c r="L38" i="23"/>
  <c r="T38" i="23" s="1"/>
  <c r="L32" i="23"/>
  <c r="T32" i="23" s="1"/>
  <c r="L37" i="23"/>
  <c r="T37" i="23" s="1"/>
  <c r="L15" i="23"/>
  <c r="L14" i="23"/>
  <c r="L13" i="23"/>
  <c r="L12" i="23"/>
  <c r="L11" i="23"/>
  <c r="L17" i="23"/>
  <c r="AA160" i="25" l="1"/>
  <c r="S160" i="25"/>
  <c r="AF160" i="25" s="1"/>
  <c r="U34" i="23"/>
  <c r="AB160" i="25" s="1"/>
  <c r="AA159" i="25"/>
  <c r="S159" i="25"/>
  <c r="AF159" i="25" s="1"/>
  <c r="U33" i="23"/>
  <c r="AB159" i="25" s="1"/>
  <c r="S165" i="25"/>
  <c r="AF165" i="25" s="1"/>
  <c r="U39" i="23"/>
  <c r="AB165" i="25" s="1"/>
  <c r="AA166" i="25"/>
  <c r="U40" i="23"/>
  <c r="S166" i="25"/>
  <c r="AF166" i="25" s="1"/>
  <c r="AA161" i="25"/>
  <c r="S161" i="25"/>
  <c r="AF161" i="25" s="1"/>
  <c r="U35" i="23"/>
  <c r="AB161" i="25" s="1"/>
  <c r="S164" i="25"/>
  <c r="AF164" i="25" s="1"/>
  <c r="U38" i="23"/>
  <c r="AA163" i="25"/>
  <c r="S163" i="25"/>
  <c r="AF163" i="25" s="1"/>
  <c r="U37" i="23"/>
  <c r="AB163" i="25" s="1"/>
  <c r="AA162" i="25"/>
  <c r="S162" i="25"/>
  <c r="AF162" i="25" s="1"/>
  <c r="U36" i="23"/>
  <c r="U32" i="23"/>
  <c r="AB158" i="25" s="1"/>
  <c r="S158" i="25"/>
  <c r="AF158" i="25" s="1"/>
  <c r="T13" i="23"/>
  <c r="AA142" i="25" s="1"/>
  <c r="U13" i="23"/>
  <c r="AB142" i="25" s="1"/>
  <c r="S142" i="25"/>
  <c r="AF142" i="25" s="1"/>
  <c r="S140" i="25"/>
  <c r="AF140" i="25" s="1"/>
  <c r="T11" i="23"/>
  <c r="AA140" i="25" s="1"/>
  <c r="U11" i="23"/>
  <c r="AB140" i="25" s="1"/>
  <c r="U15" i="23"/>
  <c r="AB144" i="25" s="1"/>
  <c r="T15" i="23"/>
  <c r="AA144" i="25" s="1"/>
  <c r="S144" i="25"/>
  <c r="AF144" i="25" s="1"/>
  <c r="T14" i="23"/>
  <c r="AA143" i="25" s="1"/>
  <c r="U14" i="23"/>
  <c r="AB143" i="25" s="1"/>
  <c r="S143" i="25"/>
  <c r="AF143" i="25" s="1"/>
  <c r="S139" i="25"/>
  <c r="AF139" i="25" s="1"/>
  <c r="T10" i="23"/>
  <c r="AA139" i="25" s="1"/>
  <c r="U10" i="23"/>
  <c r="AB139" i="25" s="1"/>
  <c r="T17" i="23"/>
  <c r="AA146" i="25" s="1"/>
  <c r="S146" i="25"/>
  <c r="AF146" i="25" s="1"/>
  <c r="U17" i="23"/>
  <c r="AB146" i="25" s="1"/>
  <c r="T16" i="23"/>
  <c r="AA145" i="25" s="1"/>
  <c r="U16" i="23"/>
  <c r="AB145" i="25" s="1"/>
  <c r="S145" i="25"/>
  <c r="AF145" i="25" s="1"/>
  <c r="S141" i="25"/>
  <c r="AF141" i="25" s="1"/>
  <c r="T12" i="23"/>
  <c r="AA141" i="25" s="1"/>
  <c r="U12" i="23"/>
  <c r="AB141" i="25" s="1"/>
  <c r="T9" i="23"/>
  <c r="AA138" i="25" s="1"/>
  <c r="U9" i="23"/>
  <c r="AB138" i="25" s="1"/>
  <c r="S138" i="25"/>
  <c r="AF138" i="25" s="1"/>
  <c r="AA165" i="25"/>
  <c r="AA164" i="25"/>
  <c r="AA158" i="25"/>
  <c r="X35" i="23" l="1" a="1"/>
  <c r="X35" i="23" s="1"/>
  <c r="X11" i="23" a="1"/>
  <c r="X11" i="23" s="1"/>
  <c r="X16" i="23" a="1"/>
  <c r="X16" i="23" s="1"/>
  <c r="AB164" i="25"/>
  <c r="X38" i="23" a="1"/>
  <c r="X38" i="23" s="1"/>
  <c r="X33" i="23" a="1"/>
  <c r="X33" i="23" s="1"/>
  <c r="X13" i="23" a="1"/>
  <c r="X13" i="23" s="1"/>
  <c r="AB162" i="25"/>
  <c r="X36" i="23" a="1"/>
  <c r="X36" i="23" s="1"/>
  <c r="X34" i="23" a="1"/>
  <c r="X34" i="23" s="1"/>
  <c r="X12" i="23" a="1"/>
  <c r="X12" i="23" s="1"/>
  <c r="X32" i="23" a="1"/>
  <c r="X32" i="23" s="1"/>
  <c r="X9" i="23" a="1"/>
  <c r="X9" i="23" s="1"/>
  <c r="X39" i="23" a="1"/>
  <c r="X39" i="23" s="1"/>
  <c r="X10" i="23" a="1"/>
  <c r="X10" i="23" s="1"/>
  <c r="X37" i="23" a="1"/>
  <c r="X37" i="23" s="1"/>
  <c r="X17" i="23" a="1"/>
  <c r="X17" i="23" s="1"/>
  <c r="AB166" i="25"/>
  <c r="X40" i="23" a="1"/>
  <c r="X40" i="23" s="1"/>
  <c r="X14" i="23" a="1"/>
  <c r="X14" i="23" s="1"/>
  <c r="X15" i="23" a="1"/>
  <c r="X15" i="23" s="1"/>
  <c r="B27" i="26"/>
  <c r="B25" i="26"/>
  <c r="B26" i="26"/>
  <c r="B23" i="26"/>
  <c r="B24" i="26"/>
  <c r="B22" i="26"/>
  <c r="I10" i="14"/>
  <c r="I11" i="14"/>
  <c r="I12" i="14"/>
  <c r="I13" i="14"/>
  <c r="I14" i="14"/>
  <c r="I15" i="14"/>
  <c r="I16" i="14"/>
  <c r="I17" i="14"/>
  <c r="I18" i="14"/>
  <c r="I19" i="14"/>
  <c r="B5" i="26"/>
  <c r="B6" i="26"/>
  <c r="B7" i="26"/>
  <c r="B8" i="26"/>
  <c r="B9" i="26"/>
  <c r="B10" i="26"/>
  <c r="B11" i="26"/>
  <c r="B12" i="26"/>
  <c r="B13" i="26"/>
  <c r="B14" i="26"/>
  <c r="B15" i="26"/>
  <c r="B16" i="26"/>
  <c r="B17" i="26"/>
  <c r="B18" i="26"/>
  <c r="B19" i="26"/>
  <c r="B20" i="26"/>
  <c r="B21" i="26"/>
  <c r="B4" i="26"/>
  <c r="C63" i="19"/>
  <c r="D11" i="26" s="1"/>
  <c r="U42" i="11"/>
  <c r="U43" i="11"/>
  <c r="U44" i="11"/>
  <c r="U45" i="11"/>
  <c r="U46" i="11"/>
  <c r="U47" i="11"/>
  <c r="U48" i="11"/>
  <c r="U49" i="11"/>
  <c r="U50" i="11"/>
  <c r="U51" i="11"/>
  <c r="U52" i="11"/>
  <c r="U53" i="11"/>
  <c r="U54" i="11"/>
  <c r="U55" i="11"/>
  <c r="U56" i="11"/>
  <c r="U57" i="11"/>
  <c r="U58" i="11"/>
  <c r="U59" i="11"/>
  <c r="U60" i="11"/>
  <c r="U61" i="11"/>
  <c r="U62" i="11"/>
  <c r="U63" i="11"/>
  <c r="T42" i="11"/>
  <c r="T43" i="11"/>
  <c r="T44" i="11"/>
  <c r="T45" i="11"/>
  <c r="T46" i="11"/>
  <c r="T47" i="11"/>
  <c r="T48" i="11"/>
  <c r="T49" i="11"/>
  <c r="T50" i="11"/>
  <c r="T51" i="11"/>
  <c r="T52" i="11"/>
  <c r="T53" i="11"/>
  <c r="T54" i="11"/>
  <c r="T55" i="11"/>
  <c r="T56" i="11"/>
  <c r="T57" i="11"/>
  <c r="T58" i="11"/>
  <c r="T59" i="11"/>
  <c r="T60" i="11"/>
  <c r="T61" i="11"/>
  <c r="T62" i="11"/>
  <c r="T63" i="11"/>
  <c r="F41" i="11" a="1"/>
  <c r="F41" i="11" s="1"/>
  <c r="U41" i="11" s="1"/>
  <c r="F42" i="11" a="1"/>
  <c r="F42" i="11" s="1"/>
  <c r="F43" i="11" a="1"/>
  <c r="F43" i="11" s="1"/>
  <c r="F44" i="11" a="1"/>
  <c r="F44" i="11" s="1"/>
  <c r="F45" i="11" a="1"/>
  <c r="F45" i="11" s="1"/>
  <c r="F46" i="11" a="1"/>
  <c r="F46" i="11" s="1"/>
  <c r="F47" i="11" a="1"/>
  <c r="F47" i="11" s="1"/>
  <c r="F48" i="11" a="1"/>
  <c r="F48" i="11" s="1"/>
  <c r="F49" i="11" a="1"/>
  <c r="F49" i="11" s="1"/>
  <c r="F50" i="11" a="1"/>
  <c r="F50" i="11" s="1"/>
  <c r="F51" i="11" a="1"/>
  <c r="F51" i="11" s="1"/>
  <c r="F52" i="11" a="1"/>
  <c r="F52" i="11" s="1"/>
  <c r="F53" i="11" a="1"/>
  <c r="F53" i="11" s="1"/>
  <c r="F54" i="11" a="1"/>
  <c r="F54" i="11" s="1"/>
  <c r="F55" i="11" a="1"/>
  <c r="F55" i="11" s="1"/>
  <c r="F56" i="11" a="1"/>
  <c r="F56" i="11" s="1"/>
  <c r="F57" i="11" a="1"/>
  <c r="F57" i="11" s="1"/>
  <c r="F58" i="11" a="1"/>
  <c r="F58" i="11" s="1"/>
  <c r="F59" i="11" a="1"/>
  <c r="F59" i="11" s="1"/>
  <c r="F60" i="11" a="1"/>
  <c r="F60" i="11" s="1"/>
  <c r="F61" i="11" a="1"/>
  <c r="F61" i="11" s="1"/>
  <c r="F62" i="11" a="1"/>
  <c r="F62" i="11" s="1"/>
  <c r="F63" i="11" a="1"/>
  <c r="F63" i="11" s="1"/>
  <c r="F6" i="14"/>
  <c r="H3" i="25"/>
  <c r="H4" i="25"/>
  <c r="H5" i="25"/>
  <c r="H6" i="25"/>
  <c r="H7" i="25"/>
  <c r="H8" i="25"/>
  <c r="H9" i="25"/>
  <c r="H10" i="25"/>
  <c r="H11" i="25"/>
  <c r="H12" i="25"/>
  <c r="H13" i="25"/>
  <c r="H14" i="25"/>
  <c r="H15" i="25"/>
  <c r="H16" i="25"/>
  <c r="H17" i="25"/>
  <c r="H18" i="25"/>
  <c r="H19" i="25"/>
  <c r="H20" i="25"/>
  <c r="H21" i="25"/>
  <c r="H22" i="25"/>
  <c r="H23" i="25"/>
  <c r="H24" i="25"/>
  <c r="H25" i="25"/>
  <c r="H26" i="25"/>
  <c r="H27" i="25"/>
  <c r="H28" i="25"/>
  <c r="H29" i="25"/>
  <c r="H30" i="25"/>
  <c r="H31" i="25"/>
  <c r="H32" i="25"/>
  <c r="H33" i="25"/>
  <c r="H34" i="25"/>
  <c r="H35" i="25"/>
  <c r="H36" i="25"/>
  <c r="H37" i="25"/>
  <c r="H38" i="25"/>
  <c r="H39" i="25"/>
  <c r="H40" i="25"/>
  <c r="H41" i="25"/>
  <c r="H42" i="25"/>
  <c r="H43" i="25"/>
  <c r="H44" i="25"/>
  <c r="H45" i="25"/>
  <c r="H46" i="25"/>
  <c r="H47" i="25"/>
  <c r="H48" i="25"/>
  <c r="H49" i="25"/>
  <c r="H50" i="25"/>
  <c r="H51" i="25"/>
  <c r="H52" i="25"/>
  <c r="H53" i="25"/>
  <c r="H54" i="25"/>
  <c r="H55" i="25"/>
  <c r="H56" i="25"/>
  <c r="H57" i="25"/>
  <c r="H58" i="25"/>
  <c r="H59" i="25"/>
  <c r="H60" i="25"/>
  <c r="H61" i="25"/>
  <c r="H62" i="25"/>
  <c r="H63" i="25"/>
  <c r="H64" i="25"/>
  <c r="H65" i="25"/>
  <c r="H66" i="25"/>
  <c r="H67" i="25"/>
  <c r="H68" i="25"/>
  <c r="H69" i="25"/>
  <c r="H70" i="25"/>
  <c r="H71" i="25"/>
  <c r="H72" i="25"/>
  <c r="H73" i="25"/>
  <c r="H74" i="25"/>
  <c r="H75" i="25"/>
  <c r="H76" i="25"/>
  <c r="H77" i="25"/>
  <c r="H78" i="25"/>
  <c r="H79" i="25"/>
  <c r="H80" i="25"/>
  <c r="H81" i="25"/>
  <c r="H82" i="25"/>
  <c r="H83" i="25"/>
  <c r="H84" i="25"/>
  <c r="H85" i="25"/>
  <c r="H86" i="25"/>
  <c r="H87" i="25"/>
  <c r="H88" i="25"/>
  <c r="H89" i="25"/>
  <c r="H90" i="25"/>
  <c r="H91" i="25"/>
  <c r="H92" i="25"/>
  <c r="H93" i="25"/>
  <c r="H94" i="25"/>
  <c r="H95" i="25"/>
  <c r="H96" i="25"/>
  <c r="H97" i="25"/>
  <c r="H98" i="25"/>
  <c r="H99" i="25"/>
  <c r="H100" i="25"/>
  <c r="H101" i="25"/>
  <c r="H102" i="25"/>
  <c r="H103" i="25"/>
  <c r="H104" i="25"/>
  <c r="H105" i="25"/>
  <c r="H106" i="25"/>
  <c r="H107" i="25"/>
  <c r="H108" i="25"/>
  <c r="H109" i="25"/>
  <c r="H110" i="25"/>
  <c r="H111" i="25"/>
  <c r="H112" i="25"/>
  <c r="H113" i="25"/>
  <c r="H114" i="25"/>
  <c r="H115" i="25"/>
  <c r="H116" i="25"/>
  <c r="H117" i="25"/>
  <c r="H118" i="25"/>
  <c r="H119" i="25"/>
  <c r="H120" i="25"/>
  <c r="H121" i="25"/>
  <c r="H122" i="25"/>
  <c r="H123" i="25"/>
  <c r="H124" i="25"/>
  <c r="H125" i="25"/>
  <c r="H126" i="25"/>
  <c r="H127" i="25"/>
  <c r="H128" i="25"/>
  <c r="H129" i="25"/>
  <c r="H130" i="25"/>
  <c r="H131" i="25"/>
  <c r="H132" i="25"/>
  <c r="H133" i="25"/>
  <c r="H134" i="25"/>
  <c r="H135" i="25"/>
  <c r="H136" i="25"/>
  <c r="D104" i="25"/>
  <c r="E104" i="25"/>
  <c r="I104" i="25"/>
  <c r="J104" i="25"/>
  <c r="K104" i="25"/>
  <c r="L104" i="25"/>
  <c r="N104" i="25"/>
  <c r="O104" i="25"/>
  <c r="T104" i="25"/>
  <c r="U104" i="25"/>
  <c r="D105" i="25"/>
  <c r="E105" i="25"/>
  <c r="I105" i="25"/>
  <c r="J105" i="25"/>
  <c r="K105" i="25"/>
  <c r="L105" i="25"/>
  <c r="N105" i="25"/>
  <c r="O105" i="25"/>
  <c r="T105" i="25"/>
  <c r="U105" i="25"/>
  <c r="D106" i="25"/>
  <c r="E106" i="25"/>
  <c r="I106" i="25"/>
  <c r="J106" i="25"/>
  <c r="K106" i="25"/>
  <c r="L106" i="25"/>
  <c r="N106" i="25"/>
  <c r="O106" i="25"/>
  <c r="T106" i="25"/>
  <c r="U106" i="25"/>
  <c r="D107" i="25"/>
  <c r="E107" i="25"/>
  <c r="I107" i="25"/>
  <c r="J107" i="25"/>
  <c r="K107" i="25"/>
  <c r="L107" i="25"/>
  <c r="N107" i="25"/>
  <c r="O107" i="25"/>
  <c r="T107" i="25"/>
  <c r="U107" i="25"/>
  <c r="D108" i="25"/>
  <c r="E108" i="25"/>
  <c r="I108" i="25"/>
  <c r="J108" i="25"/>
  <c r="K108" i="25"/>
  <c r="L108" i="25"/>
  <c r="N108" i="25"/>
  <c r="O108" i="25"/>
  <c r="T108" i="25"/>
  <c r="U108" i="25"/>
  <c r="D109" i="25"/>
  <c r="E109" i="25"/>
  <c r="I109" i="25"/>
  <c r="J109" i="25"/>
  <c r="K109" i="25"/>
  <c r="L109" i="25"/>
  <c r="N109" i="25"/>
  <c r="O109" i="25"/>
  <c r="T109" i="25"/>
  <c r="U109" i="25"/>
  <c r="D110" i="25"/>
  <c r="E110" i="25"/>
  <c r="I110" i="25"/>
  <c r="J110" i="25"/>
  <c r="K110" i="25"/>
  <c r="L110" i="25"/>
  <c r="N110" i="25"/>
  <c r="O110" i="25"/>
  <c r="T110" i="25"/>
  <c r="U110" i="25"/>
  <c r="D111" i="25"/>
  <c r="E111" i="25"/>
  <c r="I111" i="25"/>
  <c r="J111" i="25"/>
  <c r="K111" i="25"/>
  <c r="L111" i="25"/>
  <c r="N111" i="25"/>
  <c r="O111" i="25"/>
  <c r="T111" i="25"/>
  <c r="U111" i="25"/>
  <c r="D112" i="25"/>
  <c r="E112" i="25"/>
  <c r="I112" i="25"/>
  <c r="J112" i="25"/>
  <c r="K112" i="25"/>
  <c r="L112" i="25"/>
  <c r="N112" i="25"/>
  <c r="O112" i="25"/>
  <c r="T112" i="25"/>
  <c r="U112" i="25"/>
  <c r="D113" i="25"/>
  <c r="E113" i="25"/>
  <c r="I113" i="25"/>
  <c r="J113" i="25"/>
  <c r="K113" i="25"/>
  <c r="L113" i="25"/>
  <c r="N113" i="25"/>
  <c r="O113" i="25"/>
  <c r="T113" i="25"/>
  <c r="U113" i="25"/>
  <c r="D103" i="25"/>
  <c r="E103" i="25"/>
  <c r="I103" i="25"/>
  <c r="J103" i="25"/>
  <c r="K103" i="25"/>
  <c r="L103" i="25"/>
  <c r="N103" i="25"/>
  <c r="O103" i="25"/>
  <c r="T103" i="25"/>
  <c r="U103" i="25"/>
  <c r="I102" i="25"/>
  <c r="J102" i="25"/>
  <c r="K102" i="25"/>
  <c r="L102" i="25"/>
  <c r="N102" i="25"/>
  <c r="O102" i="25"/>
  <c r="T102" i="25"/>
  <c r="U102" i="25"/>
  <c r="I4" i="25"/>
  <c r="J4" i="25"/>
  <c r="K4" i="25"/>
  <c r="L4" i="25"/>
  <c r="N4" i="25"/>
  <c r="O4" i="25"/>
  <c r="T4" i="25"/>
  <c r="U4" i="25"/>
  <c r="I5" i="25"/>
  <c r="J5" i="25"/>
  <c r="K5" i="25"/>
  <c r="L5" i="25"/>
  <c r="N5" i="25"/>
  <c r="O5" i="25"/>
  <c r="T5" i="25"/>
  <c r="U5" i="25"/>
  <c r="I6" i="25"/>
  <c r="J6" i="25"/>
  <c r="K6" i="25"/>
  <c r="L6" i="25"/>
  <c r="N6" i="25"/>
  <c r="O6" i="25"/>
  <c r="T6" i="25"/>
  <c r="U6" i="25"/>
  <c r="I7" i="25"/>
  <c r="J7" i="25"/>
  <c r="K7" i="25"/>
  <c r="L7" i="25"/>
  <c r="N7" i="25"/>
  <c r="O7" i="25"/>
  <c r="T7" i="25"/>
  <c r="U7" i="25"/>
  <c r="I8" i="25"/>
  <c r="J8" i="25"/>
  <c r="K8" i="25"/>
  <c r="L8" i="25"/>
  <c r="N8" i="25"/>
  <c r="O8" i="25"/>
  <c r="T8" i="25"/>
  <c r="U8" i="25"/>
  <c r="I9" i="25"/>
  <c r="J9" i="25"/>
  <c r="K9" i="25"/>
  <c r="L9" i="25"/>
  <c r="N9" i="25"/>
  <c r="O9" i="25"/>
  <c r="T9" i="25"/>
  <c r="U9" i="25"/>
  <c r="I10" i="25"/>
  <c r="J10" i="25"/>
  <c r="K10" i="25"/>
  <c r="L10" i="25"/>
  <c r="N10" i="25"/>
  <c r="O10" i="25"/>
  <c r="T10" i="25"/>
  <c r="U10" i="25"/>
  <c r="I11" i="25"/>
  <c r="J11" i="25"/>
  <c r="K11" i="25"/>
  <c r="L11" i="25"/>
  <c r="N11" i="25"/>
  <c r="O11" i="25"/>
  <c r="T11" i="25"/>
  <c r="U11" i="25"/>
  <c r="I12" i="25"/>
  <c r="J12" i="25"/>
  <c r="K12" i="25"/>
  <c r="L12" i="25"/>
  <c r="N12" i="25"/>
  <c r="O12" i="25"/>
  <c r="T12" i="25"/>
  <c r="U12" i="25"/>
  <c r="I13" i="25"/>
  <c r="J13" i="25"/>
  <c r="K13" i="25"/>
  <c r="L13" i="25"/>
  <c r="N13" i="25"/>
  <c r="O13" i="25"/>
  <c r="T13" i="25"/>
  <c r="U13" i="25"/>
  <c r="I14" i="25"/>
  <c r="J14" i="25"/>
  <c r="K14" i="25"/>
  <c r="L14" i="25"/>
  <c r="N14" i="25"/>
  <c r="O14" i="25"/>
  <c r="T14" i="25"/>
  <c r="U14" i="25"/>
  <c r="I15" i="25"/>
  <c r="J15" i="25"/>
  <c r="K15" i="25"/>
  <c r="L15" i="25"/>
  <c r="N15" i="25"/>
  <c r="O15" i="25"/>
  <c r="T15" i="25"/>
  <c r="U15" i="25"/>
  <c r="I16" i="25"/>
  <c r="J16" i="25"/>
  <c r="K16" i="25"/>
  <c r="L16" i="25"/>
  <c r="N16" i="25"/>
  <c r="O16" i="25"/>
  <c r="T16" i="25"/>
  <c r="U16" i="25"/>
  <c r="I17" i="25"/>
  <c r="J17" i="25"/>
  <c r="K17" i="25"/>
  <c r="L17" i="25"/>
  <c r="N17" i="25"/>
  <c r="O17" i="25"/>
  <c r="T17" i="25"/>
  <c r="U17" i="25"/>
  <c r="I18" i="25"/>
  <c r="J18" i="25"/>
  <c r="K18" i="25"/>
  <c r="L18" i="25"/>
  <c r="N18" i="25"/>
  <c r="O18" i="25"/>
  <c r="T18" i="25"/>
  <c r="U18" i="25"/>
  <c r="I19" i="25"/>
  <c r="J19" i="25"/>
  <c r="K19" i="25"/>
  <c r="L19" i="25"/>
  <c r="N19" i="25"/>
  <c r="O19" i="25"/>
  <c r="T19" i="25"/>
  <c r="U19" i="25"/>
  <c r="I20" i="25"/>
  <c r="J20" i="25"/>
  <c r="K20" i="25"/>
  <c r="L20" i="25"/>
  <c r="N20" i="25"/>
  <c r="O20" i="25"/>
  <c r="T20" i="25"/>
  <c r="U20" i="25"/>
  <c r="I21" i="25"/>
  <c r="J21" i="25"/>
  <c r="K21" i="25"/>
  <c r="L21" i="25"/>
  <c r="N21" i="25"/>
  <c r="O21" i="25"/>
  <c r="T21" i="25"/>
  <c r="U21" i="25"/>
  <c r="I22" i="25"/>
  <c r="J22" i="25"/>
  <c r="K22" i="25"/>
  <c r="L22" i="25"/>
  <c r="N22" i="25"/>
  <c r="O22" i="25"/>
  <c r="T22" i="25"/>
  <c r="U22" i="25"/>
  <c r="I23" i="25"/>
  <c r="J23" i="25"/>
  <c r="K23" i="25"/>
  <c r="L23" i="25"/>
  <c r="N23" i="25"/>
  <c r="O23" i="25"/>
  <c r="T23" i="25"/>
  <c r="U23" i="25"/>
  <c r="I24" i="25"/>
  <c r="J24" i="25"/>
  <c r="K24" i="25"/>
  <c r="L24" i="25"/>
  <c r="N24" i="25"/>
  <c r="O24" i="25"/>
  <c r="T24" i="25"/>
  <c r="U24" i="25"/>
  <c r="I25" i="25"/>
  <c r="J25" i="25"/>
  <c r="K25" i="25"/>
  <c r="L25" i="25"/>
  <c r="N25" i="25"/>
  <c r="O25" i="25"/>
  <c r="T25" i="25"/>
  <c r="U25" i="25"/>
  <c r="I26" i="25"/>
  <c r="J26" i="25"/>
  <c r="K26" i="25"/>
  <c r="L26" i="25"/>
  <c r="N26" i="25"/>
  <c r="O26" i="25"/>
  <c r="T26" i="25"/>
  <c r="U26" i="25"/>
  <c r="I27" i="25"/>
  <c r="J27" i="25"/>
  <c r="K27" i="25"/>
  <c r="L27" i="25"/>
  <c r="N27" i="25"/>
  <c r="O27" i="25"/>
  <c r="T27" i="25"/>
  <c r="U27" i="25"/>
  <c r="I28" i="25"/>
  <c r="J28" i="25"/>
  <c r="K28" i="25"/>
  <c r="L28" i="25"/>
  <c r="N28" i="25"/>
  <c r="O28" i="25"/>
  <c r="T28" i="25"/>
  <c r="U28" i="25"/>
  <c r="I29" i="25"/>
  <c r="J29" i="25"/>
  <c r="K29" i="25"/>
  <c r="L29" i="25"/>
  <c r="N29" i="25"/>
  <c r="O29" i="25"/>
  <c r="T29" i="25"/>
  <c r="U29" i="25"/>
  <c r="I30" i="25"/>
  <c r="J30" i="25"/>
  <c r="K30" i="25"/>
  <c r="L30" i="25"/>
  <c r="N30" i="25"/>
  <c r="O30" i="25"/>
  <c r="T30" i="25"/>
  <c r="U30" i="25"/>
  <c r="I31" i="25"/>
  <c r="J31" i="25"/>
  <c r="K31" i="25"/>
  <c r="L31" i="25"/>
  <c r="N31" i="25"/>
  <c r="O31" i="25"/>
  <c r="T31" i="25"/>
  <c r="U31" i="25"/>
  <c r="I32" i="25"/>
  <c r="J32" i="25"/>
  <c r="K32" i="25"/>
  <c r="L32" i="25"/>
  <c r="N32" i="25"/>
  <c r="O32" i="25"/>
  <c r="T32" i="25"/>
  <c r="U32" i="25"/>
  <c r="I33" i="25"/>
  <c r="J33" i="25"/>
  <c r="K33" i="25"/>
  <c r="L33" i="25"/>
  <c r="N33" i="25"/>
  <c r="O33" i="25"/>
  <c r="T33" i="25"/>
  <c r="U33" i="25"/>
  <c r="I34" i="25"/>
  <c r="J34" i="25"/>
  <c r="K34" i="25"/>
  <c r="L34" i="25"/>
  <c r="N34" i="25"/>
  <c r="O34" i="25"/>
  <c r="T34" i="25"/>
  <c r="U34" i="25"/>
  <c r="I35" i="25"/>
  <c r="J35" i="25"/>
  <c r="K35" i="25"/>
  <c r="L35" i="25"/>
  <c r="N35" i="25"/>
  <c r="O35" i="25"/>
  <c r="T35" i="25"/>
  <c r="U35" i="25"/>
  <c r="I36" i="25"/>
  <c r="J36" i="25"/>
  <c r="K36" i="25"/>
  <c r="L36" i="25"/>
  <c r="N36" i="25"/>
  <c r="O36" i="25"/>
  <c r="T36" i="25"/>
  <c r="U36" i="25"/>
  <c r="I37" i="25"/>
  <c r="J37" i="25"/>
  <c r="K37" i="25"/>
  <c r="L37" i="25"/>
  <c r="N37" i="25"/>
  <c r="O37" i="25"/>
  <c r="T37" i="25"/>
  <c r="U37" i="25"/>
  <c r="I38" i="25"/>
  <c r="J38" i="25"/>
  <c r="K38" i="25"/>
  <c r="L38" i="25"/>
  <c r="N38" i="25"/>
  <c r="O38" i="25"/>
  <c r="T38" i="25"/>
  <c r="U38" i="25"/>
  <c r="I39" i="25"/>
  <c r="J39" i="25"/>
  <c r="K39" i="25"/>
  <c r="L39" i="25"/>
  <c r="N39" i="25"/>
  <c r="O39" i="25"/>
  <c r="T39" i="25"/>
  <c r="U39" i="25"/>
  <c r="I40" i="25"/>
  <c r="J40" i="25"/>
  <c r="K40" i="25"/>
  <c r="L40" i="25"/>
  <c r="N40" i="25"/>
  <c r="O40" i="25"/>
  <c r="T40" i="25"/>
  <c r="U40" i="25"/>
  <c r="I41" i="25"/>
  <c r="J41" i="25"/>
  <c r="K41" i="25"/>
  <c r="L41" i="25"/>
  <c r="N41" i="25"/>
  <c r="O41" i="25"/>
  <c r="T41" i="25"/>
  <c r="U41" i="25"/>
  <c r="I42" i="25"/>
  <c r="J42" i="25"/>
  <c r="K42" i="25"/>
  <c r="L42" i="25"/>
  <c r="N42" i="25"/>
  <c r="O42" i="25"/>
  <c r="T42" i="25"/>
  <c r="U42" i="25"/>
  <c r="I43" i="25"/>
  <c r="J43" i="25"/>
  <c r="K43" i="25"/>
  <c r="L43" i="25"/>
  <c r="N43" i="25"/>
  <c r="O43" i="25"/>
  <c r="T43" i="25"/>
  <c r="U43" i="25"/>
  <c r="I44" i="25"/>
  <c r="J44" i="25"/>
  <c r="K44" i="25"/>
  <c r="L44" i="25"/>
  <c r="N44" i="25"/>
  <c r="O44" i="25"/>
  <c r="T44" i="25"/>
  <c r="U44" i="25"/>
  <c r="I45" i="25"/>
  <c r="J45" i="25"/>
  <c r="K45" i="25"/>
  <c r="L45" i="25"/>
  <c r="N45" i="25"/>
  <c r="O45" i="25"/>
  <c r="T45" i="25"/>
  <c r="U45" i="25"/>
  <c r="I46" i="25"/>
  <c r="J46" i="25"/>
  <c r="K46" i="25"/>
  <c r="L46" i="25"/>
  <c r="N46" i="25"/>
  <c r="O46" i="25"/>
  <c r="T46" i="25"/>
  <c r="U46" i="25"/>
  <c r="I47" i="25"/>
  <c r="J47" i="25"/>
  <c r="K47" i="25"/>
  <c r="L47" i="25"/>
  <c r="N47" i="25"/>
  <c r="O47" i="25"/>
  <c r="T47" i="25"/>
  <c r="U47" i="25"/>
  <c r="I48" i="25"/>
  <c r="J48" i="25"/>
  <c r="K48" i="25"/>
  <c r="L48" i="25"/>
  <c r="N48" i="25"/>
  <c r="O48" i="25"/>
  <c r="T48" i="25"/>
  <c r="U48" i="25"/>
  <c r="I49" i="25"/>
  <c r="J49" i="25"/>
  <c r="K49" i="25"/>
  <c r="L49" i="25"/>
  <c r="N49" i="25"/>
  <c r="O49" i="25"/>
  <c r="T49" i="25"/>
  <c r="U49" i="25"/>
  <c r="I50" i="25"/>
  <c r="J50" i="25"/>
  <c r="K50" i="25"/>
  <c r="L50" i="25"/>
  <c r="N50" i="25"/>
  <c r="O50" i="25"/>
  <c r="T50" i="25"/>
  <c r="U50" i="25"/>
  <c r="I51" i="25"/>
  <c r="J51" i="25"/>
  <c r="K51" i="25"/>
  <c r="L51" i="25"/>
  <c r="N51" i="25"/>
  <c r="O51" i="25"/>
  <c r="T51" i="25"/>
  <c r="U51" i="25"/>
  <c r="I52" i="25"/>
  <c r="J52" i="25"/>
  <c r="K52" i="25"/>
  <c r="L52" i="25"/>
  <c r="N52" i="25"/>
  <c r="O52" i="25"/>
  <c r="T52" i="25"/>
  <c r="U52" i="25"/>
  <c r="I53" i="25"/>
  <c r="J53" i="25"/>
  <c r="K53" i="25"/>
  <c r="L53" i="25"/>
  <c r="N53" i="25"/>
  <c r="O53" i="25"/>
  <c r="T53" i="25"/>
  <c r="U53" i="25"/>
  <c r="I54" i="25"/>
  <c r="J54" i="25"/>
  <c r="K54" i="25"/>
  <c r="L54" i="25"/>
  <c r="N54" i="25"/>
  <c r="O54" i="25"/>
  <c r="T54" i="25"/>
  <c r="U54" i="25"/>
  <c r="I55" i="25"/>
  <c r="J55" i="25"/>
  <c r="K55" i="25"/>
  <c r="L55" i="25"/>
  <c r="N55" i="25"/>
  <c r="O55" i="25"/>
  <c r="T55" i="25"/>
  <c r="U55" i="25"/>
  <c r="I56" i="25"/>
  <c r="J56" i="25"/>
  <c r="K56" i="25"/>
  <c r="L56" i="25"/>
  <c r="N56" i="25"/>
  <c r="O56" i="25"/>
  <c r="T56" i="25"/>
  <c r="U56" i="25"/>
  <c r="I57" i="25"/>
  <c r="J57" i="25"/>
  <c r="K57" i="25"/>
  <c r="L57" i="25"/>
  <c r="N57" i="25"/>
  <c r="O57" i="25"/>
  <c r="T57" i="25"/>
  <c r="U57" i="25"/>
  <c r="I58" i="25"/>
  <c r="J58" i="25"/>
  <c r="K58" i="25"/>
  <c r="L58" i="25"/>
  <c r="N58" i="25"/>
  <c r="O58" i="25"/>
  <c r="T58" i="25"/>
  <c r="U58" i="25"/>
  <c r="I59" i="25"/>
  <c r="J59" i="25"/>
  <c r="K59" i="25"/>
  <c r="L59" i="25"/>
  <c r="N59" i="25"/>
  <c r="O59" i="25"/>
  <c r="T59" i="25"/>
  <c r="U59" i="25"/>
  <c r="I60" i="25"/>
  <c r="J60" i="25"/>
  <c r="K60" i="25"/>
  <c r="L60" i="25"/>
  <c r="N60" i="25"/>
  <c r="O60" i="25"/>
  <c r="T60" i="25"/>
  <c r="U60" i="25"/>
  <c r="I61" i="25"/>
  <c r="J61" i="25"/>
  <c r="K61" i="25"/>
  <c r="L61" i="25"/>
  <c r="N61" i="25"/>
  <c r="O61" i="25"/>
  <c r="T61" i="25"/>
  <c r="U61" i="25"/>
  <c r="I62" i="25"/>
  <c r="J62" i="25"/>
  <c r="K62" i="25"/>
  <c r="L62" i="25"/>
  <c r="N62" i="25"/>
  <c r="O62" i="25"/>
  <c r="T62" i="25"/>
  <c r="U62" i="25"/>
  <c r="I63" i="25"/>
  <c r="J63" i="25"/>
  <c r="K63" i="25"/>
  <c r="L63" i="25"/>
  <c r="N63" i="25"/>
  <c r="O63" i="25"/>
  <c r="T63" i="25"/>
  <c r="U63" i="25"/>
  <c r="I64" i="25"/>
  <c r="J64" i="25"/>
  <c r="K64" i="25"/>
  <c r="L64" i="25"/>
  <c r="N64" i="25"/>
  <c r="O64" i="25"/>
  <c r="T64" i="25"/>
  <c r="U64" i="25"/>
  <c r="I65" i="25"/>
  <c r="J65" i="25"/>
  <c r="K65" i="25"/>
  <c r="L65" i="25"/>
  <c r="N65" i="25"/>
  <c r="O65" i="25"/>
  <c r="T65" i="25"/>
  <c r="U65" i="25"/>
  <c r="I66" i="25"/>
  <c r="J66" i="25"/>
  <c r="K66" i="25"/>
  <c r="L66" i="25"/>
  <c r="N66" i="25"/>
  <c r="O66" i="25"/>
  <c r="T66" i="25"/>
  <c r="U66" i="25"/>
  <c r="I67" i="25"/>
  <c r="J67" i="25"/>
  <c r="K67" i="25"/>
  <c r="L67" i="25"/>
  <c r="N67" i="25"/>
  <c r="O67" i="25"/>
  <c r="T67" i="25"/>
  <c r="U67" i="25"/>
  <c r="I68" i="25"/>
  <c r="J68" i="25"/>
  <c r="K68" i="25"/>
  <c r="L68" i="25"/>
  <c r="N68" i="25"/>
  <c r="O68" i="25"/>
  <c r="T68" i="25"/>
  <c r="U68" i="25"/>
  <c r="I69" i="25"/>
  <c r="J69" i="25"/>
  <c r="K69" i="25"/>
  <c r="L69" i="25"/>
  <c r="N69" i="25"/>
  <c r="O69" i="25"/>
  <c r="T69" i="25"/>
  <c r="U69" i="25"/>
  <c r="I70" i="25"/>
  <c r="J70" i="25"/>
  <c r="K70" i="25"/>
  <c r="L70" i="25"/>
  <c r="N70" i="25"/>
  <c r="O70" i="25"/>
  <c r="T70" i="25"/>
  <c r="U70" i="25"/>
  <c r="I71" i="25"/>
  <c r="J71" i="25"/>
  <c r="K71" i="25"/>
  <c r="L71" i="25"/>
  <c r="N71" i="25"/>
  <c r="O71" i="25"/>
  <c r="T71" i="25"/>
  <c r="U71" i="25"/>
  <c r="I72" i="25"/>
  <c r="J72" i="25"/>
  <c r="K72" i="25"/>
  <c r="L72" i="25"/>
  <c r="N72" i="25"/>
  <c r="O72" i="25"/>
  <c r="T72" i="25"/>
  <c r="U72" i="25"/>
  <c r="I73" i="25"/>
  <c r="J73" i="25"/>
  <c r="K73" i="25"/>
  <c r="L73" i="25"/>
  <c r="N73" i="25"/>
  <c r="O73" i="25"/>
  <c r="T73" i="25"/>
  <c r="U73" i="25"/>
  <c r="I74" i="25"/>
  <c r="J74" i="25"/>
  <c r="K74" i="25"/>
  <c r="L74" i="25"/>
  <c r="N74" i="25"/>
  <c r="O74" i="25"/>
  <c r="T74" i="25"/>
  <c r="U74" i="25"/>
  <c r="I75" i="25"/>
  <c r="J75" i="25"/>
  <c r="K75" i="25"/>
  <c r="L75" i="25"/>
  <c r="N75" i="25"/>
  <c r="O75" i="25"/>
  <c r="T75" i="25"/>
  <c r="U75" i="25"/>
  <c r="I76" i="25"/>
  <c r="J76" i="25"/>
  <c r="K76" i="25"/>
  <c r="L76" i="25"/>
  <c r="N76" i="25"/>
  <c r="O76" i="25"/>
  <c r="T76" i="25"/>
  <c r="U76" i="25"/>
  <c r="I77" i="25"/>
  <c r="J77" i="25"/>
  <c r="K77" i="25"/>
  <c r="L77" i="25"/>
  <c r="N77" i="25"/>
  <c r="O77" i="25"/>
  <c r="T77" i="25"/>
  <c r="U77" i="25"/>
  <c r="I78" i="25"/>
  <c r="J78" i="25"/>
  <c r="K78" i="25"/>
  <c r="L78" i="25"/>
  <c r="N78" i="25"/>
  <c r="O78" i="25"/>
  <c r="T78" i="25"/>
  <c r="U78" i="25"/>
  <c r="I79" i="25"/>
  <c r="J79" i="25"/>
  <c r="K79" i="25"/>
  <c r="L79" i="25"/>
  <c r="N79" i="25"/>
  <c r="O79" i="25"/>
  <c r="T79" i="25"/>
  <c r="U79" i="25"/>
  <c r="I80" i="25"/>
  <c r="J80" i="25"/>
  <c r="K80" i="25"/>
  <c r="L80" i="25"/>
  <c r="N80" i="25"/>
  <c r="O80" i="25"/>
  <c r="T80" i="25"/>
  <c r="U80" i="25"/>
  <c r="I81" i="25"/>
  <c r="J81" i="25"/>
  <c r="K81" i="25"/>
  <c r="L81" i="25"/>
  <c r="N81" i="25"/>
  <c r="O81" i="25"/>
  <c r="T81" i="25"/>
  <c r="U81" i="25"/>
  <c r="I82" i="25"/>
  <c r="J82" i="25"/>
  <c r="K82" i="25"/>
  <c r="L82" i="25"/>
  <c r="N82" i="25"/>
  <c r="O82" i="25"/>
  <c r="T82" i="25"/>
  <c r="U82" i="25"/>
  <c r="I83" i="25"/>
  <c r="J83" i="25"/>
  <c r="K83" i="25"/>
  <c r="L83" i="25"/>
  <c r="N83" i="25"/>
  <c r="O83" i="25"/>
  <c r="T83" i="25"/>
  <c r="U83" i="25"/>
  <c r="I84" i="25"/>
  <c r="J84" i="25"/>
  <c r="K84" i="25"/>
  <c r="L84" i="25"/>
  <c r="N84" i="25"/>
  <c r="O84" i="25"/>
  <c r="T84" i="25"/>
  <c r="U84" i="25"/>
  <c r="I85" i="25"/>
  <c r="J85" i="25"/>
  <c r="K85" i="25"/>
  <c r="L85" i="25"/>
  <c r="N85" i="25"/>
  <c r="O85" i="25"/>
  <c r="T85" i="25"/>
  <c r="U85" i="25"/>
  <c r="I86" i="25"/>
  <c r="J86" i="25"/>
  <c r="K86" i="25"/>
  <c r="L86" i="25"/>
  <c r="N86" i="25"/>
  <c r="O86" i="25"/>
  <c r="T86" i="25"/>
  <c r="U86" i="25"/>
  <c r="I87" i="25"/>
  <c r="J87" i="25"/>
  <c r="K87" i="25"/>
  <c r="L87" i="25"/>
  <c r="N87" i="25"/>
  <c r="O87" i="25"/>
  <c r="T87" i="25"/>
  <c r="U87" i="25"/>
  <c r="I88" i="25"/>
  <c r="J88" i="25"/>
  <c r="K88" i="25"/>
  <c r="L88" i="25"/>
  <c r="N88" i="25"/>
  <c r="O88" i="25"/>
  <c r="T88" i="25"/>
  <c r="U88" i="25"/>
  <c r="I89" i="25"/>
  <c r="J89" i="25"/>
  <c r="K89" i="25"/>
  <c r="L89" i="25"/>
  <c r="N89" i="25"/>
  <c r="O89" i="25"/>
  <c r="T89" i="25"/>
  <c r="U89" i="25"/>
  <c r="I90" i="25"/>
  <c r="J90" i="25"/>
  <c r="K90" i="25"/>
  <c r="L90" i="25"/>
  <c r="N90" i="25"/>
  <c r="O90" i="25"/>
  <c r="T90" i="25"/>
  <c r="U90" i="25"/>
  <c r="I91" i="25"/>
  <c r="J91" i="25"/>
  <c r="K91" i="25"/>
  <c r="L91" i="25"/>
  <c r="N91" i="25"/>
  <c r="O91" i="25"/>
  <c r="T91" i="25"/>
  <c r="U91" i="25"/>
  <c r="I92" i="25"/>
  <c r="J92" i="25"/>
  <c r="K92" i="25"/>
  <c r="L92" i="25"/>
  <c r="N92" i="25"/>
  <c r="O92" i="25"/>
  <c r="T92" i="25"/>
  <c r="U92" i="25"/>
  <c r="I93" i="25"/>
  <c r="J93" i="25"/>
  <c r="K93" i="25"/>
  <c r="L93" i="25"/>
  <c r="N93" i="25"/>
  <c r="O93" i="25"/>
  <c r="T93" i="25"/>
  <c r="U93" i="25"/>
  <c r="I94" i="25"/>
  <c r="J94" i="25"/>
  <c r="K94" i="25"/>
  <c r="L94" i="25"/>
  <c r="N94" i="25"/>
  <c r="O94" i="25"/>
  <c r="T94" i="25"/>
  <c r="U94" i="25"/>
  <c r="I95" i="25"/>
  <c r="J95" i="25"/>
  <c r="K95" i="25"/>
  <c r="L95" i="25"/>
  <c r="N95" i="25"/>
  <c r="O95" i="25"/>
  <c r="T95" i="25"/>
  <c r="U95" i="25"/>
  <c r="I96" i="25"/>
  <c r="J96" i="25"/>
  <c r="K96" i="25"/>
  <c r="L96" i="25"/>
  <c r="N96" i="25"/>
  <c r="O96" i="25"/>
  <c r="T96" i="25"/>
  <c r="U96" i="25"/>
  <c r="I97" i="25"/>
  <c r="J97" i="25"/>
  <c r="K97" i="25"/>
  <c r="L97" i="25"/>
  <c r="N97" i="25"/>
  <c r="O97" i="25"/>
  <c r="T97" i="25"/>
  <c r="U97" i="25"/>
  <c r="I98" i="25"/>
  <c r="J98" i="25"/>
  <c r="K98" i="25"/>
  <c r="L98" i="25"/>
  <c r="N98" i="25"/>
  <c r="O98" i="25"/>
  <c r="T98" i="25"/>
  <c r="U98" i="25"/>
  <c r="I99" i="25"/>
  <c r="J99" i="25"/>
  <c r="K99" i="25"/>
  <c r="L99" i="25"/>
  <c r="N99" i="25"/>
  <c r="O99" i="25"/>
  <c r="T99" i="25"/>
  <c r="U99" i="25"/>
  <c r="I100" i="25"/>
  <c r="J100" i="25"/>
  <c r="K100" i="25"/>
  <c r="L100" i="25"/>
  <c r="N100" i="25"/>
  <c r="O100" i="25"/>
  <c r="T100" i="25"/>
  <c r="U100" i="25"/>
  <c r="I101" i="25"/>
  <c r="J101" i="25"/>
  <c r="K101" i="25"/>
  <c r="L101" i="25"/>
  <c r="N101" i="25"/>
  <c r="O101" i="25"/>
  <c r="T101" i="25"/>
  <c r="U101" i="25"/>
  <c r="D38" i="25"/>
  <c r="E38" i="25"/>
  <c r="D39" i="25"/>
  <c r="E39" i="25"/>
  <c r="D40" i="25"/>
  <c r="E40" i="25"/>
  <c r="D41" i="25"/>
  <c r="E41" i="25"/>
  <c r="D42" i="25"/>
  <c r="E42" i="25"/>
  <c r="D43" i="25"/>
  <c r="E43" i="25"/>
  <c r="D44" i="25"/>
  <c r="E44" i="25"/>
  <c r="D45" i="25"/>
  <c r="E45" i="25"/>
  <c r="D46" i="25"/>
  <c r="E46" i="25"/>
  <c r="D47" i="25"/>
  <c r="E47" i="25"/>
  <c r="D48" i="25"/>
  <c r="E48" i="25"/>
  <c r="D49" i="25"/>
  <c r="E49" i="25"/>
  <c r="D50" i="25"/>
  <c r="E50" i="25"/>
  <c r="D51" i="25"/>
  <c r="E51" i="25"/>
  <c r="D52" i="25"/>
  <c r="E52" i="25"/>
  <c r="D53" i="25"/>
  <c r="E53" i="25"/>
  <c r="D54" i="25"/>
  <c r="E54" i="25"/>
  <c r="D55" i="25"/>
  <c r="E55" i="25"/>
  <c r="D56" i="25"/>
  <c r="E56" i="25"/>
  <c r="D57" i="25"/>
  <c r="E57" i="25"/>
  <c r="D58" i="25"/>
  <c r="E58" i="25"/>
  <c r="D59" i="25"/>
  <c r="E59" i="25"/>
  <c r="D60" i="25"/>
  <c r="E60" i="25"/>
  <c r="D61" i="25"/>
  <c r="E61" i="25"/>
  <c r="D62" i="25"/>
  <c r="E62" i="25"/>
  <c r="D63" i="25"/>
  <c r="E63" i="25"/>
  <c r="D64" i="25"/>
  <c r="E64" i="25"/>
  <c r="D65" i="25"/>
  <c r="E65" i="25"/>
  <c r="D66" i="25"/>
  <c r="E66" i="25"/>
  <c r="D67" i="25"/>
  <c r="E67" i="25"/>
  <c r="D68" i="25"/>
  <c r="E68" i="25"/>
  <c r="D69" i="25"/>
  <c r="E69" i="25"/>
  <c r="D70" i="25"/>
  <c r="E70" i="25"/>
  <c r="D71" i="25"/>
  <c r="E71" i="25"/>
  <c r="D72" i="25"/>
  <c r="E72" i="25"/>
  <c r="D73" i="25"/>
  <c r="E73" i="25"/>
  <c r="D74" i="25"/>
  <c r="E74" i="25"/>
  <c r="D75" i="25"/>
  <c r="E75" i="25"/>
  <c r="D76" i="25"/>
  <c r="E76" i="25"/>
  <c r="D77" i="25"/>
  <c r="E77" i="25"/>
  <c r="D78" i="25"/>
  <c r="E78" i="25"/>
  <c r="D79" i="25"/>
  <c r="E79" i="25"/>
  <c r="D80" i="25"/>
  <c r="E80" i="25"/>
  <c r="D81" i="25"/>
  <c r="E81" i="25"/>
  <c r="D82" i="25"/>
  <c r="E82" i="25"/>
  <c r="D83" i="25"/>
  <c r="E83" i="25"/>
  <c r="D84" i="25"/>
  <c r="E84" i="25"/>
  <c r="D85" i="25"/>
  <c r="E85" i="25"/>
  <c r="D86" i="25"/>
  <c r="E86" i="25"/>
  <c r="D87" i="25"/>
  <c r="E87" i="25"/>
  <c r="D88" i="25"/>
  <c r="E88" i="25"/>
  <c r="D89" i="25"/>
  <c r="E89" i="25"/>
  <c r="D90" i="25"/>
  <c r="E90" i="25"/>
  <c r="D91" i="25"/>
  <c r="E91" i="25"/>
  <c r="D92" i="25"/>
  <c r="E92" i="25"/>
  <c r="D93" i="25"/>
  <c r="E93" i="25"/>
  <c r="D94" i="25"/>
  <c r="E94" i="25"/>
  <c r="D95" i="25"/>
  <c r="E95" i="25"/>
  <c r="D96" i="25"/>
  <c r="E96" i="25"/>
  <c r="D97" i="25"/>
  <c r="E97" i="25"/>
  <c r="D98" i="25"/>
  <c r="E98" i="25"/>
  <c r="D99" i="25"/>
  <c r="E99" i="25"/>
  <c r="D100" i="25"/>
  <c r="E100" i="25"/>
  <c r="D101" i="25"/>
  <c r="E101" i="25"/>
  <c r="D102" i="25"/>
  <c r="E102" i="25"/>
  <c r="G59" i="4"/>
  <c r="G60" i="4"/>
  <c r="G61" i="4"/>
  <c r="G62" i="4"/>
  <c r="G63" i="4"/>
  <c r="G64" i="4"/>
  <c r="G65" i="4"/>
  <c r="G66" i="4"/>
  <c r="G67" i="4"/>
  <c r="G68" i="4"/>
  <c r="G69" i="4"/>
  <c r="G70" i="4"/>
  <c r="G71" i="4"/>
  <c r="G72" i="4"/>
  <c r="G73" i="4"/>
  <c r="G74" i="4"/>
  <c r="G75" i="4"/>
  <c r="G76" i="4"/>
  <c r="G77" i="4"/>
  <c r="G78" i="4"/>
  <c r="G79" i="4"/>
  <c r="G80" i="4"/>
  <c r="G81" i="4"/>
  <c r="G82" i="4"/>
  <c r="G83" i="4"/>
  <c r="G84" i="4"/>
  <c r="J59" i="4" a="1"/>
  <c r="J59" i="4" s="1"/>
  <c r="P55" i="25" s="1"/>
  <c r="J60" i="4" a="1"/>
  <c r="J60" i="4" s="1"/>
  <c r="P56" i="25" s="1"/>
  <c r="J61" i="4" a="1"/>
  <c r="J61" i="4" s="1"/>
  <c r="P57" i="25" s="1"/>
  <c r="J62" i="4" a="1"/>
  <c r="J62" i="4" s="1"/>
  <c r="P58" i="25" s="1"/>
  <c r="J63" i="4" a="1"/>
  <c r="J63" i="4" s="1"/>
  <c r="P59" i="25" s="1"/>
  <c r="J64" i="4" a="1"/>
  <c r="J64" i="4" s="1"/>
  <c r="P60" i="25" s="1"/>
  <c r="J65" i="4" a="1"/>
  <c r="J65" i="4" s="1"/>
  <c r="P61" i="25" s="1"/>
  <c r="J66" i="4" a="1"/>
  <c r="J66" i="4" s="1"/>
  <c r="P62" i="25" s="1"/>
  <c r="J67" i="4" a="1"/>
  <c r="J67" i="4" s="1"/>
  <c r="P63" i="25" s="1"/>
  <c r="J68" i="4" a="1"/>
  <c r="J68" i="4" s="1"/>
  <c r="P64" i="25" s="1"/>
  <c r="J69" i="4" a="1"/>
  <c r="J69" i="4" s="1"/>
  <c r="P65" i="25" s="1"/>
  <c r="J70" i="4" a="1"/>
  <c r="J70" i="4" s="1"/>
  <c r="P66" i="25" s="1"/>
  <c r="J71" i="4" a="1"/>
  <c r="J71" i="4" s="1"/>
  <c r="P67" i="25" s="1"/>
  <c r="J72" i="4" a="1"/>
  <c r="J72" i="4" s="1"/>
  <c r="P68" i="25" s="1"/>
  <c r="J73" i="4" a="1"/>
  <c r="J73" i="4" s="1"/>
  <c r="P69" i="25" s="1"/>
  <c r="J74" i="4" a="1"/>
  <c r="J74" i="4" s="1"/>
  <c r="P70" i="25" s="1"/>
  <c r="J75" i="4" a="1"/>
  <c r="J75" i="4" s="1"/>
  <c r="P71" i="25" s="1"/>
  <c r="J76" i="4" a="1"/>
  <c r="J76" i="4" s="1"/>
  <c r="P72" i="25" s="1"/>
  <c r="J77" i="4" a="1"/>
  <c r="J77" i="4" s="1"/>
  <c r="P73" i="25" s="1"/>
  <c r="J78" i="4" a="1"/>
  <c r="J78" i="4" s="1"/>
  <c r="P74" i="25" s="1"/>
  <c r="J79" i="4" a="1"/>
  <c r="J79" i="4" s="1"/>
  <c r="P75" i="25" s="1"/>
  <c r="J80" i="4" a="1"/>
  <c r="J80" i="4" s="1"/>
  <c r="P76" i="25" s="1"/>
  <c r="J81" i="4" a="1"/>
  <c r="J81" i="4" s="1"/>
  <c r="P77" i="25" s="1"/>
  <c r="J82" i="4" a="1"/>
  <c r="J82" i="4" s="1"/>
  <c r="P78" i="25" s="1"/>
  <c r="J83" i="4" a="1"/>
  <c r="J83" i="4" s="1"/>
  <c r="P79" i="25" s="1"/>
  <c r="J84" i="4" a="1"/>
  <c r="J84" i="4" s="1"/>
  <c r="P80" i="25" s="1"/>
  <c r="K59" i="4"/>
  <c r="Q55" i="25" s="1"/>
  <c r="K60" i="4"/>
  <c r="Q56" i="25" s="1"/>
  <c r="K61" i="4"/>
  <c r="Q57" i="25" s="1"/>
  <c r="K62" i="4"/>
  <c r="Q58" i="25" s="1"/>
  <c r="K63" i="4"/>
  <c r="Q59" i="25" s="1"/>
  <c r="K64" i="4"/>
  <c r="Q60" i="25" s="1"/>
  <c r="K65" i="4"/>
  <c r="Q61" i="25" s="1"/>
  <c r="K66" i="4"/>
  <c r="Q62" i="25" s="1"/>
  <c r="K67" i="4"/>
  <c r="Q63" i="25" s="1"/>
  <c r="K68" i="4"/>
  <c r="Q64" i="25" s="1"/>
  <c r="K69" i="4"/>
  <c r="Q65" i="25" s="1"/>
  <c r="K70" i="4"/>
  <c r="Q66" i="25" s="1"/>
  <c r="K71" i="4"/>
  <c r="Q67" i="25" s="1"/>
  <c r="K72" i="4"/>
  <c r="Q68" i="25" s="1"/>
  <c r="K73" i="4"/>
  <c r="Q69" i="25" s="1"/>
  <c r="K74" i="4"/>
  <c r="Q70" i="25" s="1"/>
  <c r="K75" i="4"/>
  <c r="Q71" i="25" s="1"/>
  <c r="K76" i="4"/>
  <c r="Q72" i="25" s="1"/>
  <c r="K77" i="4"/>
  <c r="Q73" i="25" s="1"/>
  <c r="K78" i="4"/>
  <c r="Q74" i="25" s="1"/>
  <c r="K79" i="4"/>
  <c r="Q75" i="25" s="1"/>
  <c r="K80" i="4"/>
  <c r="Q76" i="25" s="1"/>
  <c r="K81" i="4"/>
  <c r="Q77" i="25" s="1"/>
  <c r="K82" i="4"/>
  <c r="Q78" i="25" s="1"/>
  <c r="K83" i="4"/>
  <c r="Q79" i="25" s="1"/>
  <c r="K84" i="4"/>
  <c r="Q80" i="25" s="1"/>
  <c r="L59" i="4" a="1"/>
  <c r="L59" i="4" s="1"/>
  <c r="R55" i="25" s="1"/>
  <c r="L60" i="4" a="1"/>
  <c r="L60" i="4" s="1"/>
  <c r="R56" i="25" s="1"/>
  <c r="L61" i="4" a="1"/>
  <c r="L61" i="4" s="1"/>
  <c r="R57" i="25" s="1"/>
  <c r="L62" i="4" a="1"/>
  <c r="L62" i="4" s="1"/>
  <c r="R58" i="25" s="1"/>
  <c r="L63" i="4" a="1"/>
  <c r="L63" i="4" s="1"/>
  <c r="R59" i="25" s="1"/>
  <c r="L64" i="4" a="1"/>
  <c r="L64" i="4" s="1"/>
  <c r="R60" i="25" s="1"/>
  <c r="L65" i="4" a="1"/>
  <c r="L65" i="4" s="1"/>
  <c r="R61" i="25" s="1"/>
  <c r="L66" i="4" a="1"/>
  <c r="L66" i="4" s="1"/>
  <c r="R62" i="25" s="1"/>
  <c r="L67" i="4" a="1"/>
  <c r="L67" i="4" s="1"/>
  <c r="R63" i="25" s="1"/>
  <c r="L68" i="4" a="1"/>
  <c r="L68" i="4" s="1"/>
  <c r="R64" i="25" s="1"/>
  <c r="L69" i="4" a="1"/>
  <c r="L69" i="4" s="1"/>
  <c r="R65" i="25" s="1"/>
  <c r="L70" i="4" a="1"/>
  <c r="L70" i="4" s="1"/>
  <c r="R66" i="25" s="1"/>
  <c r="L71" i="4" a="1"/>
  <c r="L71" i="4" s="1"/>
  <c r="R67" i="25" s="1"/>
  <c r="L72" i="4" a="1"/>
  <c r="L72" i="4" s="1"/>
  <c r="R68" i="25" s="1"/>
  <c r="L73" i="4" a="1"/>
  <c r="L73" i="4" s="1"/>
  <c r="R69" i="25" s="1"/>
  <c r="L74" i="4" a="1"/>
  <c r="L74" i="4" s="1"/>
  <c r="R70" i="25" s="1"/>
  <c r="L75" i="4" a="1"/>
  <c r="L75" i="4" s="1"/>
  <c r="R71" i="25" s="1"/>
  <c r="L76" i="4" a="1"/>
  <c r="L76" i="4" s="1"/>
  <c r="R72" i="25" s="1"/>
  <c r="L77" i="4" a="1"/>
  <c r="L77" i="4" s="1"/>
  <c r="R73" i="25" s="1"/>
  <c r="L78" i="4" a="1"/>
  <c r="L78" i="4" s="1"/>
  <c r="R74" i="25" s="1"/>
  <c r="L79" i="4" a="1"/>
  <c r="L79" i="4" s="1"/>
  <c r="R75" i="25" s="1"/>
  <c r="L80" i="4" a="1"/>
  <c r="L80" i="4" s="1"/>
  <c r="R76" i="25" s="1"/>
  <c r="L81" i="4" a="1"/>
  <c r="L81" i="4" s="1"/>
  <c r="R77" i="25" s="1"/>
  <c r="L82" i="4" a="1"/>
  <c r="L82" i="4" s="1"/>
  <c r="R78" i="25" s="1"/>
  <c r="L83" i="4" a="1"/>
  <c r="L83" i="4" s="1"/>
  <c r="R79" i="25" s="1"/>
  <c r="L84" i="4" a="1"/>
  <c r="L84" i="4" s="1"/>
  <c r="R80" i="25" s="1"/>
  <c r="P59" i="4" a="1"/>
  <c r="P59" i="4" s="1"/>
  <c r="V55" i="25" s="1"/>
  <c r="P60" i="4" a="1"/>
  <c r="P60" i="4" s="1"/>
  <c r="V56" i="25" s="1"/>
  <c r="P61" i="4" a="1"/>
  <c r="P61" i="4" s="1"/>
  <c r="V57" i="25" s="1"/>
  <c r="P62" i="4" a="1"/>
  <c r="P62" i="4" s="1"/>
  <c r="V58" i="25" s="1"/>
  <c r="P63" i="4" a="1"/>
  <c r="P63" i="4" s="1"/>
  <c r="V59" i="25" s="1"/>
  <c r="P64" i="4" a="1"/>
  <c r="P64" i="4" s="1"/>
  <c r="V60" i="25" s="1"/>
  <c r="P65" i="4" a="1"/>
  <c r="P65" i="4" s="1"/>
  <c r="V61" i="25" s="1"/>
  <c r="P66" i="4" a="1"/>
  <c r="P66" i="4" s="1"/>
  <c r="V62" i="25" s="1"/>
  <c r="P67" i="4" a="1"/>
  <c r="P67" i="4" s="1"/>
  <c r="V63" i="25" s="1"/>
  <c r="P68" i="4" a="1"/>
  <c r="P68" i="4" s="1"/>
  <c r="V64" i="25" s="1"/>
  <c r="P69" i="4" a="1"/>
  <c r="P69" i="4" s="1"/>
  <c r="V65" i="25" s="1"/>
  <c r="P70" i="4" a="1"/>
  <c r="P70" i="4" s="1"/>
  <c r="V66" i="25" s="1"/>
  <c r="P71" i="4" a="1"/>
  <c r="P71" i="4" s="1"/>
  <c r="V67" i="25" s="1"/>
  <c r="P72" i="4" a="1"/>
  <c r="P72" i="4" s="1"/>
  <c r="V68" i="25" s="1"/>
  <c r="P73" i="4" a="1"/>
  <c r="P73" i="4" s="1"/>
  <c r="V69" i="25" s="1"/>
  <c r="P74" i="4" a="1"/>
  <c r="P74" i="4" s="1"/>
  <c r="V70" i="25" s="1"/>
  <c r="P75" i="4" a="1"/>
  <c r="P75" i="4" s="1"/>
  <c r="V71" i="25" s="1"/>
  <c r="P76" i="4" a="1"/>
  <c r="P76" i="4" s="1"/>
  <c r="V72" i="25" s="1"/>
  <c r="P77" i="4" a="1"/>
  <c r="P77" i="4" s="1"/>
  <c r="V73" i="25" s="1"/>
  <c r="P78" i="4" a="1"/>
  <c r="P78" i="4" s="1"/>
  <c r="V74" i="25" s="1"/>
  <c r="P79" i="4" a="1"/>
  <c r="P79" i="4" s="1"/>
  <c r="V75" i="25" s="1"/>
  <c r="P80" i="4" a="1"/>
  <c r="P80" i="4" s="1"/>
  <c r="V76" i="25" s="1"/>
  <c r="P81" i="4" a="1"/>
  <c r="P81" i="4" s="1"/>
  <c r="V77" i="25" s="1"/>
  <c r="P82" i="4" a="1"/>
  <c r="P82" i="4" s="1"/>
  <c r="V78" i="25" s="1"/>
  <c r="P83" i="4" a="1"/>
  <c r="P83" i="4" s="1"/>
  <c r="V79" i="25" s="1"/>
  <c r="P84" i="4" a="1"/>
  <c r="P84" i="4" s="1"/>
  <c r="V80" i="25" s="1"/>
  <c r="Q59" i="4" a="1"/>
  <c r="Q59" i="4" s="1"/>
  <c r="W55" i="25" s="1"/>
  <c r="Q60" i="4" a="1"/>
  <c r="Q60" i="4" s="1"/>
  <c r="W56" i="25" s="1"/>
  <c r="Q61" i="4" a="1"/>
  <c r="Q61" i="4" s="1"/>
  <c r="W57" i="25" s="1"/>
  <c r="Q62" i="4" a="1"/>
  <c r="Q62" i="4" s="1"/>
  <c r="W58" i="25" s="1"/>
  <c r="Q63" i="4" a="1"/>
  <c r="Q63" i="4" s="1"/>
  <c r="W59" i="25" s="1"/>
  <c r="Q64" i="4" a="1"/>
  <c r="Q64" i="4" s="1"/>
  <c r="W60" i="25" s="1"/>
  <c r="Q65" i="4" a="1"/>
  <c r="Q65" i="4" s="1"/>
  <c r="W61" i="25" s="1"/>
  <c r="Q66" i="4" a="1"/>
  <c r="Q66" i="4" s="1"/>
  <c r="W62" i="25" s="1"/>
  <c r="Q67" i="4" a="1"/>
  <c r="Q67" i="4" s="1"/>
  <c r="W63" i="25" s="1"/>
  <c r="Q68" i="4" a="1"/>
  <c r="Q68" i="4" s="1"/>
  <c r="W64" i="25" s="1"/>
  <c r="Q69" i="4" a="1"/>
  <c r="Q69" i="4" s="1"/>
  <c r="W65" i="25" s="1"/>
  <c r="Q70" i="4" a="1"/>
  <c r="Q70" i="4" s="1"/>
  <c r="W66" i="25" s="1"/>
  <c r="Q71" i="4" a="1"/>
  <c r="Q71" i="4" s="1"/>
  <c r="W67" i="25" s="1"/>
  <c r="Q72" i="4" a="1"/>
  <c r="Q72" i="4" s="1"/>
  <c r="W68" i="25" s="1"/>
  <c r="Q73" i="4" a="1"/>
  <c r="Q73" i="4" s="1"/>
  <c r="W69" i="25" s="1"/>
  <c r="Q74" i="4" a="1"/>
  <c r="Q74" i="4" s="1"/>
  <c r="W70" i="25" s="1"/>
  <c r="Q75" i="4" a="1"/>
  <c r="Q75" i="4" s="1"/>
  <c r="W71" i="25" s="1"/>
  <c r="Q76" i="4" a="1"/>
  <c r="Q76" i="4" s="1"/>
  <c r="W72" i="25" s="1"/>
  <c r="Q77" i="4" a="1"/>
  <c r="Q77" i="4" s="1"/>
  <c r="W73" i="25" s="1"/>
  <c r="Q78" i="4" a="1"/>
  <c r="Q78" i="4" s="1"/>
  <c r="W74" i="25" s="1"/>
  <c r="Q79" i="4" a="1"/>
  <c r="Q79" i="4" s="1"/>
  <c r="W75" i="25" s="1"/>
  <c r="Q80" i="4" a="1"/>
  <c r="Q80" i="4" s="1"/>
  <c r="W76" i="25" s="1"/>
  <c r="Q81" i="4" a="1"/>
  <c r="Q81" i="4" s="1"/>
  <c r="W77" i="25" s="1"/>
  <c r="Q82" i="4" a="1"/>
  <c r="Q82" i="4" s="1"/>
  <c r="W78" i="25" s="1"/>
  <c r="Q83" i="4" a="1"/>
  <c r="Q83" i="4" s="1"/>
  <c r="W79" i="25" s="1"/>
  <c r="Q84" i="4" a="1"/>
  <c r="Q84" i="4" s="1"/>
  <c r="W80" i="25" s="1"/>
  <c r="R59" i="4" a="1"/>
  <c r="R59" i="4" s="1"/>
  <c r="X55" i="25" s="1"/>
  <c r="R60" i="4" a="1"/>
  <c r="R60" i="4" s="1"/>
  <c r="X56" i="25" s="1"/>
  <c r="R61" i="4" a="1"/>
  <c r="R61" i="4" s="1"/>
  <c r="X57" i="25" s="1"/>
  <c r="R62" i="4" a="1"/>
  <c r="R62" i="4" s="1"/>
  <c r="X58" i="25" s="1"/>
  <c r="R63" i="4" a="1"/>
  <c r="R63" i="4" s="1"/>
  <c r="X59" i="25" s="1"/>
  <c r="R64" i="4" a="1"/>
  <c r="R64" i="4" s="1"/>
  <c r="X60" i="25" s="1"/>
  <c r="R65" i="4" a="1"/>
  <c r="R65" i="4" s="1"/>
  <c r="X61" i="25" s="1"/>
  <c r="R66" i="4" a="1"/>
  <c r="R66" i="4" s="1"/>
  <c r="X62" i="25" s="1"/>
  <c r="R67" i="4" a="1"/>
  <c r="R67" i="4" s="1"/>
  <c r="X63" i="25" s="1"/>
  <c r="R68" i="4" a="1"/>
  <c r="R68" i="4" s="1"/>
  <c r="X64" i="25" s="1"/>
  <c r="R69" i="4" a="1"/>
  <c r="R69" i="4" s="1"/>
  <c r="X65" i="25" s="1"/>
  <c r="R70" i="4" a="1"/>
  <c r="R70" i="4" s="1"/>
  <c r="X66" i="25" s="1"/>
  <c r="R71" i="4" a="1"/>
  <c r="R71" i="4" s="1"/>
  <c r="X67" i="25" s="1"/>
  <c r="R72" i="4" a="1"/>
  <c r="R72" i="4" s="1"/>
  <c r="X68" i="25" s="1"/>
  <c r="R73" i="4" a="1"/>
  <c r="R73" i="4" s="1"/>
  <c r="X69" i="25" s="1"/>
  <c r="R74" i="4" a="1"/>
  <c r="R74" i="4" s="1"/>
  <c r="X70" i="25" s="1"/>
  <c r="R75" i="4" a="1"/>
  <c r="R75" i="4" s="1"/>
  <c r="X71" i="25" s="1"/>
  <c r="R76" i="4" a="1"/>
  <c r="R76" i="4" s="1"/>
  <c r="X72" i="25" s="1"/>
  <c r="R77" i="4" a="1"/>
  <c r="R77" i="4" s="1"/>
  <c r="X73" i="25" s="1"/>
  <c r="R78" i="4" a="1"/>
  <c r="R78" i="4" s="1"/>
  <c r="X74" i="25" s="1"/>
  <c r="R79" i="4" a="1"/>
  <c r="R79" i="4" s="1"/>
  <c r="X75" i="25" s="1"/>
  <c r="R80" i="4" a="1"/>
  <c r="R80" i="4" s="1"/>
  <c r="X76" i="25" s="1"/>
  <c r="R81" i="4" a="1"/>
  <c r="R81" i="4" s="1"/>
  <c r="X77" i="25" s="1"/>
  <c r="R82" i="4" a="1"/>
  <c r="R82" i="4" s="1"/>
  <c r="X78" i="25" s="1"/>
  <c r="R83" i="4" a="1"/>
  <c r="R83" i="4" s="1"/>
  <c r="X79" i="25" s="1"/>
  <c r="R84" i="4" a="1"/>
  <c r="R84" i="4" s="1"/>
  <c r="X80" i="25" s="1"/>
  <c r="S59" i="4" a="1"/>
  <c r="S59" i="4" s="1"/>
  <c r="Y55" i="25" s="1"/>
  <c r="S60" i="4" a="1"/>
  <c r="S60" i="4" s="1"/>
  <c r="Y56" i="25" s="1"/>
  <c r="S61" i="4" a="1"/>
  <c r="S61" i="4" s="1"/>
  <c r="Y57" i="25" s="1"/>
  <c r="S62" i="4" a="1"/>
  <c r="S62" i="4" s="1"/>
  <c r="Y58" i="25" s="1"/>
  <c r="S63" i="4" a="1"/>
  <c r="S63" i="4" s="1"/>
  <c r="Y59" i="25" s="1"/>
  <c r="S64" i="4" a="1"/>
  <c r="S64" i="4" s="1"/>
  <c r="Y60" i="25" s="1"/>
  <c r="S65" i="4" a="1"/>
  <c r="S65" i="4" s="1"/>
  <c r="Y61" i="25" s="1"/>
  <c r="S66" i="4" a="1"/>
  <c r="S66" i="4" s="1"/>
  <c r="Y62" i="25" s="1"/>
  <c r="S67" i="4" a="1"/>
  <c r="S67" i="4" s="1"/>
  <c r="Y63" i="25" s="1"/>
  <c r="S68" i="4" a="1"/>
  <c r="S68" i="4" s="1"/>
  <c r="Y64" i="25" s="1"/>
  <c r="S69" i="4" a="1"/>
  <c r="S69" i="4" s="1"/>
  <c r="Y65" i="25" s="1"/>
  <c r="S70" i="4" a="1"/>
  <c r="S70" i="4" s="1"/>
  <c r="Y66" i="25" s="1"/>
  <c r="S71" i="4" a="1"/>
  <c r="S71" i="4" s="1"/>
  <c r="Y67" i="25" s="1"/>
  <c r="S72" i="4" a="1"/>
  <c r="S72" i="4" s="1"/>
  <c r="Y68" i="25" s="1"/>
  <c r="S73" i="4" a="1"/>
  <c r="S73" i="4" s="1"/>
  <c r="Y69" i="25" s="1"/>
  <c r="S74" i="4" a="1"/>
  <c r="S74" i="4" s="1"/>
  <c r="Y70" i="25" s="1"/>
  <c r="S75" i="4" a="1"/>
  <c r="S75" i="4" s="1"/>
  <c r="Y71" i="25" s="1"/>
  <c r="S76" i="4" a="1"/>
  <c r="S76" i="4" s="1"/>
  <c r="Y72" i="25" s="1"/>
  <c r="S77" i="4" a="1"/>
  <c r="S77" i="4" s="1"/>
  <c r="Y73" i="25" s="1"/>
  <c r="S78" i="4" a="1"/>
  <c r="S78" i="4" s="1"/>
  <c r="Y74" i="25" s="1"/>
  <c r="S79" i="4" a="1"/>
  <c r="S79" i="4" s="1"/>
  <c r="Y75" i="25" s="1"/>
  <c r="S80" i="4" a="1"/>
  <c r="S80" i="4" s="1"/>
  <c r="Y76" i="25" s="1"/>
  <c r="S81" i="4" a="1"/>
  <c r="S81" i="4" s="1"/>
  <c r="Y77" i="25" s="1"/>
  <c r="S82" i="4" a="1"/>
  <c r="S82" i="4" s="1"/>
  <c r="Y78" i="25" s="1"/>
  <c r="S83" i="4" a="1"/>
  <c r="S83" i="4" s="1"/>
  <c r="Y79" i="25" s="1"/>
  <c r="S84" i="4" a="1"/>
  <c r="S84" i="4" s="1"/>
  <c r="Y80" i="25" s="1"/>
  <c r="T59" i="4" a="1"/>
  <c r="T59" i="4" s="1"/>
  <c r="Z55" i="25" s="1"/>
  <c r="T60" i="4" a="1"/>
  <c r="T60" i="4" s="1"/>
  <c r="Z56" i="25" s="1"/>
  <c r="T61" i="4" a="1"/>
  <c r="T61" i="4" s="1"/>
  <c r="Z57" i="25" s="1"/>
  <c r="T62" i="4" a="1"/>
  <c r="T62" i="4" s="1"/>
  <c r="Z58" i="25" s="1"/>
  <c r="T63" i="4" a="1"/>
  <c r="T63" i="4" s="1"/>
  <c r="Z59" i="25" s="1"/>
  <c r="T64" i="4" a="1"/>
  <c r="T64" i="4" s="1"/>
  <c r="Z60" i="25" s="1"/>
  <c r="T65" i="4" a="1"/>
  <c r="T65" i="4" s="1"/>
  <c r="Z61" i="25" s="1"/>
  <c r="T66" i="4" a="1"/>
  <c r="T66" i="4" s="1"/>
  <c r="Z62" i="25" s="1"/>
  <c r="T67" i="4" a="1"/>
  <c r="T67" i="4" s="1"/>
  <c r="Z63" i="25" s="1"/>
  <c r="T68" i="4" a="1"/>
  <c r="T68" i="4" s="1"/>
  <c r="Z64" i="25" s="1"/>
  <c r="T69" i="4" a="1"/>
  <c r="T69" i="4" s="1"/>
  <c r="Z65" i="25" s="1"/>
  <c r="T70" i="4" a="1"/>
  <c r="T70" i="4" s="1"/>
  <c r="Z66" i="25" s="1"/>
  <c r="T71" i="4" a="1"/>
  <c r="T71" i="4" s="1"/>
  <c r="Z67" i="25" s="1"/>
  <c r="T72" i="4" a="1"/>
  <c r="T72" i="4" s="1"/>
  <c r="Z68" i="25" s="1"/>
  <c r="T73" i="4" a="1"/>
  <c r="T73" i="4" s="1"/>
  <c r="Z69" i="25" s="1"/>
  <c r="T74" i="4" a="1"/>
  <c r="T74" i="4" s="1"/>
  <c r="Z70" i="25" s="1"/>
  <c r="T75" i="4" a="1"/>
  <c r="T75" i="4" s="1"/>
  <c r="Z71" i="25" s="1"/>
  <c r="T76" i="4" a="1"/>
  <c r="T76" i="4" s="1"/>
  <c r="Z72" i="25" s="1"/>
  <c r="T77" i="4" a="1"/>
  <c r="T77" i="4" s="1"/>
  <c r="Z73" i="25" s="1"/>
  <c r="T78" i="4" a="1"/>
  <c r="T78" i="4" s="1"/>
  <c r="Z74" i="25" s="1"/>
  <c r="T79" i="4" a="1"/>
  <c r="T79" i="4" s="1"/>
  <c r="Z75" i="25" s="1"/>
  <c r="T80" i="4" a="1"/>
  <c r="T80" i="4" s="1"/>
  <c r="Z76" i="25" s="1"/>
  <c r="T81" i="4" a="1"/>
  <c r="T81" i="4" s="1"/>
  <c r="Z77" i="25" s="1"/>
  <c r="T82" i="4" a="1"/>
  <c r="T82" i="4" s="1"/>
  <c r="Z78" i="25" s="1"/>
  <c r="T83" i="4" a="1"/>
  <c r="T83" i="4" s="1"/>
  <c r="Z79" i="25" s="1"/>
  <c r="T84" i="4" a="1"/>
  <c r="T84" i="4" s="1"/>
  <c r="Z80" i="25" s="1"/>
  <c r="W59" i="4" a="1"/>
  <c r="W59" i="4" s="1"/>
  <c r="AC55" i="25" s="1"/>
  <c r="W60" i="4" a="1"/>
  <c r="W60" i="4" s="1"/>
  <c r="AC56" i="25" s="1"/>
  <c r="W61" i="4" a="1"/>
  <c r="W61" i="4" s="1"/>
  <c r="AC57" i="25" s="1"/>
  <c r="W62" i="4" a="1"/>
  <c r="W62" i="4" s="1"/>
  <c r="AC58" i="25" s="1"/>
  <c r="W63" i="4" a="1"/>
  <c r="W63" i="4" s="1"/>
  <c r="AC59" i="25" s="1"/>
  <c r="W64" i="4" a="1"/>
  <c r="W64" i="4" s="1"/>
  <c r="AC60" i="25" s="1"/>
  <c r="W65" i="4" a="1"/>
  <c r="W65" i="4" s="1"/>
  <c r="AC61" i="25" s="1"/>
  <c r="W66" i="4" a="1"/>
  <c r="W66" i="4" s="1"/>
  <c r="AC62" i="25" s="1"/>
  <c r="W67" i="4" a="1"/>
  <c r="W67" i="4" s="1"/>
  <c r="AC63" i="25" s="1"/>
  <c r="W68" i="4" a="1"/>
  <c r="W68" i="4" s="1"/>
  <c r="AC64" i="25" s="1"/>
  <c r="W69" i="4" a="1"/>
  <c r="W69" i="4" s="1"/>
  <c r="AC65" i="25" s="1"/>
  <c r="W70" i="4" a="1"/>
  <c r="W70" i="4" s="1"/>
  <c r="AC66" i="25" s="1"/>
  <c r="W71" i="4" a="1"/>
  <c r="W71" i="4" s="1"/>
  <c r="AC67" i="25" s="1"/>
  <c r="W72" i="4" a="1"/>
  <c r="W72" i="4" s="1"/>
  <c r="AC68" i="25" s="1"/>
  <c r="W73" i="4" a="1"/>
  <c r="W73" i="4" s="1"/>
  <c r="AC69" i="25" s="1"/>
  <c r="W74" i="4" a="1"/>
  <c r="W74" i="4" s="1"/>
  <c r="AC70" i="25" s="1"/>
  <c r="W75" i="4" a="1"/>
  <c r="W75" i="4" s="1"/>
  <c r="AC71" i="25" s="1"/>
  <c r="W76" i="4" a="1"/>
  <c r="W76" i="4" s="1"/>
  <c r="AC72" i="25" s="1"/>
  <c r="W77" i="4" a="1"/>
  <c r="W77" i="4" s="1"/>
  <c r="AC73" i="25" s="1"/>
  <c r="W78" i="4" a="1"/>
  <c r="W78" i="4" s="1"/>
  <c r="AC74" i="25" s="1"/>
  <c r="W79" i="4" a="1"/>
  <c r="W79" i="4" s="1"/>
  <c r="AC75" i="25" s="1"/>
  <c r="W80" i="4" a="1"/>
  <c r="W80" i="4" s="1"/>
  <c r="AC76" i="25" s="1"/>
  <c r="W81" i="4" a="1"/>
  <c r="W81" i="4" s="1"/>
  <c r="AC77" i="25" s="1"/>
  <c r="W82" i="4" a="1"/>
  <c r="W82" i="4" s="1"/>
  <c r="AC78" i="25" s="1"/>
  <c r="W83" i="4" a="1"/>
  <c r="W83" i="4" s="1"/>
  <c r="AC79" i="25" s="1"/>
  <c r="W84" i="4" a="1"/>
  <c r="W84" i="4" s="1"/>
  <c r="AC80" i="25" s="1"/>
  <c r="G16" i="4"/>
  <c r="G17" i="4"/>
  <c r="G18" i="4"/>
  <c r="G19" i="4"/>
  <c r="G20" i="4"/>
  <c r="G21" i="4"/>
  <c r="G22" i="4"/>
  <c r="G23" i="4"/>
  <c r="G24" i="4"/>
  <c r="G25" i="4"/>
  <c r="G26" i="4"/>
  <c r="G27" i="4"/>
  <c r="G28" i="4"/>
  <c r="G29" i="4"/>
  <c r="G30" i="4"/>
  <c r="G31" i="4"/>
  <c r="G32" i="4"/>
  <c r="G33" i="4"/>
  <c r="G34" i="4"/>
  <c r="G35" i="4"/>
  <c r="G36" i="4"/>
  <c r="G37" i="4"/>
  <c r="G38" i="4"/>
  <c r="G39" i="4"/>
  <c r="G40" i="4"/>
  <c r="J16" i="4" a="1"/>
  <c r="J16" i="4" s="1"/>
  <c r="P12" i="25" s="1"/>
  <c r="J17" i="4" a="1"/>
  <c r="J17" i="4" s="1"/>
  <c r="P13" i="25" s="1"/>
  <c r="J18" i="4" a="1"/>
  <c r="J18" i="4" s="1"/>
  <c r="P14" i="25" s="1"/>
  <c r="J19" i="4" a="1"/>
  <c r="J19" i="4" s="1"/>
  <c r="P15" i="25" s="1"/>
  <c r="J20" i="4" a="1"/>
  <c r="J20" i="4" s="1"/>
  <c r="P16" i="25" s="1"/>
  <c r="J21" i="4" a="1"/>
  <c r="J21" i="4" s="1"/>
  <c r="P17" i="25" s="1"/>
  <c r="J22" i="4" a="1"/>
  <c r="J22" i="4" s="1"/>
  <c r="P18" i="25" s="1"/>
  <c r="J23" i="4" a="1"/>
  <c r="J23" i="4" s="1"/>
  <c r="P19" i="25" s="1"/>
  <c r="J24" i="4" a="1"/>
  <c r="J24" i="4" s="1"/>
  <c r="P20" i="25" s="1"/>
  <c r="J25" i="4" a="1"/>
  <c r="J25" i="4" s="1"/>
  <c r="P21" i="25" s="1"/>
  <c r="J26" i="4" a="1"/>
  <c r="J26" i="4" s="1"/>
  <c r="P22" i="25" s="1"/>
  <c r="J27" i="4" a="1"/>
  <c r="J27" i="4" s="1"/>
  <c r="P23" i="25" s="1"/>
  <c r="J28" i="4" a="1"/>
  <c r="J28" i="4" s="1"/>
  <c r="P24" i="25" s="1"/>
  <c r="J29" i="4" a="1"/>
  <c r="J29" i="4" s="1"/>
  <c r="P25" i="25" s="1"/>
  <c r="J30" i="4" a="1"/>
  <c r="J30" i="4" s="1"/>
  <c r="P26" i="25" s="1"/>
  <c r="J31" i="4" a="1"/>
  <c r="J31" i="4" s="1"/>
  <c r="P27" i="25" s="1"/>
  <c r="J32" i="4" a="1"/>
  <c r="J32" i="4" s="1"/>
  <c r="P28" i="25" s="1"/>
  <c r="J33" i="4" a="1"/>
  <c r="J33" i="4" s="1"/>
  <c r="P29" i="25" s="1"/>
  <c r="J34" i="4" a="1"/>
  <c r="J34" i="4" s="1"/>
  <c r="P30" i="25" s="1"/>
  <c r="J35" i="4" a="1"/>
  <c r="J35" i="4" s="1"/>
  <c r="P31" i="25" s="1"/>
  <c r="J36" i="4" a="1"/>
  <c r="J36" i="4" s="1"/>
  <c r="P32" i="25" s="1"/>
  <c r="J37" i="4" a="1"/>
  <c r="J37" i="4" s="1"/>
  <c r="P33" i="25" s="1"/>
  <c r="J38" i="4" a="1"/>
  <c r="J38" i="4" s="1"/>
  <c r="P34" i="25" s="1"/>
  <c r="J39" i="4" a="1"/>
  <c r="J39" i="4" s="1"/>
  <c r="P35" i="25" s="1"/>
  <c r="J40" i="4" a="1"/>
  <c r="J40" i="4" s="1"/>
  <c r="P36" i="25" s="1"/>
  <c r="K16" i="4"/>
  <c r="Q12" i="25" s="1"/>
  <c r="K17" i="4"/>
  <c r="Q13" i="25" s="1"/>
  <c r="K18" i="4"/>
  <c r="Q14" i="25" s="1"/>
  <c r="K19" i="4"/>
  <c r="Q15" i="25" s="1"/>
  <c r="K20" i="4"/>
  <c r="Q16" i="25" s="1"/>
  <c r="K21" i="4"/>
  <c r="Q17" i="25" s="1"/>
  <c r="K22" i="4"/>
  <c r="Q18" i="25" s="1"/>
  <c r="K23" i="4"/>
  <c r="Q19" i="25" s="1"/>
  <c r="K24" i="4"/>
  <c r="Q20" i="25" s="1"/>
  <c r="K25" i="4"/>
  <c r="Q21" i="25" s="1"/>
  <c r="K26" i="4"/>
  <c r="Q22" i="25" s="1"/>
  <c r="K27" i="4"/>
  <c r="Q23" i="25" s="1"/>
  <c r="K28" i="4"/>
  <c r="Q24" i="25" s="1"/>
  <c r="K29" i="4"/>
  <c r="Q25" i="25" s="1"/>
  <c r="K30" i="4"/>
  <c r="Q26" i="25" s="1"/>
  <c r="K31" i="4"/>
  <c r="Q27" i="25" s="1"/>
  <c r="K32" i="4"/>
  <c r="Q28" i="25" s="1"/>
  <c r="K33" i="4"/>
  <c r="Q29" i="25" s="1"/>
  <c r="K34" i="4"/>
  <c r="Q30" i="25" s="1"/>
  <c r="K35" i="4"/>
  <c r="Q31" i="25" s="1"/>
  <c r="K36" i="4"/>
  <c r="Q32" i="25" s="1"/>
  <c r="K37" i="4"/>
  <c r="Q33" i="25" s="1"/>
  <c r="K38" i="4"/>
  <c r="Q34" i="25" s="1"/>
  <c r="K39" i="4"/>
  <c r="Q35" i="25" s="1"/>
  <c r="K40" i="4"/>
  <c r="Q36" i="25" s="1"/>
  <c r="L16" i="4" a="1"/>
  <c r="L16" i="4" s="1"/>
  <c r="R12" i="25" s="1"/>
  <c r="L17" i="4" a="1"/>
  <c r="L17" i="4" s="1"/>
  <c r="R13" i="25" s="1"/>
  <c r="L18" i="4" a="1"/>
  <c r="L18" i="4" s="1"/>
  <c r="R14" i="25" s="1"/>
  <c r="L19" i="4" a="1"/>
  <c r="L19" i="4" s="1"/>
  <c r="R15" i="25" s="1"/>
  <c r="L20" i="4" a="1"/>
  <c r="L20" i="4" s="1"/>
  <c r="R16" i="25" s="1"/>
  <c r="L21" i="4" a="1"/>
  <c r="L21" i="4" s="1"/>
  <c r="R17" i="25" s="1"/>
  <c r="L22" i="4" a="1"/>
  <c r="L22" i="4" s="1"/>
  <c r="R18" i="25" s="1"/>
  <c r="L23" i="4" a="1"/>
  <c r="L23" i="4" s="1"/>
  <c r="R19" i="25" s="1"/>
  <c r="L24" i="4" a="1"/>
  <c r="L24" i="4" s="1"/>
  <c r="R20" i="25" s="1"/>
  <c r="L25" i="4" a="1"/>
  <c r="L25" i="4" s="1"/>
  <c r="R21" i="25" s="1"/>
  <c r="L26" i="4" a="1"/>
  <c r="L26" i="4" s="1"/>
  <c r="R22" i="25" s="1"/>
  <c r="L27" i="4" a="1"/>
  <c r="L27" i="4" s="1"/>
  <c r="R23" i="25" s="1"/>
  <c r="L28" i="4" a="1"/>
  <c r="L28" i="4" s="1"/>
  <c r="R24" i="25" s="1"/>
  <c r="L29" i="4" a="1"/>
  <c r="L29" i="4" s="1"/>
  <c r="R25" i="25" s="1"/>
  <c r="L30" i="4" a="1"/>
  <c r="L30" i="4" s="1"/>
  <c r="R26" i="25" s="1"/>
  <c r="L31" i="4" a="1"/>
  <c r="L31" i="4" s="1"/>
  <c r="R27" i="25" s="1"/>
  <c r="L32" i="4" a="1"/>
  <c r="L32" i="4" s="1"/>
  <c r="R28" i="25" s="1"/>
  <c r="L33" i="4" a="1"/>
  <c r="L33" i="4" s="1"/>
  <c r="R29" i="25" s="1"/>
  <c r="L34" i="4" a="1"/>
  <c r="L34" i="4" s="1"/>
  <c r="R30" i="25" s="1"/>
  <c r="L35" i="4" a="1"/>
  <c r="L35" i="4" s="1"/>
  <c r="R31" i="25" s="1"/>
  <c r="L36" i="4" a="1"/>
  <c r="L36" i="4" s="1"/>
  <c r="R32" i="25" s="1"/>
  <c r="L37" i="4" a="1"/>
  <c r="L37" i="4" s="1"/>
  <c r="R33" i="25" s="1"/>
  <c r="L38" i="4" a="1"/>
  <c r="L38" i="4" s="1"/>
  <c r="R34" i="25" s="1"/>
  <c r="L39" i="4" a="1"/>
  <c r="L39" i="4" s="1"/>
  <c r="R35" i="25" s="1"/>
  <c r="L40" i="4" a="1"/>
  <c r="L40" i="4" s="1"/>
  <c r="R36" i="25" s="1"/>
  <c r="P16" i="4" a="1"/>
  <c r="P16" i="4" s="1"/>
  <c r="V12" i="25" s="1"/>
  <c r="P17" i="4" a="1"/>
  <c r="P17" i="4" s="1"/>
  <c r="V13" i="25" s="1"/>
  <c r="P18" i="4" a="1"/>
  <c r="P18" i="4" s="1"/>
  <c r="V14" i="25" s="1"/>
  <c r="P19" i="4" a="1"/>
  <c r="P19" i="4" s="1"/>
  <c r="V15" i="25" s="1"/>
  <c r="P20" i="4" a="1"/>
  <c r="P20" i="4" s="1"/>
  <c r="V16" i="25" s="1"/>
  <c r="P21" i="4" a="1"/>
  <c r="P21" i="4" s="1"/>
  <c r="V17" i="25" s="1"/>
  <c r="P22" i="4" a="1"/>
  <c r="P22" i="4" s="1"/>
  <c r="V18" i="25" s="1"/>
  <c r="P23" i="4" a="1"/>
  <c r="P23" i="4" s="1"/>
  <c r="V19" i="25" s="1"/>
  <c r="P24" i="4" a="1"/>
  <c r="P24" i="4" s="1"/>
  <c r="V20" i="25" s="1"/>
  <c r="P25" i="4" a="1"/>
  <c r="P25" i="4" s="1"/>
  <c r="V21" i="25" s="1"/>
  <c r="P26" i="4" a="1"/>
  <c r="P26" i="4" s="1"/>
  <c r="V22" i="25" s="1"/>
  <c r="P27" i="4" a="1"/>
  <c r="P27" i="4" s="1"/>
  <c r="V23" i="25" s="1"/>
  <c r="P28" i="4" a="1"/>
  <c r="P28" i="4" s="1"/>
  <c r="V24" i="25" s="1"/>
  <c r="P29" i="4" a="1"/>
  <c r="P29" i="4" s="1"/>
  <c r="V25" i="25" s="1"/>
  <c r="P30" i="4" a="1"/>
  <c r="P30" i="4" s="1"/>
  <c r="V26" i="25" s="1"/>
  <c r="P31" i="4" a="1"/>
  <c r="P31" i="4" s="1"/>
  <c r="V27" i="25" s="1"/>
  <c r="P32" i="4" a="1"/>
  <c r="P32" i="4" s="1"/>
  <c r="V28" i="25" s="1"/>
  <c r="P33" i="4" a="1"/>
  <c r="P33" i="4" s="1"/>
  <c r="V29" i="25" s="1"/>
  <c r="P34" i="4" a="1"/>
  <c r="P34" i="4" s="1"/>
  <c r="V30" i="25" s="1"/>
  <c r="P35" i="4" a="1"/>
  <c r="P35" i="4" s="1"/>
  <c r="V31" i="25" s="1"/>
  <c r="P36" i="4" a="1"/>
  <c r="P36" i="4" s="1"/>
  <c r="V32" i="25" s="1"/>
  <c r="P37" i="4" a="1"/>
  <c r="P37" i="4" s="1"/>
  <c r="V33" i="25" s="1"/>
  <c r="P38" i="4" a="1"/>
  <c r="P38" i="4" s="1"/>
  <c r="V34" i="25" s="1"/>
  <c r="P39" i="4" a="1"/>
  <c r="P39" i="4" s="1"/>
  <c r="V35" i="25" s="1"/>
  <c r="P40" i="4" a="1"/>
  <c r="P40" i="4" s="1"/>
  <c r="V36" i="25" s="1"/>
  <c r="Q16" i="4" a="1"/>
  <c r="Q16" i="4" s="1"/>
  <c r="W12" i="25" s="1"/>
  <c r="Q17" i="4" a="1"/>
  <c r="Q17" i="4" s="1"/>
  <c r="W13" i="25" s="1"/>
  <c r="Q18" i="4" a="1"/>
  <c r="Q18" i="4" s="1"/>
  <c r="W14" i="25" s="1"/>
  <c r="Q19" i="4" a="1"/>
  <c r="Q19" i="4" s="1"/>
  <c r="W15" i="25" s="1"/>
  <c r="Q20" i="4" a="1"/>
  <c r="Q20" i="4" s="1"/>
  <c r="W16" i="25" s="1"/>
  <c r="Q21" i="4" a="1"/>
  <c r="Q21" i="4" s="1"/>
  <c r="W17" i="25" s="1"/>
  <c r="Q22" i="4" a="1"/>
  <c r="Q22" i="4" s="1"/>
  <c r="W18" i="25" s="1"/>
  <c r="Q23" i="4" a="1"/>
  <c r="Q23" i="4" s="1"/>
  <c r="W19" i="25" s="1"/>
  <c r="Q24" i="4" a="1"/>
  <c r="Q24" i="4" s="1"/>
  <c r="W20" i="25" s="1"/>
  <c r="Q25" i="4" a="1"/>
  <c r="Q25" i="4" s="1"/>
  <c r="W21" i="25" s="1"/>
  <c r="Q26" i="4" a="1"/>
  <c r="Q26" i="4" s="1"/>
  <c r="W22" i="25" s="1"/>
  <c r="Q27" i="4" a="1"/>
  <c r="Q27" i="4" s="1"/>
  <c r="W23" i="25" s="1"/>
  <c r="Q28" i="4" a="1"/>
  <c r="Q28" i="4" s="1"/>
  <c r="W24" i="25" s="1"/>
  <c r="Q29" i="4" a="1"/>
  <c r="Q29" i="4" s="1"/>
  <c r="W25" i="25" s="1"/>
  <c r="Q30" i="4" a="1"/>
  <c r="Q30" i="4" s="1"/>
  <c r="W26" i="25" s="1"/>
  <c r="Q31" i="4" a="1"/>
  <c r="Q31" i="4" s="1"/>
  <c r="W27" i="25" s="1"/>
  <c r="Q32" i="4" a="1"/>
  <c r="Q32" i="4" s="1"/>
  <c r="W28" i="25" s="1"/>
  <c r="Q33" i="4" a="1"/>
  <c r="Q33" i="4" s="1"/>
  <c r="W29" i="25" s="1"/>
  <c r="Q34" i="4" a="1"/>
  <c r="Q34" i="4" s="1"/>
  <c r="W30" i="25" s="1"/>
  <c r="Q35" i="4" a="1"/>
  <c r="Q35" i="4" s="1"/>
  <c r="W31" i="25" s="1"/>
  <c r="Q36" i="4" a="1"/>
  <c r="Q36" i="4" s="1"/>
  <c r="W32" i="25" s="1"/>
  <c r="Q37" i="4" a="1"/>
  <c r="Q37" i="4" s="1"/>
  <c r="W33" i="25" s="1"/>
  <c r="Q38" i="4" a="1"/>
  <c r="Q38" i="4" s="1"/>
  <c r="W34" i="25" s="1"/>
  <c r="Q39" i="4" a="1"/>
  <c r="Q39" i="4" s="1"/>
  <c r="W35" i="25" s="1"/>
  <c r="Q40" i="4" a="1"/>
  <c r="Q40" i="4" s="1"/>
  <c r="W36" i="25" s="1"/>
  <c r="R16" i="4" a="1"/>
  <c r="R16" i="4" s="1"/>
  <c r="X12" i="25" s="1"/>
  <c r="R17" i="4" a="1"/>
  <c r="R17" i="4" s="1"/>
  <c r="X13" i="25" s="1"/>
  <c r="R18" i="4" a="1"/>
  <c r="R18" i="4" s="1"/>
  <c r="X14" i="25" s="1"/>
  <c r="R19" i="4" a="1"/>
  <c r="R19" i="4" s="1"/>
  <c r="X15" i="25" s="1"/>
  <c r="R20" i="4" a="1"/>
  <c r="R20" i="4" s="1"/>
  <c r="X16" i="25" s="1"/>
  <c r="R21" i="4" a="1"/>
  <c r="R21" i="4" s="1"/>
  <c r="X17" i="25" s="1"/>
  <c r="R22" i="4" a="1"/>
  <c r="R22" i="4" s="1"/>
  <c r="X18" i="25" s="1"/>
  <c r="R23" i="4" a="1"/>
  <c r="R23" i="4" s="1"/>
  <c r="X19" i="25" s="1"/>
  <c r="R24" i="4" a="1"/>
  <c r="R24" i="4" s="1"/>
  <c r="X20" i="25" s="1"/>
  <c r="R25" i="4" a="1"/>
  <c r="R25" i="4" s="1"/>
  <c r="X21" i="25" s="1"/>
  <c r="R26" i="4" a="1"/>
  <c r="R26" i="4" s="1"/>
  <c r="X22" i="25" s="1"/>
  <c r="R27" i="4" a="1"/>
  <c r="R27" i="4" s="1"/>
  <c r="X23" i="25" s="1"/>
  <c r="R28" i="4" a="1"/>
  <c r="R28" i="4" s="1"/>
  <c r="X24" i="25" s="1"/>
  <c r="R29" i="4" a="1"/>
  <c r="R29" i="4" s="1"/>
  <c r="X25" i="25" s="1"/>
  <c r="R30" i="4" a="1"/>
  <c r="R30" i="4" s="1"/>
  <c r="X26" i="25" s="1"/>
  <c r="R31" i="4" a="1"/>
  <c r="R31" i="4" s="1"/>
  <c r="X27" i="25" s="1"/>
  <c r="R32" i="4" a="1"/>
  <c r="R32" i="4" s="1"/>
  <c r="X28" i="25" s="1"/>
  <c r="R33" i="4" a="1"/>
  <c r="R33" i="4" s="1"/>
  <c r="X29" i="25" s="1"/>
  <c r="R34" i="4" a="1"/>
  <c r="R34" i="4" s="1"/>
  <c r="X30" i="25" s="1"/>
  <c r="R35" i="4" a="1"/>
  <c r="R35" i="4" s="1"/>
  <c r="X31" i="25" s="1"/>
  <c r="R36" i="4" a="1"/>
  <c r="R36" i="4" s="1"/>
  <c r="X32" i="25" s="1"/>
  <c r="R37" i="4" a="1"/>
  <c r="R37" i="4" s="1"/>
  <c r="X33" i="25" s="1"/>
  <c r="R38" i="4" a="1"/>
  <c r="R38" i="4" s="1"/>
  <c r="X34" i="25" s="1"/>
  <c r="R39" i="4" a="1"/>
  <c r="R39" i="4" s="1"/>
  <c r="X35" i="25" s="1"/>
  <c r="R40" i="4" a="1"/>
  <c r="R40" i="4" s="1"/>
  <c r="X36" i="25" s="1"/>
  <c r="S16" i="4" a="1"/>
  <c r="S16" i="4" s="1"/>
  <c r="Y12" i="25" s="1"/>
  <c r="S17" i="4" a="1"/>
  <c r="S17" i="4" s="1"/>
  <c r="Y13" i="25" s="1"/>
  <c r="S18" i="4" a="1"/>
  <c r="S18" i="4" s="1"/>
  <c r="Y14" i="25" s="1"/>
  <c r="S19" i="4" a="1"/>
  <c r="S19" i="4" s="1"/>
  <c r="Y15" i="25" s="1"/>
  <c r="S20" i="4" a="1"/>
  <c r="S20" i="4" s="1"/>
  <c r="Y16" i="25" s="1"/>
  <c r="S21" i="4" a="1"/>
  <c r="S21" i="4" s="1"/>
  <c r="Y17" i="25" s="1"/>
  <c r="S22" i="4" a="1"/>
  <c r="S22" i="4" s="1"/>
  <c r="Y18" i="25" s="1"/>
  <c r="S23" i="4" a="1"/>
  <c r="S23" i="4" s="1"/>
  <c r="Y19" i="25" s="1"/>
  <c r="S24" i="4" a="1"/>
  <c r="S24" i="4" s="1"/>
  <c r="Y20" i="25" s="1"/>
  <c r="S25" i="4" a="1"/>
  <c r="S25" i="4" s="1"/>
  <c r="Y21" i="25" s="1"/>
  <c r="S26" i="4" a="1"/>
  <c r="S26" i="4" s="1"/>
  <c r="Y22" i="25" s="1"/>
  <c r="S27" i="4" a="1"/>
  <c r="S27" i="4" s="1"/>
  <c r="Y23" i="25" s="1"/>
  <c r="S28" i="4" a="1"/>
  <c r="S28" i="4" s="1"/>
  <c r="Y24" i="25" s="1"/>
  <c r="S29" i="4" a="1"/>
  <c r="S29" i="4" s="1"/>
  <c r="Y25" i="25" s="1"/>
  <c r="S30" i="4" a="1"/>
  <c r="S30" i="4" s="1"/>
  <c r="Y26" i="25" s="1"/>
  <c r="S31" i="4" a="1"/>
  <c r="S31" i="4" s="1"/>
  <c r="Y27" i="25" s="1"/>
  <c r="S32" i="4" a="1"/>
  <c r="S32" i="4" s="1"/>
  <c r="Y28" i="25" s="1"/>
  <c r="S33" i="4" a="1"/>
  <c r="S33" i="4" s="1"/>
  <c r="Y29" i="25" s="1"/>
  <c r="S34" i="4" a="1"/>
  <c r="S34" i="4" s="1"/>
  <c r="Y30" i="25" s="1"/>
  <c r="S35" i="4" a="1"/>
  <c r="S35" i="4" s="1"/>
  <c r="Y31" i="25" s="1"/>
  <c r="S36" i="4" a="1"/>
  <c r="S36" i="4" s="1"/>
  <c r="Y32" i="25" s="1"/>
  <c r="S37" i="4" a="1"/>
  <c r="S37" i="4" s="1"/>
  <c r="Y33" i="25" s="1"/>
  <c r="S38" i="4" a="1"/>
  <c r="S38" i="4" s="1"/>
  <c r="Y34" i="25" s="1"/>
  <c r="S39" i="4" a="1"/>
  <c r="S39" i="4" s="1"/>
  <c r="Y35" i="25" s="1"/>
  <c r="S40" i="4" a="1"/>
  <c r="S40" i="4" s="1"/>
  <c r="Y36" i="25" s="1"/>
  <c r="T16" i="4" a="1"/>
  <c r="T16" i="4" s="1"/>
  <c r="Z12" i="25" s="1"/>
  <c r="T17" i="4" a="1"/>
  <c r="T17" i="4" s="1"/>
  <c r="Z13" i="25" s="1"/>
  <c r="T18" i="4" a="1"/>
  <c r="T18" i="4" s="1"/>
  <c r="Z14" i="25" s="1"/>
  <c r="T19" i="4" a="1"/>
  <c r="T19" i="4" s="1"/>
  <c r="Z15" i="25" s="1"/>
  <c r="T20" i="4" a="1"/>
  <c r="T20" i="4" s="1"/>
  <c r="Z16" i="25" s="1"/>
  <c r="T21" i="4" a="1"/>
  <c r="T21" i="4" s="1"/>
  <c r="Z17" i="25" s="1"/>
  <c r="T22" i="4" a="1"/>
  <c r="T22" i="4" s="1"/>
  <c r="Z18" i="25" s="1"/>
  <c r="T23" i="4" a="1"/>
  <c r="T23" i="4" s="1"/>
  <c r="Z19" i="25" s="1"/>
  <c r="T24" i="4" a="1"/>
  <c r="T24" i="4" s="1"/>
  <c r="Z20" i="25" s="1"/>
  <c r="T25" i="4" a="1"/>
  <c r="T25" i="4" s="1"/>
  <c r="Z21" i="25" s="1"/>
  <c r="T26" i="4" a="1"/>
  <c r="T26" i="4" s="1"/>
  <c r="Z22" i="25" s="1"/>
  <c r="T27" i="4" a="1"/>
  <c r="T27" i="4" s="1"/>
  <c r="Z23" i="25" s="1"/>
  <c r="T28" i="4" a="1"/>
  <c r="T28" i="4" s="1"/>
  <c r="Z24" i="25" s="1"/>
  <c r="T29" i="4" a="1"/>
  <c r="T29" i="4" s="1"/>
  <c r="Z25" i="25" s="1"/>
  <c r="T30" i="4" a="1"/>
  <c r="T30" i="4" s="1"/>
  <c r="Z26" i="25" s="1"/>
  <c r="T31" i="4" a="1"/>
  <c r="T31" i="4" s="1"/>
  <c r="Z27" i="25" s="1"/>
  <c r="T32" i="4" a="1"/>
  <c r="T32" i="4" s="1"/>
  <c r="Z28" i="25" s="1"/>
  <c r="T33" i="4" a="1"/>
  <c r="T33" i="4" s="1"/>
  <c r="Z29" i="25" s="1"/>
  <c r="T34" i="4" a="1"/>
  <c r="T34" i="4" s="1"/>
  <c r="Z30" i="25" s="1"/>
  <c r="T35" i="4" a="1"/>
  <c r="T35" i="4" s="1"/>
  <c r="Z31" i="25" s="1"/>
  <c r="T36" i="4" a="1"/>
  <c r="T36" i="4" s="1"/>
  <c r="Z32" i="25" s="1"/>
  <c r="T37" i="4" a="1"/>
  <c r="T37" i="4" s="1"/>
  <c r="Z33" i="25" s="1"/>
  <c r="T38" i="4" a="1"/>
  <c r="T38" i="4" s="1"/>
  <c r="Z34" i="25" s="1"/>
  <c r="T39" i="4" a="1"/>
  <c r="T39" i="4" s="1"/>
  <c r="Z35" i="25" s="1"/>
  <c r="T40" i="4" a="1"/>
  <c r="T40" i="4" s="1"/>
  <c r="Z36" i="25" s="1"/>
  <c r="W16" i="4" a="1"/>
  <c r="W16" i="4" s="1"/>
  <c r="AC12" i="25" s="1"/>
  <c r="W17" i="4" a="1"/>
  <c r="W17" i="4" s="1"/>
  <c r="AC13" i="25" s="1"/>
  <c r="W18" i="4" a="1"/>
  <c r="W18" i="4" s="1"/>
  <c r="AC14" i="25" s="1"/>
  <c r="W19" i="4" a="1"/>
  <c r="W19" i="4" s="1"/>
  <c r="AC15" i="25" s="1"/>
  <c r="W20" i="4" a="1"/>
  <c r="W20" i="4" s="1"/>
  <c r="AC16" i="25" s="1"/>
  <c r="W21" i="4" a="1"/>
  <c r="W21" i="4" s="1"/>
  <c r="AC17" i="25" s="1"/>
  <c r="W22" i="4" a="1"/>
  <c r="W22" i="4" s="1"/>
  <c r="AC18" i="25" s="1"/>
  <c r="W23" i="4" a="1"/>
  <c r="W23" i="4" s="1"/>
  <c r="AC19" i="25" s="1"/>
  <c r="W24" i="4" a="1"/>
  <c r="W24" i="4" s="1"/>
  <c r="AC20" i="25" s="1"/>
  <c r="W25" i="4" a="1"/>
  <c r="W25" i="4" s="1"/>
  <c r="AC21" i="25" s="1"/>
  <c r="W26" i="4" a="1"/>
  <c r="W26" i="4" s="1"/>
  <c r="AC22" i="25" s="1"/>
  <c r="W27" i="4" a="1"/>
  <c r="W27" i="4" s="1"/>
  <c r="AC23" i="25" s="1"/>
  <c r="W28" i="4" a="1"/>
  <c r="W28" i="4" s="1"/>
  <c r="AC24" i="25" s="1"/>
  <c r="W29" i="4" a="1"/>
  <c r="W29" i="4" s="1"/>
  <c r="AC25" i="25" s="1"/>
  <c r="W30" i="4" a="1"/>
  <c r="W30" i="4" s="1"/>
  <c r="AC26" i="25" s="1"/>
  <c r="W31" i="4" a="1"/>
  <c r="W31" i="4" s="1"/>
  <c r="AC27" i="25" s="1"/>
  <c r="W32" i="4" a="1"/>
  <c r="W32" i="4" s="1"/>
  <c r="AC28" i="25" s="1"/>
  <c r="W33" i="4" a="1"/>
  <c r="W33" i="4" s="1"/>
  <c r="AC29" i="25" s="1"/>
  <c r="W34" i="4" a="1"/>
  <c r="W34" i="4" s="1"/>
  <c r="AC30" i="25" s="1"/>
  <c r="W35" i="4" a="1"/>
  <c r="W35" i="4" s="1"/>
  <c r="AC31" i="25" s="1"/>
  <c r="W36" i="4" a="1"/>
  <c r="W36" i="4" s="1"/>
  <c r="AC32" i="25" s="1"/>
  <c r="W37" i="4" a="1"/>
  <c r="W37" i="4" s="1"/>
  <c r="AC33" i="25" s="1"/>
  <c r="W38" i="4" a="1"/>
  <c r="W38" i="4" s="1"/>
  <c r="AC34" i="25" s="1"/>
  <c r="W39" i="4" a="1"/>
  <c r="W39" i="4" s="1"/>
  <c r="AC35" i="25" s="1"/>
  <c r="W40" i="4" a="1"/>
  <c r="W40" i="4" s="1"/>
  <c r="AC36" i="25" s="1"/>
  <c r="G41" i="4"/>
  <c r="G42" i="4"/>
  <c r="G43" i="4"/>
  <c r="G44" i="4"/>
  <c r="G45" i="4"/>
  <c r="G46" i="4"/>
  <c r="G47" i="4"/>
  <c r="G48" i="4"/>
  <c r="G49" i="4"/>
  <c r="G50" i="4"/>
  <c r="G51" i="4"/>
  <c r="G52" i="4"/>
  <c r="G53" i="4"/>
  <c r="G54" i="4"/>
  <c r="G55" i="4"/>
  <c r="G56" i="4"/>
  <c r="G57" i="4"/>
  <c r="G58" i="4"/>
  <c r="G85" i="4"/>
  <c r="G86" i="4"/>
  <c r="G87" i="4"/>
  <c r="G88" i="4"/>
  <c r="G89" i="4"/>
  <c r="G90" i="4"/>
  <c r="G91" i="4"/>
  <c r="J41" i="4" a="1"/>
  <c r="J41" i="4" s="1"/>
  <c r="P37" i="25" s="1"/>
  <c r="J42" i="4" a="1"/>
  <c r="J42" i="4" s="1"/>
  <c r="P38" i="25" s="1"/>
  <c r="J43" i="4" a="1"/>
  <c r="J43" i="4" s="1"/>
  <c r="P39" i="25" s="1"/>
  <c r="J44" i="4" a="1"/>
  <c r="J44" i="4" s="1"/>
  <c r="P40" i="25" s="1"/>
  <c r="J45" i="4" a="1"/>
  <c r="J45" i="4" s="1"/>
  <c r="P41" i="25" s="1"/>
  <c r="J46" i="4" a="1"/>
  <c r="J46" i="4" s="1"/>
  <c r="P42" i="25" s="1"/>
  <c r="J47" i="4" a="1"/>
  <c r="J47" i="4" s="1"/>
  <c r="P43" i="25" s="1"/>
  <c r="J48" i="4" a="1"/>
  <c r="J48" i="4" s="1"/>
  <c r="P44" i="25" s="1"/>
  <c r="J49" i="4" a="1"/>
  <c r="J49" i="4" s="1"/>
  <c r="P45" i="25" s="1"/>
  <c r="J50" i="4" a="1"/>
  <c r="J50" i="4" s="1"/>
  <c r="P46" i="25" s="1"/>
  <c r="J51" i="4" a="1"/>
  <c r="J51" i="4" s="1"/>
  <c r="P47" i="25" s="1"/>
  <c r="J52" i="4" a="1"/>
  <c r="J52" i="4" s="1"/>
  <c r="P48" i="25" s="1"/>
  <c r="J53" i="4" a="1"/>
  <c r="J53" i="4" s="1"/>
  <c r="P49" i="25" s="1"/>
  <c r="J54" i="4" a="1"/>
  <c r="J54" i="4" s="1"/>
  <c r="P50" i="25" s="1"/>
  <c r="J55" i="4" a="1"/>
  <c r="J55" i="4" s="1"/>
  <c r="P51" i="25" s="1"/>
  <c r="J56" i="4" a="1"/>
  <c r="J56" i="4" s="1"/>
  <c r="P52" i="25" s="1"/>
  <c r="J57" i="4" a="1"/>
  <c r="J57" i="4" s="1"/>
  <c r="P53" i="25" s="1"/>
  <c r="J58" i="4" a="1"/>
  <c r="J58" i="4" s="1"/>
  <c r="P54" i="25" s="1"/>
  <c r="J85" i="4" a="1"/>
  <c r="J85" i="4" s="1"/>
  <c r="P81" i="25" s="1"/>
  <c r="J86" i="4" a="1"/>
  <c r="J86" i="4" s="1"/>
  <c r="P82" i="25" s="1"/>
  <c r="J87" i="4" a="1"/>
  <c r="J87" i="4" s="1"/>
  <c r="P83" i="25" s="1"/>
  <c r="J88" i="4" a="1"/>
  <c r="J88" i="4" s="1"/>
  <c r="P84" i="25" s="1"/>
  <c r="J89" i="4" a="1"/>
  <c r="J89" i="4" s="1"/>
  <c r="P85" i="25" s="1"/>
  <c r="J90" i="4" a="1"/>
  <c r="J90" i="4" s="1"/>
  <c r="P86" i="25" s="1"/>
  <c r="J91" i="4" a="1"/>
  <c r="J91" i="4" s="1"/>
  <c r="P87" i="25" s="1"/>
  <c r="K41" i="4"/>
  <c r="Q37" i="25" s="1"/>
  <c r="K42" i="4"/>
  <c r="Q38" i="25" s="1"/>
  <c r="K43" i="4"/>
  <c r="Q39" i="25" s="1"/>
  <c r="K44" i="4"/>
  <c r="Q40" i="25" s="1"/>
  <c r="K45" i="4"/>
  <c r="Q41" i="25" s="1"/>
  <c r="K46" i="4"/>
  <c r="Q42" i="25" s="1"/>
  <c r="K47" i="4"/>
  <c r="Q43" i="25" s="1"/>
  <c r="K48" i="4"/>
  <c r="Q44" i="25" s="1"/>
  <c r="K49" i="4"/>
  <c r="Q45" i="25" s="1"/>
  <c r="K50" i="4"/>
  <c r="Q46" i="25" s="1"/>
  <c r="K51" i="4"/>
  <c r="Q47" i="25" s="1"/>
  <c r="K52" i="4"/>
  <c r="Q48" i="25" s="1"/>
  <c r="K53" i="4"/>
  <c r="Q49" i="25" s="1"/>
  <c r="K54" i="4"/>
  <c r="Q50" i="25" s="1"/>
  <c r="K55" i="4"/>
  <c r="Q51" i="25" s="1"/>
  <c r="K56" i="4"/>
  <c r="Q52" i="25" s="1"/>
  <c r="K57" i="4"/>
  <c r="Q53" i="25" s="1"/>
  <c r="K58" i="4"/>
  <c r="Q54" i="25" s="1"/>
  <c r="K85" i="4"/>
  <c r="Q81" i="25" s="1"/>
  <c r="K86" i="4"/>
  <c r="Q82" i="25" s="1"/>
  <c r="K87" i="4"/>
  <c r="Q83" i="25" s="1"/>
  <c r="K88" i="4"/>
  <c r="Q84" i="25" s="1"/>
  <c r="K89" i="4"/>
  <c r="Q85" i="25" s="1"/>
  <c r="K90" i="4"/>
  <c r="Q86" i="25" s="1"/>
  <c r="K91" i="4"/>
  <c r="Q87" i="25" s="1"/>
  <c r="L41" i="4" a="1"/>
  <c r="L41" i="4" s="1"/>
  <c r="R37" i="25" s="1"/>
  <c r="L42" i="4" a="1"/>
  <c r="L42" i="4" s="1"/>
  <c r="R38" i="25" s="1"/>
  <c r="L43" i="4" a="1"/>
  <c r="L43" i="4" s="1"/>
  <c r="R39" i="25" s="1"/>
  <c r="L44" i="4" a="1"/>
  <c r="L44" i="4" s="1"/>
  <c r="R40" i="25" s="1"/>
  <c r="L45" i="4" a="1"/>
  <c r="L45" i="4" s="1"/>
  <c r="R41" i="25" s="1"/>
  <c r="L46" i="4" a="1"/>
  <c r="L46" i="4" s="1"/>
  <c r="R42" i="25" s="1"/>
  <c r="L47" i="4" a="1"/>
  <c r="L47" i="4" s="1"/>
  <c r="R43" i="25" s="1"/>
  <c r="L48" i="4" a="1"/>
  <c r="L48" i="4" s="1"/>
  <c r="R44" i="25" s="1"/>
  <c r="L49" i="4" a="1"/>
  <c r="L49" i="4" s="1"/>
  <c r="R45" i="25" s="1"/>
  <c r="L50" i="4" a="1"/>
  <c r="L50" i="4" s="1"/>
  <c r="R46" i="25" s="1"/>
  <c r="L51" i="4" a="1"/>
  <c r="L51" i="4" s="1"/>
  <c r="R47" i="25" s="1"/>
  <c r="L52" i="4" a="1"/>
  <c r="L52" i="4" s="1"/>
  <c r="R48" i="25" s="1"/>
  <c r="L53" i="4" a="1"/>
  <c r="L53" i="4" s="1"/>
  <c r="R49" i="25" s="1"/>
  <c r="L54" i="4" a="1"/>
  <c r="L54" i="4" s="1"/>
  <c r="R50" i="25" s="1"/>
  <c r="L55" i="4" a="1"/>
  <c r="L55" i="4" s="1"/>
  <c r="R51" i="25" s="1"/>
  <c r="L56" i="4" a="1"/>
  <c r="L56" i="4" s="1"/>
  <c r="R52" i="25" s="1"/>
  <c r="L57" i="4" a="1"/>
  <c r="L57" i="4" s="1"/>
  <c r="R53" i="25" s="1"/>
  <c r="L58" i="4" a="1"/>
  <c r="L58" i="4" s="1"/>
  <c r="R54" i="25" s="1"/>
  <c r="L85" i="4" a="1"/>
  <c r="L85" i="4" s="1"/>
  <c r="R81" i="25" s="1"/>
  <c r="L86" i="4" a="1"/>
  <c r="L86" i="4" s="1"/>
  <c r="R82" i="25" s="1"/>
  <c r="L87" i="4" a="1"/>
  <c r="L87" i="4" s="1"/>
  <c r="R83" i="25" s="1"/>
  <c r="L88" i="4" a="1"/>
  <c r="L88" i="4" s="1"/>
  <c r="R84" i="25" s="1"/>
  <c r="L89" i="4" a="1"/>
  <c r="L89" i="4" s="1"/>
  <c r="R85" i="25" s="1"/>
  <c r="L90" i="4" a="1"/>
  <c r="L90" i="4" s="1"/>
  <c r="R86" i="25" s="1"/>
  <c r="L91" i="4" a="1"/>
  <c r="L91" i="4" s="1"/>
  <c r="R87" i="25" s="1"/>
  <c r="P41" i="4" a="1"/>
  <c r="P41" i="4" s="1"/>
  <c r="V37" i="25" s="1"/>
  <c r="P42" i="4" a="1"/>
  <c r="P42" i="4" s="1"/>
  <c r="V38" i="25" s="1"/>
  <c r="P43" i="4" a="1"/>
  <c r="P43" i="4" s="1"/>
  <c r="V39" i="25" s="1"/>
  <c r="P44" i="4" a="1"/>
  <c r="P44" i="4" s="1"/>
  <c r="V40" i="25" s="1"/>
  <c r="P45" i="4" a="1"/>
  <c r="P45" i="4" s="1"/>
  <c r="V41" i="25" s="1"/>
  <c r="P46" i="4" a="1"/>
  <c r="P46" i="4" s="1"/>
  <c r="V42" i="25" s="1"/>
  <c r="P47" i="4" a="1"/>
  <c r="P47" i="4" s="1"/>
  <c r="V43" i="25" s="1"/>
  <c r="P48" i="4" a="1"/>
  <c r="P48" i="4" s="1"/>
  <c r="V44" i="25" s="1"/>
  <c r="P49" i="4" a="1"/>
  <c r="P49" i="4" s="1"/>
  <c r="V45" i="25" s="1"/>
  <c r="P50" i="4" a="1"/>
  <c r="P50" i="4" s="1"/>
  <c r="V46" i="25" s="1"/>
  <c r="P51" i="4" a="1"/>
  <c r="P51" i="4" s="1"/>
  <c r="V47" i="25" s="1"/>
  <c r="P52" i="4" a="1"/>
  <c r="P52" i="4" s="1"/>
  <c r="V48" i="25" s="1"/>
  <c r="P53" i="4" a="1"/>
  <c r="P53" i="4" s="1"/>
  <c r="V49" i="25" s="1"/>
  <c r="P54" i="4" a="1"/>
  <c r="P54" i="4" s="1"/>
  <c r="V50" i="25" s="1"/>
  <c r="P55" i="4" a="1"/>
  <c r="P55" i="4" s="1"/>
  <c r="V51" i="25" s="1"/>
  <c r="P56" i="4" a="1"/>
  <c r="P56" i="4" s="1"/>
  <c r="V52" i="25" s="1"/>
  <c r="P57" i="4" a="1"/>
  <c r="P57" i="4" s="1"/>
  <c r="V53" i="25" s="1"/>
  <c r="P58" i="4" a="1"/>
  <c r="P58" i="4" s="1"/>
  <c r="V54" i="25" s="1"/>
  <c r="P85" i="4" a="1"/>
  <c r="P85" i="4" s="1"/>
  <c r="V81" i="25" s="1"/>
  <c r="P86" i="4" a="1"/>
  <c r="P86" i="4" s="1"/>
  <c r="V82" i="25" s="1"/>
  <c r="P87" i="4" a="1"/>
  <c r="P87" i="4" s="1"/>
  <c r="V83" i="25" s="1"/>
  <c r="P88" i="4" a="1"/>
  <c r="P88" i="4" s="1"/>
  <c r="V84" i="25" s="1"/>
  <c r="P89" i="4" a="1"/>
  <c r="P89" i="4" s="1"/>
  <c r="V85" i="25" s="1"/>
  <c r="P90" i="4" a="1"/>
  <c r="P90" i="4" s="1"/>
  <c r="V86" i="25" s="1"/>
  <c r="P91" i="4" a="1"/>
  <c r="P91" i="4" s="1"/>
  <c r="V87" i="25" s="1"/>
  <c r="Q41" i="4" a="1"/>
  <c r="Q41" i="4" s="1"/>
  <c r="W37" i="25" s="1"/>
  <c r="Q42" i="4" a="1"/>
  <c r="Q42" i="4" s="1"/>
  <c r="W38" i="25" s="1"/>
  <c r="Q43" i="4" a="1"/>
  <c r="Q43" i="4" s="1"/>
  <c r="W39" i="25" s="1"/>
  <c r="Q44" i="4" a="1"/>
  <c r="Q44" i="4" s="1"/>
  <c r="W40" i="25" s="1"/>
  <c r="Q45" i="4" a="1"/>
  <c r="Q45" i="4" s="1"/>
  <c r="W41" i="25" s="1"/>
  <c r="Q46" i="4" a="1"/>
  <c r="Q46" i="4" s="1"/>
  <c r="W42" i="25" s="1"/>
  <c r="Q47" i="4" a="1"/>
  <c r="Q47" i="4" s="1"/>
  <c r="W43" i="25" s="1"/>
  <c r="Q48" i="4" a="1"/>
  <c r="Q48" i="4" s="1"/>
  <c r="W44" i="25" s="1"/>
  <c r="Q49" i="4" a="1"/>
  <c r="Q49" i="4" s="1"/>
  <c r="W45" i="25" s="1"/>
  <c r="Q50" i="4" a="1"/>
  <c r="Q50" i="4" s="1"/>
  <c r="W46" i="25" s="1"/>
  <c r="Q51" i="4" a="1"/>
  <c r="Q51" i="4" s="1"/>
  <c r="W47" i="25" s="1"/>
  <c r="Q52" i="4" a="1"/>
  <c r="Q52" i="4" s="1"/>
  <c r="W48" i="25" s="1"/>
  <c r="Q53" i="4" a="1"/>
  <c r="Q53" i="4" s="1"/>
  <c r="W49" i="25" s="1"/>
  <c r="Q54" i="4" a="1"/>
  <c r="Q54" i="4" s="1"/>
  <c r="W50" i="25" s="1"/>
  <c r="Q55" i="4" a="1"/>
  <c r="Q55" i="4" s="1"/>
  <c r="W51" i="25" s="1"/>
  <c r="Q56" i="4" a="1"/>
  <c r="Q56" i="4" s="1"/>
  <c r="W52" i="25" s="1"/>
  <c r="Q57" i="4" a="1"/>
  <c r="Q57" i="4" s="1"/>
  <c r="W53" i="25" s="1"/>
  <c r="Q58" i="4" a="1"/>
  <c r="Q58" i="4" s="1"/>
  <c r="W54" i="25" s="1"/>
  <c r="Q85" i="4" a="1"/>
  <c r="Q85" i="4" s="1"/>
  <c r="W81" i="25" s="1"/>
  <c r="Q86" i="4" a="1"/>
  <c r="Q86" i="4" s="1"/>
  <c r="W82" i="25" s="1"/>
  <c r="Q87" i="4" a="1"/>
  <c r="Q87" i="4" s="1"/>
  <c r="W83" i="25" s="1"/>
  <c r="Q88" i="4" a="1"/>
  <c r="Q88" i="4" s="1"/>
  <c r="W84" i="25" s="1"/>
  <c r="Q89" i="4" a="1"/>
  <c r="Q89" i="4" s="1"/>
  <c r="W85" i="25" s="1"/>
  <c r="Q90" i="4" a="1"/>
  <c r="Q90" i="4" s="1"/>
  <c r="W86" i="25" s="1"/>
  <c r="Q91" i="4" a="1"/>
  <c r="Q91" i="4" s="1"/>
  <c r="W87" i="25" s="1"/>
  <c r="R41" i="4" a="1"/>
  <c r="R41" i="4" s="1"/>
  <c r="X37" i="25" s="1"/>
  <c r="R42" i="4" a="1"/>
  <c r="R42" i="4" s="1"/>
  <c r="X38" i="25" s="1"/>
  <c r="R43" i="4" a="1"/>
  <c r="R43" i="4" s="1"/>
  <c r="X39" i="25" s="1"/>
  <c r="R44" i="4" a="1"/>
  <c r="R44" i="4" s="1"/>
  <c r="X40" i="25" s="1"/>
  <c r="R45" i="4" a="1"/>
  <c r="R45" i="4" s="1"/>
  <c r="X41" i="25" s="1"/>
  <c r="R46" i="4" a="1"/>
  <c r="R46" i="4" s="1"/>
  <c r="X42" i="25" s="1"/>
  <c r="R47" i="4" a="1"/>
  <c r="R47" i="4" s="1"/>
  <c r="X43" i="25" s="1"/>
  <c r="R48" i="4" a="1"/>
  <c r="R48" i="4" s="1"/>
  <c r="X44" i="25" s="1"/>
  <c r="R49" i="4" a="1"/>
  <c r="R49" i="4" s="1"/>
  <c r="X45" i="25" s="1"/>
  <c r="R50" i="4" a="1"/>
  <c r="R50" i="4" s="1"/>
  <c r="X46" i="25" s="1"/>
  <c r="R51" i="4" a="1"/>
  <c r="R51" i="4" s="1"/>
  <c r="X47" i="25" s="1"/>
  <c r="R52" i="4" a="1"/>
  <c r="R52" i="4" s="1"/>
  <c r="X48" i="25" s="1"/>
  <c r="R53" i="4" a="1"/>
  <c r="R53" i="4" s="1"/>
  <c r="X49" i="25" s="1"/>
  <c r="R54" i="4" a="1"/>
  <c r="R54" i="4" s="1"/>
  <c r="X50" i="25" s="1"/>
  <c r="R55" i="4" a="1"/>
  <c r="R55" i="4" s="1"/>
  <c r="X51" i="25" s="1"/>
  <c r="R56" i="4" a="1"/>
  <c r="R56" i="4" s="1"/>
  <c r="X52" i="25" s="1"/>
  <c r="R57" i="4" a="1"/>
  <c r="R57" i="4" s="1"/>
  <c r="X53" i="25" s="1"/>
  <c r="R58" i="4" a="1"/>
  <c r="R58" i="4" s="1"/>
  <c r="X54" i="25" s="1"/>
  <c r="R85" i="4" a="1"/>
  <c r="R85" i="4" s="1"/>
  <c r="X81" i="25" s="1"/>
  <c r="R86" i="4" a="1"/>
  <c r="R86" i="4" s="1"/>
  <c r="X82" i="25" s="1"/>
  <c r="R87" i="4" a="1"/>
  <c r="R87" i="4" s="1"/>
  <c r="X83" i="25" s="1"/>
  <c r="R88" i="4" a="1"/>
  <c r="R88" i="4" s="1"/>
  <c r="X84" i="25" s="1"/>
  <c r="R89" i="4" a="1"/>
  <c r="R89" i="4" s="1"/>
  <c r="X85" i="25" s="1"/>
  <c r="R90" i="4" a="1"/>
  <c r="R90" i="4" s="1"/>
  <c r="X86" i="25" s="1"/>
  <c r="R91" i="4" a="1"/>
  <c r="R91" i="4" s="1"/>
  <c r="X87" i="25" s="1"/>
  <c r="S41" i="4" a="1"/>
  <c r="S41" i="4" s="1"/>
  <c r="Y37" i="25" s="1"/>
  <c r="S42" i="4" a="1"/>
  <c r="S42" i="4" s="1"/>
  <c r="Y38" i="25" s="1"/>
  <c r="S43" i="4" a="1"/>
  <c r="S43" i="4" s="1"/>
  <c r="Y39" i="25" s="1"/>
  <c r="S44" i="4" a="1"/>
  <c r="S44" i="4" s="1"/>
  <c r="Y40" i="25" s="1"/>
  <c r="S45" i="4" a="1"/>
  <c r="S45" i="4" s="1"/>
  <c r="Y41" i="25" s="1"/>
  <c r="S46" i="4" a="1"/>
  <c r="S46" i="4" s="1"/>
  <c r="Y42" i="25" s="1"/>
  <c r="S47" i="4" a="1"/>
  <c r="S47" i="4" s="1"/>
  <c r="Y43" i="25" s="1"/>
  <c r="S48" i="4" a="1"/>
  <c r="S48" i="4" s="1"/>
  <c r="Y44" i="25" s="1"/>
  <c r="S49" i="4" a="1"/>
  <c r="S49" i="4" s="1"/>
  <c r="Y45" i="25" s="1"/>
  <c r="S50" i="4" a="1"/>
  <c r="S50" i="4" s="1"/>
  <c r="Y46" i="25" s="1"/>
  <c r="S51" i="4" a="1"/>
  <c r="S51" i="4" s="1"/>
  <c r="Y47" i="25" s="1"/>
  <c r="S52" i="4" a="1"/>
  <c r="S52" i="4" s="1"/>
  <c r="Y48" i="25" s="1"/>
  <c r="S53" i="4" a="1"/>
  <c r="S53" i="4" s="1"/>
  <c r="Y49" i="25" s="1"/>
  <c r="S54" i="4" a="1"/>
  <c r="S54" i="4" s="1"/>
  <c r="Y50" i="25" s="1"/>
  <c r="S55" i="4" a="1"/>
  <c r="S55" i="4" s="1"/>
  <c r="Y51" i="25" s="1"/>
  <c r="S56" i="4" a="1"/>
  <c r="S56" i="4" s="1"/>
  <c r="Y52" i="25" s="1"/>
  <c r="S57" i="4" a="1"/>
  <c r="S57" i="4" s="1"/>
  <c r="Y53" i="25" s="1"/>
  <c r="S58" i="4" a="1"/>
  <c r="S58" i="4" s="1"/>
  <c r="Y54" i="25" s="1"/>
  <c r="S85" i="4" a="1"/>
  <c r="S85" i="4" s="1"/>
  <c r="Y81" i="25" s="1"/>
  <c r="S86" i="4" a="1"/>
  <c r="S86" i="4" s="1"/>
  <c r="Y82" i="25" s="1"/>
  <c r="S87" i="4" a="1"/>
  <c r="S87" i="4" s="1"/>
  <c r="Y83" i="25" s="1"/>
  <c r="S88" i="4" a="1"/>
  <c r="S88" i="4" s="1"/>
  <c r="Y84" i="25" s="1"/>
  <c r="S89" i="4" a="1"/>
  <c r="S89" i="4" s="1"/>
  <c r="Y85" i="25" s="1"/>
  <c r="S90" i="4" a="1"/>
  <c r="S90" i="4" s="1"/>
  <c r="Y86" i="25" s="1"/>
  <c r="S91" i="4" a="1"/>
  <c r="S91" i="4" s="1"/>
  <c r="Y87" i="25" s="1"/>
  <c r="T41" i="4" a="1"/>
  <c r="T41" i="4" s="1"/>
  <c r="Z37" i="25" s="1"/>
  <c r="T42" i="4" a="1"/>
  <c r="T42" i="4" s="1"/>
  <c r="Z38" i="25" s="1"/>
  <c r="T43" i="4" a="1"/>
  <c r="T43" i="4" s="1"/>
  <c r="Z39" i="25" s="1"/>
  <c r="T44" i="4" a="1"/>
  <c r="T44" i="4" s="1"/>
  <c r="Z40" i="25" s="1"/>
  <c r="T45" i="4" a="1"/>
  <c r="T45" i="4" s="1"/>
  <c r="Z41" i="25" s="1"/>
  <c r="T46" i="4" a="1"/>
  <c r="T46" i="4" s="1"/>
  <c r="Z42" i="25" s="1"/>
  <c r="T47" i="4" a="1"/>
  <c r="T47" i="4" s="1"/>
  <c r="Z43" i="25" s="1"/>
  <c r="T48" i="4" a="1"/>
  <c r="T48" i="4" s="1"/>
  <c r="Z44" i="25" s="1"/>
  <c r="T49" i="4" a="1"/>
  <c r="T49" i="4" s="1"/>
  <c r="Z45" i="25" s="1"/>
  <c r="T50" i="4" a="1"/>
  <c r="T50" i="4" s="1"/>
  <c r="Z46" i="25" s="1"/>
  <c r="T51" i="4" a="1"/>
  <c r="T51" i="4" s="1"/>
  <c r="Z47" i="25" s="1"/>
  <c r="T52" i="4" a="1"/>
  <c r="T52" i="4" s="1"/>
  <c r="Z48" i="25" s="1"/>
  <c r="T53" i="4" a="1"/>
  <c r="T53" i="4" s="1"/>
  <c r="Z49" i="25" s="1"/>
  <c r="T54" i="4" a="1"/>
  <c r="T54" i="4" s="1"/>
  <c r="Z50" i="25" s="1"/>
  <c r="T55" i="4" a="1"/>
  <c r="T55" i="4" s="1"/>
  <c r="Z51" i="25" s="1"/>
  <c r="T56" i="4" a="1"/>
  <c r="T56" i="4" s="1"/>
  <c r="Z52" i="25" s="1"/>
  <c r="T57" i="4" a="1"/>
  <c r="T57" i="4" s="1"/>
  <c r="Z53" i="25" s="1"/>
  <c r="T58" i="4" a="1"/>
  <c r="T58" i="4" s="1"/>
  <c r="Z54" i="25" s="1"/>
  <c r="T85" i="4" a="1"/>
  <c r="T85" i="4" s="1"/>
  <c r="Z81" i="25" s="1"/>
  <c r="T86" i="4" a="1"/>
  <c r="T86" i="4" s="1"/>
  <c r="Z82" i="25" s="1"/>
  <c r="T87" i="4" a="1"/>
  <c r="T87" i="4" s="1"/>
  <c r="Z83" i="25" s="1"/>
  <c r="T88" i="4" a="1"/>
  <c r="T88" i="4" s="1"/>
  <c r="Z84" i="25" s="1"/>
  <c r="T89" i="4" a="1"/>
  <c r="T89" i="4" s="1"/>
  <c r="Z85" i="25" s="1"/>
  <c r="T90" i="4" a="1"/>
  <c r="T90" i="4" s="1"/>
  <c r="Z86" i="25" s="1"/>
  <c r="T91" i="4" a="1"/>
  <c r="T91" i="4" s="1"/>
  <c r="Z87" i="25" s="1"/>
  <c r="W41" i="4" a="1"/>
  <c r="W41" i="4" s="1"/>
  <c r="AC37" i="25" s="1"/>
  <c r="W42" i="4" a="1"/>
  <c r="W42" i="4" s="1"/>
  <c r="AC38" i="25" s="1"/>
  <c r="W43" i="4" a="1"/>
  <c r="W43" i="4" s="1"/>
  <c r="AC39" i="25" s="1"/>
  <c r="W44" i="4" a="1"/>
  <c r="W44" i="4" s="1"/>
  <c r="AC40" i="25" s="1"/>
  <c r="W45" i="4" a="1"/>
  <c r="W45" i="4" s="1"/>
  <c r="AC41" i="25" s="1"/>
  <c r="W46" i="4" a="1"/>
  <c r="W46" i="4" s="1"/>
  <c r="AC42" i="25" s="1"/>
  <c r="W47" i="4" a="1"/>
  <c r="W47" i="4" s="1"/>
  <c r="AC43" i="25" s="1"/>
  <c r="W48" i="4" a="1"/>
  <c r="W48" i="4" s="1"/>
  <c r="AC44" i="25" s="1"/>
  <c r="W49" i="4" a="1"/>
  <c r="W49" i="4" s="1"/>
  <c r="AC45" i="25" s="1"/>
  <c r="W50" i="4" a="1"/>
  <c r="W50" i="4" s="1"/>
  <c r="AC46" i="25" s="1"/>
  <c r="W51" i="4" a="1"/>
  <c r="W51" i="4" s="1"/>
  <c r="AC47" i="25" s="1"/>
  <c r="W52" i="4" a="1"/>
  <c r="W52" i="4" s="1"/>
  <c r="AC48" i="25" s="1"/>
  <c r="W53" i="4" a="1"/>
  <c r="W53" i="4" s="1"/>
  <c r="AC49" i="25" s="1"/>
  <c r="W54" i="4" a="1"/>
  <c r="W54" i="4" s="1"/>
  <c r="AC50" i="25" s="1"/>
  <c r="W55" i="4" a="1"/>
  <c r="W55" i="4" s="1"/>
  <c r="AC51" i="25" s="1"/>
  <c r="W56" i="4" a="1"/>
  <c r="W56" i="4" s="1"/>
  <c r="AC52" i="25" s="1"/>
  <c r="W57" i="4" a="1"/>
  <c r="W57" i="4" s="1"/>
  <c r="AC53" i="25" s="1"/>
  <c r="W58" i="4" a="1"/>
  <c r="W58" i="4" s="1"/>
  <c r="AC54" i="25" s="1"/>
  <c r="W85" i="4" a="1"/>
  <c r="W85" i="4" s="1"/>
  <c r="AC81" i="25" s="1"/>
  <c r="W86" i="4" a="1"/>
  <c r="W86" i="4" s="1"/>
  <c r="AC82" i="25" s="1"/>
  <c r="W87" i="4" a="1"/>
  <c r="W87" i="4" s="1"/>
  <c r="AC83" i="25" s="1"/>
  <c r="W88" i="4" a="1"/>
  <c r="W88" i="4" s="1"/>
  <c r="AC84" i="25" s="1"/>
  <c r="W89" i="4" a="1"/>
  <c r="W89" i="4" s="1"/>
  <c r="AC85" i="25" s="1"/>
  <c r="W90" i="4" a="1"/>
  <c r="W90" i="4" s="1"/>
  <c r="AC86" i="25" s="1"/>
  <c r="W91" i="4" a="1"/>
  <c r="W91" i="4" s="1"/>
  <c r="AC87" i="25" s="1"/>
  <c r="T41" i="11" l="1"/>
  <c r="AE37" i="25"/>
  <c r="AE14" i="25"/>
  <c r="AE66" i="25"/>
  <c r="AE87" i="25"/>
  <c r="AE53" i="25"/>
  <c r="AE45" i="25"/>
  <c r="AE30" i="25"/>
  <c r="AE22" i="25"/>
  <c r="AE74" i="25"/>
  <c r="AE58" i="25"/>
  <c r="M39" i="25"/>
  <c r="M85" i="25"/>
  <c r="M82" i="25"/>
  <c r="M48" i="25"/>
  <c r="M40" i="25"/>
  <c r="M33" i="25"/>
  <c r="M25" i="25"/>
  <c r="M17" i="25"/>
  <c r="M80" i="25"/>
  <c r="M72" i="25"/>
  <c r="M64" i="25"/>
  <c r="M56" i="25"/>
  <c r="M24" i="25"/>
  <c r="M79" i="25"/>
  <c r="M71" i="25"/>
  <c r="M63" i="25"/>
  <c r="M55" i="25"/>
  <c r="M31" i="25"/>
  <c r="M23" i="25"/>
  <c r="M15" i="25"/>
  <c r="M78" i="25"/>
  <c r="M70" i="25"/>
  <c r="M62" i="25"/>
  <c r="M81" i="25"/>
  <c r="M32" i="25"/>
  <c r="M46" i="25"/>
  <c r="M87" i="25"/>
  <c r="M53" i="25"/>
  <c r="M45" i="25"/>
  <c r="M37" i="25"/>
  <c r="M30" i="25"/>
  <c r="M22" i="25"/>
  <c r="M14" i="25"/>
  <c r="M77" i="25"/>
  <c r="M69" i="25"/>
  <c r="M61" i="25"/>
  <c r="M47" i="25"/>
  <c r="M16" i="25"/>
  <c r="M54" i="25"/>
  <c r="M38" i="25"/>
  <c r="M86" i="25"/>
  <c r="M52" i="25"/>
  <c r="M44" i="25"/>
  <c r="M29" i="25"/>
  <c r="M21" i="25"/>
  <c r="M13" i="25"/>
  <c r="M76" i="25"/>
  <c r="M68" i="25"/>
  <c r="M60" i="25"/>
  <c r="M75" i="25"/>
  <c r="M67" i="25"/>
  <c r="M59" i="25"/>
  <c r="M51" i="25"/>
  <c r="M43" i="25"/>
  <c r="M28" i="25"/>
  <c r="M20" i="25"/>
  <c r="M12" i="25"/>
  <c r="M84" i="25"/>
  <c r="M50" i="25"/>
  <c r="M42" i="25"/>
  <c r="M35" i="25"/>
  <c r="M27" i="25"/>
  <c r="M19" i="25"/>
  <c r="M74" i="25"/>
  <c r="M66" i="25"/>
  <c r="M58" i="25"/>
  <c r="M36" i="25"/>
  <c r="M83" i="25"/>
  <c r="M49" i="25"/>
  <c r="M41" i="25"/>
  <c r="M34" i="25"/>
  <c r="M26" i="25"/>
  <c r="M18" i="25"/>
  <c r="M73" i="25"/>
  <c r="M65" i="25"/>
  <c r="M57" i="25"/>
  <c r="B99" i="25"/>
  <c r="B95" i="25"/>
  <c r="B91" i="25"/>
  <c r="B87" i="25"/>
  <c r="B83" i="25"/>
  <c r="B79" i="25"/>
  <c r="B75" i="25"/>
  <c r="B71" i="25"/>
  <c r="B67" i="25"/>
  <c r="B63" i="25"/>
  <c r="B59" i="25"/>
  <c r="B55" i="25"/>
  <c r="B51" i="25"/>
  <c r="B47" i="25"/>
  <c r="B43" i="25"/>
  <c r="B39" i="25"/>
  <c r="B112" i="25"/>
  <c r="B108" i="25"/>
  <c r="B104" i="25"/>
  <c r="B101" i="25"/>
  <c r="B97" i="25"/>
  <c r="B93" i="25"/>
  <c r="B89" i="25"/>
  <c r="B85" i="25"/>
  <c r="B81" i="25"/>
  <c r="B77" i="25"/>
  <c r="B73" i="25"/>
  <c r="B69" i="25"/>
  <c r="B65" i="25"/>
  <c r="B61" i="25"/>
  <c r="B57" i="25"/>
  <c r="B53" i="25"/>
  <c r="B49" i="25"/>
  <c r="B45" i="25"/>
  <c r="B41" i="25"/>
  <c r="B103" i="25"/>
  <c r="B110" i="25"/>
  <c r="B106" i="25"/>
  <c r="B100" i="25"/>
  <c r="B96" i="25"/>
  <c r="B92" i="25"/>
  <c r="B88" i="25"/>
  <c r="B84" i="25"/>
  <c r="B80" i="25"/>
  <c r="B76" i="25"/>
  <c r="B72" i="25"/>
  <c r="B68" i="25"/>
  <c r="B64" i="25"/>
  <c r="B60" i="25"/>
  <c r="B56" i="25"/>
  <c r="B52" i="25"/>
  <c r="B48" i="25"/>
  <c r="B44" i="25"/>
  <c r="B40" i="25"/>
  <c r="B113" i="25"/>
  <c r="B109" i="25"/>
  <c r="B105" i="25"/>
  <c r="B102" i="25"/>
  <c r="B98" i="25"/>
  <c r="B94" i="25"/>
  <c r="B90" i="25"/>
  <c r="B86" i="25"/>
  <c r="B78" i="25"/>
  <c r="B74" i="25"/>
  <c r="B70" i="25"/>
  <c r="B66" i="25"/>
  <c r="B62" i="25"/>
  <c r="B58" i="25"/>
  <c r="B54" i="25"/>
  <c r="B50" i="25"/>
  <c r="B46" i="25"/>
  <c r="B42" i="25"/>
  <c r="B38" i="25"/>
  <c r="B111" i="25"/>
  <c r="B107" i="25"/>
  <c r="B82" i="25"/>
  <c r="AE52" i="25"/>
  <c r="AE57" i="25"/>
  <c r="AE86" i="25"/>
  <c r="AE65" i="25"/>
  <c r="AE84" i="25"/>
  <c r="AE50" i="25"/>
  <c r="AE42" i="25"/>
  <c r="AE35" i="25"/>
  <c r="AE27" i="25"/>
  <c r="AE19" i="25"/>
  <c r="AE79" i="25"/>
  <c r="AE71" i="25"/>
  <c r="AE63" i="25"/>
  <c r="AE55" i="25"/>
  <c r="AE29" i="25"/>
  <c r="AE83" i="25"/>
  <c r="AE18" i="25"/>
  <c r="AE62" i="25"/>
  <c r="AE44" i="25"/>
  <c r="AE21" i="25"/>
  <c r="AE41" i="25"/>
  <c r="AE34" i="25"/>
  <c r="AE78" i="25"/>
  <c r="AE13" i="25"/>
  <c r="AE73" i="25"/>
  <c r="AE49" i="25"/>
  <c r="AE26" i="25"/>
  <c r="AE70" i="25"/>
  <c r="AE85" i="25"/>
  <c r="AE51" i="25"/>
  <c r="AE43" i="25"/>
  <c r="AE36" i="25"/>
  <c r="AE28" i="25"/>
  <c r="AE20" i="25"/>
  <c r="AE12" i="25"/>
  <c r="AE80" i="25"/>
  <c r="AE72" i="25"/>
  <c r="AE64" i="25"/>
  <c r="AE56" i="25"/>
  <c r="AE82" i="25"/>
  <c r="AE48" i="25"/>
  <c r="AE40" i="25"/>
  <c r="AE33" i="25"/>
  <c r="AE25" i="25"/>
  <c r="AE17" i="25"/>
  <c r="AE77" i="25"/>
  <c r="AE69" i="25"/>
  <c r="AE61" i="25"/>
  <c r="AE81" i="25"/>
  <c r="AE47" i="25"/>
  <c r="AE39" i="25"/>
  <c r="AE32" i="25"/>
  <c r="AE24" i="25"/>
  <c r="AE16" i="25"/>
  <c r="AE76" i="25"/>
  <c r="AE68" i="25"/>
  <c r="AE60" i="25"/>
  <c r="AE54" i="25"/>
  <c r="AE46" i="25"/>
  <c r="AE38" i="25"/>
  <c r="AE31" i="25"/>
  <c r="AE23" i="25"/>
  <c r="AE15" i="25"/>
  <c r="AE75" i="25"/>
  <c r="AE67" i="25"/>
  <c r="AE59" i="25"/>
  <c r="E11" i="26"/>
  <c r="M69" i="4"/>
  <c r="V69" i="4" s="1"/>
  <c r="AB65" i="25" s="1"/>
  <c r="M63" i="4"/>
  <c r="S59" i="25" s="1"/>
  <c r="AF59" i="25" s="1"/>
  <c r="M76" i="4"/>
  <c r="U76" i="4" s="1"/>
  <c r="AA72" i="25" s="1"/>
  <c r="M82" i="4"/>
  <c r="S78" i="25" s="1"/>
  <c r="AF78" i="25" s="1"/>
  <c r="M75" i="4"/>
  <c r="U75" i="4" s="1"/>
  <c r="AA71" i="25" s="1"/>
  <c r="M39" i="4"/>
  <c r="M38" i="4"/>
  <c r="S34" i="25" s="1"/>
  <c r="AF34" i="25" s="1"/>
  <c r="M19" i="4"/>
  <c r="M74" i="4"/>
  <c r="U74" i="4" s="1"/>
  <c r="AA70" i="25" s="1"/>
  <c r="M62" i="4"/>
  <c r="S58" i="25" s="1"/>
  <c r="AF58" i="25" s="1"/>
  <c r="M49" i="4"/>
  <c r="U49" i="4" s="1"/>
  <c r="AA45" i="25" s="1"/>
  <c r="M32" i="4"/>
  <c r="S28" i="25" s="1"/>
  <c r="AF28" i="25" s="1"/>
  <c r="M78" i="4"/>
  <c r="S74" i="25" s="1"/>
  <c r="AF74" i="25" s="1"/>
  <c r="M72" i="4"/>
  <c r="M66" i="4"/>
  <c r="M30" i="4"/>
  <c r="M22" i="4"/>
  <c r="S18" i="25" s="1"/>
  <c r="AF18" i="25" s="1"/>
  <c r="M70" i="4"/>
  <c r="S66" i="25" s="1"/>
  <c r="AF66" i="25" s="1"/>
  <c r="M81" i="4"/>
  <c r="S77" i="25" s="1"/>
  <c r="AF77" i="25" s="1"/>
  <c r="M26" i="4"/>
  <c r="M80" i="4"/>
  <c r="S76" i="25" s="1"/>
  <c r="AF76" i="25" s="1"/>
  <c r="M73" i="4"/>
  <c r="S69" i="25" s="1"/>
  <c r="AF69" i="25" s="1"/>
  <c r="M67" i="4"/>
  <c r="S63" i="25" s="1"/>
  <c r="AF63" i="25" s="1"/>
  <c r="M79" i="4"/>
  <c r="S75" i="25" s="1"/>
  <c r="AF75" i="25" s="1"/>
  <c r="M60" i="4"/>
  <c r="S56" i="25" s="1"/>
  <c r="AF56" i="25" s="1"/>
  <c r="M61" i="4"/>
  <c r="S57" i="25" s="1"/>
  <c r="AF57" i="25" s="1"/>
  <c r="M65" i="4"/>
  <c r="S61" i="25" s="1"/>
  <c r="AF61" i="25" s="1"/>
  <c r="M59" i="4"/>
  <c r="S55" i="25" s="1"/>
  <c r="AF55" i="25" s="1"/>
  <c r="M84" i="4"/>
  <c r="S80" i="25" s="1"/>
  <c r="AF80" i="25" s="1"/>
  <c r="M77" i="4"/>
  <c r="S73" i="25" s="1"/>
  <c r="AF73" i="25" s="1"/>
  <c r="M71" i="4"/>
  <c r="S67" i="25" s="1"/>
  <c r="AF67" i="25" s="1"/>
  <c r="M68" i="4"/>
  <c r="S64" i="25" s="1"/>
  <c r="AF64" i="25" s="1"/>
  <c r="M83" i="4"/>
  <c r="S79" i="25" s="1"/>
  <c r="AF79" i="25" s="1"/>
  <c r="M64" i="4"/>
  <c r="S60" i="25" s="1"/>
  <c r="AF60" i="25" s="1"/>
  <c r="M31" i="4"/>
  <c r="M25" i="4"/>
  <c r="M18" i="4"/>
  <c r="M37" i="4"/>
  <c r="V37" i="4" s="1"/>
  <c r="AB33" i="25" s="1"/>
  <c r="M24" i="4"/>
  <c r="M23" i="4"/>
  <c r="M17" i="4"/>
  <c r="M91" i="4"/>
  <c r="M29" i="4"/>
  <c r="U29" i="4" s="1"/>
  <c r="AA25" i="25" s="1"/>
  <c r="M16" i="4"/>
  <c r="M55" i="4"/>
  <c r="U55" i="4" s="1"/>
  <c r="AA51" i="25" s="1"/>
  <c r="M90" i="4"/>
  <c r="U90" i="4" s="1"/>
  <c r="AA86" i="25" s="1"/>
  <c r="M40" i="4"/>
  <c r="M27" i="4"/>
  <c r="M21" i="4"/>
  <c r="M33" i="4"/>
  <c r="U33" i="4" s="1"/>
  <c r="AA29" i="25" s="1"/>
  <c r="M20" i="4"/>
  <c r="M36" i="4"/>
  <c r="S32" i="25" s="1"/>
  <c r="AF32" i="25" s="1"/>
  <c r="M35" i="4"/>
  <c r="S31" i="25" s="1"/>
  <c r="AF31" i="25" s="1"/>
  <c r="M34" i="4"/>
  <c r="S30" i="25" s="1"/>
  <c r="AF30" i="25" s="1"/>
  <c r="M28" i="4"/>
  <c r="S24" i="25" s="1"/>
  <c r="AF24" i="25" s="1"/>
  <c r="M89" i="4"/>
  <c r="M58" i="4"/>
  <c r="M47" i="4"/>
  <c r="M42" i="4"/>
  <c r="M53" i="4"/>
  <c r="S49" i="25" s="1"/>
  <c r="AF49" i="25" s="1"/>
  <c r="M52" i="4"/>
  <c r="M88" i="4"/>
  <c r="M46" i="4"/>
  <c r="M57" i="4"/>
  <c r="M56" i="4"/>
  <c r="M50" i="4"/>
  <c r="M87" i="4"/>
  <c r="M45" i="4"/>
  <c r="V45" i="4" s="1"/>
  <c r="AB41" i="25" s="1"/>
  <c r="M86" i="4"/>
  <c r="M44" i="4"/>
  <c r="M54" i="4"/>
  <c r="M48" i="4"/>
  <c r="M85" i="4"/>
  <c r="S81" i="25" s="1"/>
  <c r="AF81" i="25" s="1"/>
  <c r="M43" i="4"/>
  <c r="S39" i="25" s="1"/>
  <c r="AF39" i="25" s="1"/>
  <c r="M41" i="4"/>
  <c r="S37" i="25" s="1"/>
  <c r="AF37" i="25" s="1"/>
  <c r="M51" i="4"/>
  <c r="S47" i="25" s="1"/>
  <c r="AF47" i="25" s="1"/>
  <c r="O3" i="17"/>
  <c r="AC584" i="25"/>
  <c r="AC585" i="25"/>
  <c r="AC586" i="25"/>
  <c r="AC587" i="25"/>
  <c r="AC588" i="25"/>
  <c r="AC589" i="25"/>
  <c r="AC590" i="25"/>
  <c r="AC591" i="25"/>
  <c r="AC592" i="25"/>
  <c r="AC593" i="25"/>
  <c r="AC594" i="25"/>
  <c r="AC595" i="25"/>
  <c r="AC596" i="25"/>
  <c r="AC597" i="25"/>
  <c r="AC598" i="25"/>
  <c r="AC599" i="25"/>
  <c r="AC600" i="25"/>
  <c r="AC601" i="25"/>
  <c r="AC602" i="25"/>
  <c r="AC603" i="25"/>
  <c r="AC366" i="25"/>
  <c r="AC367" i="25"/>
  <c r="AC368" i="25"/>
  <c r="AC369" i="25"/>
  <c r="AC370" i="25"/>
  <c r="AC371" i="25"/>
  <c r="AC372" i="25"/>
  <c r="AC373" i="25"/>
  <c r="AC374" i="25"/>
  <c r="AC375" i="25"/>
  <c r="AC376" i="25"/>
  <c r="AC377" i="25"/>
  <c r="AC378" i="25"/>
  <c r="AC379" i="25"/>
  <c r="AC380" i="25"/>
  <c r="AC381" i="25"/>
  <c r="AC382" i="25"/>
  <c r="AC383" i="25"/>
  <c r="AC384" i="25"/>
  <c r="AC385" i="25"/>
  <c r="AC386" i="25"/>
  <c r="AC387" i="25"/>
  <c r="AC388" i="25"/>
  <c r="AC389" i="25"/>
  <c r="AC390" i="25"/>
  <c r="AC391" i="25"/>
  <c r="AC392" i="25"/>
  <c r="AC393" i="25"/>
  <c r="AC394" i="25"/>
  <c r="AC395" i="25"/>
  <c r="AC396" i="25"/>
  <c r="AC365" i="25"/>
  <c r="AC256" i="25"/>
  <c r="AC257" i="25"/>
  <c r="AC258" i="25"/>
  <c r="AC259" i="25"/>
  <c r="AC260" i="25"/>
  <c r="AC261" i="25"/>
  <c r="AC262" i="25"/>
  <c r="AC263" i="25"/>
  <c r="AC264" i="25"/>
  <c r="AC265" i="25"/>
  <c r="AC266" i="25"/>
  <c r="AC267" i="25"/>
  <c r="AC268" i="25"/>
  <c r="AC269" i="25"/>
  <c r="AC270" i="25"/>
  <c r="AC271" i="25"/>
  <c r="AC272" i="25"/>
  <c r="AC273" i="25"/>
  <c r="AC274" i="25"/>
  <c r="AC275" i="25"/>
  <c r="AC276" i="25"/>
  <c r="AC277" i="25"/>
  <c r="AC278" i="25"/>
  <c r="AC279" i="25"/>
  <c r="AC280" i="25"/>
  <c r="AC281" i="25"/>
  <c r="AC282" i="25"/>
  <c r="AC283" i="25"/>
  <c r="AC284" i="25"/>
  <c r="AC285" i="25"/>
  <c r="AC286" i="25"/>
  <c r="AC287" i="25"/>
  <c r="AC288" i="25"/>
  <c r="AC289" i="25"/>
  <c r="AC290" i="25"/>
  <c r="AC291" i="25"/>
  <c r="AC292" i="25"/>
  <c r="AC293" i="25"/>
  <c r="AC294" i="25"/>
  <c r="AC295" i="25"/>
  <c r="AC296" i="25"/>
  <c r="AC297" i="25"/>
  <c r="AC298" i="25"/>
  <c r="AC299" i="25"/>
  <c r="AC300" i="25"/>
  <c r="AC301" i="25"/>
  <c r="AC302" i="25"/>
  <c r="AC303" i="25"/>
  <c r="AC304" i="25"/>
  <c r="AC305" i="25"/>
  <c r="AC306" i="25"/>
  <c r="AC307" i="25"/>
  <c r="AC308" i="25"/>
  <c r="AC309" i="25"/>
  <c r="AC310" i="25"/>
  <c r="AC311" i="25"/>
  <c r="AC312" i="25"/>
  <c r="AC313" i="25"/>
  <c r="AC314" i="25"/>
  <c r="AC315" i="25"/>
  <c r="AC316" i="25"/>
  <c r="AC317" i="25"/>
  <c r="AC318" i="25"/>
  <c r="AC319" i="25"/>
  <c r="AC320" i="25"/>
  <c r="AC321" i="25"/>
  <c r="AC322" i="25"/>
  <c r="AC323" i="25"/>
  <c r="AC324" i="25"/>
  <c r="AC325" i="25"/>
  <c r="AC326" i="25"/>
  <c r="AC327" i="25"/>
  <c r="AC328" i="25"/>
  <c r="AC329" i="25"/>
  <c r="AC330" i="25"/>
  <c r="AC331" i="25"/>
  <c r="AC332" i="25"/>
  <c r="AC333" i="25"/>
  <c r="AC334" i="25"/>
  <c r="AC335" i="25"/>
  <c r="AC336" i="25"/>
  <c r="AC337" i="25"/>
  <c r="AC338" i="25"/>
  <c r="AC339" i="25"/>
  <c r="AC340" i="25"/>
  <c r="AC341" i="25"/>
  <c r="AC342" i="25"/>
  <c r="AC343" i="25"/>
  <c r="AC344" i="25"/>
  <c r="AC345" i="25"/>
  <c r="AC346" i="25"/>
  <c r="AC347" i="25"/>
  <c r="AC348" i="25"/>
  <c r="AC349" i="25"/>
  <c r="AC350" i="25"/>
  <c r="AC351" i="25"/>
  <c r="AC352" i="25"/>
  <c r="AC353" i="25"/>
  <c r="AC354" i="25"/>
  <c r="AC355" i="25"/>
  <c r="AC356" i="25"/>
  <c r="AC357" i="25"/>
  <c r="AC358" i="25"/>
  <c r="AC359" i="25"/>
  <c r="AC360" i="25"/>
  <c r="AC361" i="25"/>
  <c r="AC362" i="25"/>
  <c r="AC363" i="25"/>
  <c r="AC364" i="25"/>
  <c r="AC255" i="25"/>
  <c r="AC239" i="25"/>
  <c r="AC240" i="25"/>
  <c r="AC241" i="25"/>
  <c r="AC242" i="25"/>
  <c r="AC243" i="25"/>
  <c r="AC244" i="25"/>
  <c r="AC245" i="25"/>
  <c r="AC246" i="25"/>
  <c r="AC247" i="25"/>
  <c r="AC248" i="25"/>
  <c r="AC249" i="25"/>
  <c r="AC250" i="25"/>
  <c r="AC251" i="25"/>
  <c r="AC252" i="25"/>
  <c r="AC253" i="25"/>
  <c r="AC254" i="25"/>
  <c r="AC238" i="25"/>
  <c r="I562" i="25"/>
  <c r="J562" i="25"/>
  <c r="K562" i="25"/>
  <c r="L562" i="25"/>
  <c r="N562" i="25"/>
  <c r="O562" i="25"/>
  <c r="T562" i="25"/>
  <c r="U562" i="25"/>
  <c r="I563" i="25"/>
  <c r="J563" i="25"/>
  <c r="K563" i="25"/>
  <c r="L563" i="25"/>
  <c r="N563" i="25"/>
  <c r="O563" i="25"/>
  <c r="T563" i="25"/>
  <c r="U563" i="25"/>
  <c r="I564" i="25"/>
  <c r="J564" i="25"/>
  <c r="K564" i="25"/>
  <c r="L564" i="25"/>
  <c r="N564" i="25"/>
  <c r="O564" i="25"/>
  <c r="T564" i="25"/>
  <c r="U564" i="25"/>
  <c r="I565" i="25"/>
  <c r="J565" i="25"/>
  <c r="K565" i="25"/>
  <c r="L565" i="25"/>
  <c r="N565" i="25"/>
  <c r="O565" i="25"/>
  <c r="T565" i="25"/>
  <c r="U565" i="25"/>
  <c r="I566" i="25"/>
  <c r="J566" i="25"/>
  <c r="K566" i="25"/>
  <c r="L566" i="25"/>
  <c r="N566" i="25"/>
  <c r="O566" i="25"/>
  <c r="T566" i="25"/>
  <c r="U566" i="25"/>
  <c r="I567" i="25"/>
  <c r="J567" i="25"/>
  <c r="K567" i="25"/>
  <c r="L567" i="25"/>
  <c r="N567" i="25"/>
  <c r="O567" i="25"/>
  <c r="T567" i="25"/>
  <c r="U567" i="25"/>
  <c r="I568" i="25"/>
  <c r="J568" i="25"/>
  <c r="K568" i="25"/>
  <c r="L568" i="25"/>
  <c r="N568" i="25"/>
  <c r="O568" i="25"/>
  <c r="T568" i="25"/>
  <c r="U568" i="25"/>
  <c r="I569" i="25"/>
  <c r="J569" i="25"/>
  <c r="K569" i="25"/>
  <c r="L569" i="25"/>
  <c r="N569" i="25"/>
  <c r="O569" i="25"/>
  <c r="T569" i="25"/>
  <c r="U569" i="25"/>
  <c r="I570" i="25"/>
  <c r="J570" i="25"/>
  <c r="K570" i="25"/>
  <c r="L570" i="25"/>
  <c r="N570" i="25"/>
  <c r="O570" i="25"/>
  <c r="T570" i="25"/>
  <c r="U570" i="25"/>
  <c r="I571" i="25"/>
  <c r="J571" i="25"/>
  <c r="K571" i="25"/>
  <c r="L571" i="25"/>
  <c r="N571" i="25"/>
  <c r="O571" i="25"/>
  <c r="T571" i="25"/>
  <c r="U571" i="25"/>
  <c r="I572" i="25"/>
  <c r="J572" i="25"/>
  <c r="K572" i="25"/>
  <c r="L572" i="25"/>
  <c r="N572" i="25"/>
  <c r="O572" i="25"/>
  <c r="T572" i="25"/>
  <c r="U572" i="25"/>
  <c r="I573" i="25"/>
  <c r="J573" i="25"/>
  <c r="K573" i="25"/>
  <c r="L573" i="25"/>
  <c r="N573" i="25"/>
  <c r="O573" i="25"/>
  <c r="T573" i="25"/>
  <c r="U573" i="25"/>
  <c r="I574" i="25"/>
  <c r="J574" i="25"/>
  <c r="K574" i="25"/>
  <c r="L574" i="25"/>
  <c r="N574" i="25"/>
  <c r="O574" i="25"/>
  <c r="T574" i="25"/>
  <c r="U574" i="25"/>
  <c r="I575" i="25"/>
  <c r="J575" i="25"/>
  <c r="K575" i="25"/>
  <c r="L575" i="25"/>
  <c r="N575" i="25"/>
  <c r="O575" i="25"/>
  <c r="T575" i="25"/>
  <c r="U575" i="25"/>
  <c r="I576" i="25"/>
  <c r="J576" i="25"/>
  <c r="K576" i="25"/>
  <c r="L576" i="25"/>
  <c r="N576" i="25"/>
  <c r="O576" i="25"/>
  <c r="T576" i="25"/>
  <c r="U576" i="25"/>
  <c r="I577" i="25"/>
  <c r="J577" i="25"/>
  <c r="K577" i="25"/>
  <c r="L577" i="25"/>
  <c r="N577" i="25"/>
  <c r="O577" i="25"/>
  <c r="T577" i="25"/>
  <c r="U577" i="25"/>
  <c r="I578" i="25"/>
  <c r="J578" i="25"/>
  <c r="K578" i="25"/>
  <c r="L578" i="25"/>
  <c r="N578" i="25"/>
  <c r="O578" i="25"/>
  <c r="T578" i="25"/>
  <c r="U578" i="25"/>
  <c r="I579" i="25"/>
  <c r="J579" i="25"/>
  <c r="K579" i="25"/>
  <c r="L579" i="25"/>
  <c r="N579" i="25"/>
  <c r="O579" i="25"/>
  <c r="T579" i="25"/>
  <c r="U579" i="25"/>
  <c r="I580" i="25"/>
  <c r="J580" i="25"/>
  <c r="K580" i="25"/>
  <c r="L580" i="25"/>
  <c r="N580" i="25"/>
  <c r="O580" i="25"/>
  <c r="T580" i="25"/>
  <c r="U580" i="25"/>
  <c r="I581" i="25"/>
  <c r="J581" i="25"/>
  <c r="K581" i="25"/>
  <c r="L581" i="25"/>
  <c r="N581" i="25"/>
  <c r="O581" i="25"/>
  <c r="T581" i="25"/>
  <c r="U581" i="25"/>
  <c r="I582" i="25"/>
  <c r="J582" i="25"/>
  <c r="K582" i="25"/>
  <c r="L582" i="25"/>
  <c r="N582" i="25"/>
  <c r="O582" i="25"/>
  <c r="T582" i="25"/>
  <c r="U582" i="25"/>
  <c r="J561" i="25"/>
  <c r="K561" i="25"/>
  <c r="L561" i="25"/>
  <c r="N561" i="25"/>
  <c r="O561" i="25"/>
  <c r="T561" i="25"/>
  <c r="U561" i="25"/>
  <c r="I534" i="25"/>
  <c r="J534" i="25"/>
  <c r="K534" i="25"/>
  <c r="L534" i="25"/>
  <c r="N534" i="25"/>
  <c r="O534" i="25"/>
  <c r="T534" i="25"/>
  <c r="U534" i="25"/>
  <c r="I535" i="25"/>
  <c r="J535" i="25"/>
  <c r="K535" i="25"/>
  <c r="L535" i="25"/>
  <c r="N535" i="25"/>
  <c r="O535" i="25"/>
  <c r="T535" i="25"/>
  <c r="U535" i="25"/>
  <c r="I536" i="25"/>
  <c r="J536" i="25"/>
  <c r="K536" i="25"/>
  <c r="L536" i="25"/>
  <c r="N536" i="25"/>
  <c r="O536" i="25"/>
  <c r="T536" i="25"/>
  <c r="U536" i="25"/>
  <c r="I537" i="25"/>
  <c r="J537" i="25"/>
  <c r="K537" i="25"/>
  <c r="L537" i="25"/>
  <c r="N537" i="25"/>
  <c r="O537" i="25"/>
  <c r="T537" i="25"/>
  <c r="U537" i="25"/>
  <c r="I538" i="25"/>
  <c r="J538" i="25"/>
  <c r="K538" i="25"/>
  <c r="L538" i="25"/>
  <c r="N538" i="25"/>
  <c r="O538" i="25"/>
  <c r="T538" i="25"/>
  <c r="U538" i="25"/>
  <c r="I539" i="25"/>
  <c r="J539" i="25"/>
  <c r="K539" i="25"/>
  <c r="L539" i="25"/>
  <c r="N539" i="25"/>
  <c r="O539" i="25"/>
  <c r="T539" i="25"/>
  <c r="U539" i="25"/>
  <c r="I540" i="25"/>
  <c r="J540" i="25"/>
  <c r="K540" i="25"/>
  <c r="L540" i="25"/>
  <c r="N540" i="25"/>
  <c r="O540" i="25"/>
  <c r="T540" i="25"/>
  <c r="U540" i="25"/>
  <c r="I541" i="25"/>
  <c r="J541" i="25"/>
  <c r="K541" i="25"/>
  <c r="L541" i="25"/>
  <c r="N541" i="25"/>
  <c r="O541" i="25"/>
  <c r="T541" i="25"/>
  <c r="U541" i="25"/>
  <c r="I542" i="25"/>
  <c r="J542" i="25"/>
  <c r="K542" i="25"/>
  <c r="L542" i="25"/>
  <c r="N542" i="25"/>
  <c r="O542" i="25"/>
  <c r="T542" i="25"/>
  <c r="U542" i="25"/>
  <c r="I543" i="25"/>
  <c r="J543" i="25"/>
  <c r="K543" i="25"/>
  <c r="L543" i="25"/>
  <c r="N543" i="25"/>
  <c r="O543" i="25"/>
  <c r="T543" i="25"/>
  <c r="U543" i="25"/>
  <c r="I544" i="25"/>
  <c r="J544" i="25"/>
  <c r="K544" i="25"/>
  <c r="L544" i="25"/>
  <c r="N544" i="25"/>
  <c r="O544" i="25"/>
  <c r="T544" i="25"/>
  <c r="U544" i="25"/>
  <c r="I545" i="25"/>
  <c r="J545" i="25"/>
  <c r="K545" i="25"/>
  <c r="L545" i="25"/>
  <c r="N545" i="25"/>
  <c r="O545" i="25"/>
  <c r="T545" i="25"/>
  <c r="U545" i="25"/>
  <c r="I546" i="25"/>
  <c r="J546" i="25"/>
  <c r="K546" i="25"/>
  <c r="L546" i="25"/>
  <c r="N546" i="25"/>
  <c r="O546" i="25"/>
  <c r="T546" i="25"/>
  <c r="U546" i="25"/>
  <c r="I547" i="25"/>
  <c r="J547" i="25"/>
  <c r="K547" i="25"/>
  <c r="L547" i="25"/>
  <c r="N547" i="25"/>
  <c r="O547" i="25"/>
  <c r="T547" i="25"/>
  <c r="U547" i="25"/>
  <c r="I548" i="25"/>
  <c r="J548" i="25"/>
  <c r="K548" i="25"/>
  <c r="L548" i="25"/>
  <c r="N548" i="25"/>
  <c r="O548" i="25"/>
  <c r="T548" i="25"/>
  <c r="U548" i="25"/>
  <c r="I549" i="25"/>
  <c r="J549" i="25"/>
  <c r="K549" i="25"/>
  <c r="L549" i="25"/>
  <c r="N549" i="25"/>
  <c r="O549" i="25"/>
  <c r="T549" i="25"/>
  <c r="U549" i="25"/>
  <c r="I550" i="25"/>
  <c r="J550" i="25"/>
  <c r="K550" i="25"/>
  <c r="L550" i="25"/>
  <c r="N550" i="25"/>
  <c r="O550" i="25"/>
  <c r="T550" i="25"/>
  <c r="U550" i="25"/>
  <c r="I551" i="25"/>
  <c r="J551" i="25"/>
  <c r="K551" i="25"/>
  <c r="L551" i="25"/>
  <c r="N551" i="25"/>
  <c r="O551" i="25"/>
  <c r="T551" i="25"/>
  <c r="U551" i="25"/>
  <c r="I552" i="25"/>
  <c r="J552" i="25"/>
  <c r="K552" i="25"/>
  <c r="L552" i="25"/>
  <c r="N552" i="25"/>
  <c r="O552" i="25"/>
  <c r="T552" i="25"/>
  <c r="U552" i="25"/>
  <c r="I553" i="25"/>
  <c r="J553" i="25"/>
  <c r="K553" i="25"/>
  <c r="L553" i="25"/>
  <c r="N553" i="25"/>
  <c r="O553" i="25"/>
  <c r="T553" i="25"/>
  <c r="U553" i="25"/>
  <c r="I554" i="25"/>
  <c r="J554" i="25"/>
  <c r="K554" i="25"/>
  <c r="L554" i="25"/>
  <c r="N554" i="25"/>
  <c r="O554" i="25"/>
  <c r="T554" i="25"/>
  <c r="U554" i="25"/>
  <c r="I555" i="25"/>
  <c r="J555" i="25"/>
  <c r="K555" i="25"/>
  <c r="L555" i="25"/>
  <c r="N555" i="25"/>
  <c r="O555" i="25"/>
  <c r="T555" i="25"/>
  <c r="U555" i="25"/>
  <c r="I556" i="25"/>
  <c r="J556" i="25"/>
  <c r="K556" i="25"/>
  <c r="L556" i="25"/>
  <c r="N556" i="25"/>
  <c r="O556" i="25"/>
  <c r="T556" i="25"/>
  <c r="U556" i="25"/>
  <c r="I557" i="25"/>
  <c r="J557" i="25"/>
  <c r="K557" i="25"/>
  <c r="L557" i="25"/>
  <c r="N557" i="25"/>
  <c r="O557" i="25"/>
  <c r="T557" i="25"/>
  <c r="U557" i="25"/>
  <c r="I558" i="25"/>
  <c r="J558" i="25"/>
  <c r="K558" i="25"/>
  <c r="L558" i="25"/>
  <c r="N558" i="25"/>
  <c r="O558" i="25"/>
  <c r="T558" i="25"/>
  <c r="U558" i="25"/>
  <c r="I559" i="25"/>
  <c r="J559" i="25"/>
  <c r="K559" i="25"/>
  <c r="L559" i="25"/>
  <c r="N559" i="25"/>
  <c r="O559" i="25"/>
  <c r="T559" i="25"/>
  <c r="U559" i="25"/>
  <c r="I560" i="25"/>
  <c r="J560" i="25"/>
  <c r="K560" i="25"/>
  <c r="L560" i="25"/>
  <c r="N560" i="25"/>
  <c r="O560" i="25"/>
  <c r="T560" i="25"/>
  <c r="U560" i="25"/>
  <c r="J533" i="25"/>
  <c r="K533" i="25"/>
  <c r="L533" i="25"/>
  <c r="N533" i="25"/>
  <c r="O533" i="25"/>
  <c r="T533" i="25"/>
  <c r="U533" i="25"/>
  <c r="I492" i="25"/>
  <c r="E69" i="18"/>
  <c r="E68" i="18"/>
  <c r="D69" i="18"/>
  <c r="D68" i="18"/>
  <c r="C69" i="18"/>
  <c r="C68" i="18"/>
  <c r="I18" i="18"/>
  <c r="E18" i="18"/>
  <c r="D18" i="18"/>
  <c r="W238" i="25"/>
  <c r="O8" i="24" a="1"/>
  <c r="O8" i="24" s="1"/>
  <c r="V239" i="25" s="1"/>
  <c r="O9" i="24" a="1"/>
  <c r="O9" i="24" s="1"/>
  <c r="V240" i="25" s="1"/>
  <c r="O10" i="24" a="1"/>
  <c r="O10" i="24" s="1"/>
  <c r="V241" i="25" s="1"/>
  <c r="O11" i="24" a="1"/>
  <c r="O11" i="24" s="1"/>
  <c r="V242" i="25" s="1"/>
  <c r="O12" i="24" a="1"/>
  <c r="O12" i="24" s="1"/>
  <c r="V243" i="25" s="1"/>
  <c r="O13" i="24" a="1"/>
  <c r="O13" i="24" s="1"/>
  <c r="V244" i="25" s="1"/>
  <c r="O14" i="24" a="1"/>
  <c r="O14" i="24" s="1"/>
  <c r="V245" i="25" s="1"/>
  <c r="O15" i="24" a="1"/>
  <c r="O15" i="24" s="1"/>
  <c r="V246" i="25" s="1"/>
  <c r="O16" i="24" a="1"/>
  <c r="O16" i="24" s="1"/>
  <c r="V247" i="25" s="1"/>
  <c r="O17" i="24" a="1"/>
  <c r="O17" i="24" s="1"/>
  <c r="V248" i="25" s="1"/>
  <c r="O18" i="24" a="1"/>
  <c r="O18" i="24" s="1"/>
  <c r="V249" i="25" s="1"/>
  <c r="O19" i="24" a="1"/>
  <c r="O19" i="24" s="1"/>
  <c r="V250" i="25" s="1"/>
  <c r="O20" i="24" a="1"/>
  <c r="O20" i="24" s="1"/>
  <c r="V251" i="25" s="1"/>
  <c r="O21" i="24" a="1"/>
  <c r="O21" i="24" s="1"/>
  <c r="V252" i="25" s="1"/>
  <c r="O22" i="24" a="1"/>
  <c r="O22" i="24" s="1"/>
  <c r="V253" i="25" s="1"/>
  <c r="O23" i="24" a="1"/>
  <c r="O23" i="24" s="1"/>
  <c r="V254" i="25" s="1"/>
  <c r="K7" i="24" a="1"/>
  <c r="K7" i="24" s="1"/>
  <c r="R238" i="25" s="1"/>
  <c r="K8" i="24" a="1"/>
  <c r="K8" i="24" s="1"/>
  <c r="R239" i="25" s="1"/>
  <c r="K9" i="24" a="1"/>
  <c r="K9" i="24" s="1"/>
  <c r="R240" i="25" s="1"/>
  <c r="K10" i="24" a="1"/>
  <c r="K10" i="24" s="1"/>
  <c r="R241" i="25" s="1"/>
  <c r="K11" i="24" a="1"/>
  <c r="K11" i="24" s="1"/>
  <c r="R242" i="25" s="1"/>
  <c r="K12" i="24" a="1"/>
  <c r="K12" i="24" s="1"/>
  <c r="R243" i="25" s="1"/>
  <c r="K13" i="24" a="1"/>
  <c r="K13" i="24" s="1"/>
  <c r="R244" i="25" s="1"/>
  <c r="K14" i="24" a="1"/>
  <c r="K14" i="24" s="1"/>
  <c r="R245" i="25" s="1"/>
  <c r="K15" i="24" a="1"/>
  <c r="K15" i="24" s="1"/>
  <c r="R246" i="25" s="1"/>
  <c r="K16" i="24" a="1"/>
  <c r="K16" i="24" s="1"/>
  <c r="R247" i="25" s="1"/>
  <c r="K17" i="24" a="1"/>
  <c r="K17" i="24" s="1"/>
  <c r="R248" i="25" s="1"/>
  <c r="K18" i="24" a="1"/>
  <c r="K18" i="24" s="1"/>
  <c r="R249" i="25" s="1"/>
  <c r="K19" i="24" a="1"/>
  <c r="K19" i="24" s="1"/>
  <c r="R250" i="25" s="1"/>
  <c r="K20" i="24" a="1"/>
  <c r="K20" i="24" s="1"/>
  <c r="R251" i="25" s="1"/>
  <c r="K21" i="24" a="1"/>
  <c r="K21" i="24" s="1"/>
  <c r="R252" i="25" s="1"/>
  <c r="K22" i="24" a="1"/>
  <c r="K22" i="24" s="1"/>
  <c r="R253" i="25" s="1"/>
  <c r="K23" i="24" a="1"/>
  <c r="K23" i="24" s="1"/>
  <c r="R254" i="25" s="1"/>
  <c r="J7" i="24"/>
  <c r="J8" i="24"/>
  <c r="Q239" i="25" s="1"/>
  <c r="J9" i="24"/>
  <c r="Q240" i="25" s="1"/>
  <c r="J10" i="24"/>
  <c r="Q241" i="25" s="1"/>
  <c r="J11" i="24"/>
  <c r="Q242" i="25" s="1"/>
  <c r="J12" i="24"/>
  <c r="Q243" i="25" s="1"/>
  <c r="J13" i="24"/>
  <c r="Q244" i="25" s="1"/>
  <c r="J14" i="24"/>
  <c r="Q245" i="25" s="1"/>
  <c r="J15" i="24"/>
  <c r="Q246" i="25" s="1"/>
  <c r="J16" i="24"/>
  <c r="Q247" i="25" s="1"/>
  <c r="J17" i="24"/>
  <c r="Q248" i="25" s="1"/>
  <c r="J18" i="24"/>
  <c r="Q249" i="25" s="1"/>
  <c r="J19" i="24"/>
  <c r="Q250" i="25" s="1"/>
  <c r="J20" i="24"/>
  <c r="Q251" i="25" s="1"/>
  <c r="J21" i="24"/>
  <c r="Q252" i="25" s="1"/>
  <c r="J22" i="24"/>
  <c r="Q253" i="25" s="1"/>
  <c r="J23" i="24"/>
  <c r="Q254" i="25" s="1"/>
  <c r="V377" i="17"/>
  <c r="R181" i="17"/>
  <c r="R116" i="17"/>
  <c r="P22" i="17"/>
  <c r="E4" i="25"/>
  <c r="E5" i="25"/>
  <c r="E6" i="25"/>
  <c r="E7" i="25"/>
  <c r="E8" i="25"/>
  <c r="E9" i="25"/>
  <c r="E10" i="25"/>
  <c r="E11" i="25"/>
  <c r="E12" i="25"/>
  <c r="E13" i="25"/>
  <c r="E14" i="25"/>
  <c r="E15" i="25"/>
  <c r="E16" i="25"/>
  <c r="E17" i="25"/>
  <c r="E18" i="25"/>
  <c r="E19" i="25"/>
  <c r="E20" i="25"/>
  <c r="E21" i="25"/>
  <c r="E22" i="25"/>
  <c r="E23" i="25"/>
  <c r="E24" i="25"/>
  <c r="E25" i="25"/>
  <c r="E26" i="25"/>
  <c r="E27" i="25"/>
  <c r="E28" i="25"/>
  <c r="E29" i="25"/>
  <c r="E30" i="25"/>
  <c r="E31" i="25"/>
  <c r="E32" i="25"/>
  <c r="E33" i="25"/>
  <c r="E34" i="25"/>
  <c r="E35" i="25"/>
  <c r="E36" i="25"/>
  <c r="E37" i="25"/>
  <c r="E114" i="25"/>
  <c r="E115" i="25"/>
  <c r="E116" i="25"/>
  <c r="E117" i="25"/>
  <c r="E118" i="25"/>
  <c r="E119" i="25"/>
  <c r="E120" i="25"/>
  <c r="E121" i="25"/>
  <c r="E122" i="25"/>
  <c r="E123" i="25"/>
  <c r="E124" i="25"/>
  <c r="E125" i="25"/>
  <c r="E126" i="25"/>
  <c r="E127" i="25"/>
  <c r="E128" i="25"/>
  <c r="E129" i="25"/>
  <c r="E130" i="25"/>
  <c r="E131" i="25"/>
  <c r="E132" i="25"/>
  <c r="E133" i="25"/>
  <c r="E134" i="25"/>
  <c r="E135" i="25"/>
  <c r="E136" i="25"/>
  <c r="E137" i="25"/>
  <c r="E148" i="25"/>
  <c r="E149" i="25"/>
  <c r="E150" i="25"/>
  <c r="E151" i="25"/>
  <c r="E152" i="25"/>
  <c r="E153" i="25"/>
  <c r="E154" i="25"/>
  <c r="E155" i="25"/>
  <c r="E156" i="25"/>
  <c r="E157" i="25"/>
  <c r="E167" i="25"/>
  <c r="E168" i="25"/>
  <c r="E169" i="25"/>
  <c r="E170" i="25"/>
  <c r="E171" i="25"/>
  <c r="E172" i="25"/>
  <c r="E173" i="25"/>
  <c r="E174" i="25"/>
  <c r="E175" i="25"/>
  <c r="E176" i="25"/>
  <c r="E177" i="25"/>
  <c r="E178" i="25"/>
  <c r="E179" i="25"/>
  <c r="E180" i="25"/>
  <c r="E181" i="25"/>
  <c r="E182" i="25"/>
  <c r="E183" i="25"/>
  <c r="E184" i="25"/>
  <c r="E185" i="25"/>
  <c r="E186" i="25"/>
  <c r="E187" i="25"/>
  <c r="E188" i="25"/>
  <c r="E189" i="25"/>
  <c r="E190" i="25"/>
  <c r="E191" i="25"/>
  <c r="E192" i="25"/>
  <c r="E193" i="25"/>
  <c r="E194" i="25"/>
  <c r="E195" i="25"/>
  <c r="E196" i="25"/>
  <c r="E197" i="25"/>
  <c r="E198" i="25"/>
  <c r="E199" i="25"/>
  <c r="E200" i="25"/>
  <c r="E201" i="25"/>
  <c r="E202" i="25"/>
  <c r="E203" i="25"/>
  <c r="E204" i="25"/>
  <c r="E205" i="25"/>
  <c r="E206" i="25"/>
  <c r="E207" i="25"/>
  <c r="E208" i="25"/>
  <c r="E209" i="25"/>
  <c r="E210" i="25"/>
  <c r="E211" i="25"/>
  <c r="E212" i="25"/>
  <c r="E213" i="25"/>
  <c r="E214" i="25"/>
  <c r="E215" i="25"/>
  <c r="E216" i="25"/>
  <c r="E217" i="25"/>
  <c r="E218" i="25"/>
  <c r="E219" i="25"/>
  <c r="E220" i="25"/>
  <c r="E221" i="25"/>
  <c r="E222" i="25"/>
  <c r="E223" i="25"/>
  <c r="E224" i="25"/>
  <c r="E225" i="25"/>
  <c r="E226" i="25"/>
  <c r="E227" i="25"/>
  <c r="E228" i="25"/>
  <c r="E229" i="25"/>
  <c r="E230" i="25"/>
  <c r="E231" i="25"/>
  <c r="E232" i="25"/>
  <c r="E233" i="25"/>
  <c r="E234" i="25"/>
  <c r="E235" i="25"/>
  <c r="E236" i="25"/>
  <c r="E237" i="25"/>
  <c r="E238" i="25"/>
  <c r="E239" i="25"/>
  <c r="E240" i="25"/>
  <c r="E241" i="25"/>
  <c r="E242" i="25"/>
  <c r="E243" i="25"/>
  <c r="E244" i="25"/>
  <c r="E245" i="25"/>
  <c r="E246" i="25"/>
  <c r="E247" i="25"/>
  <c r="E248" i="25"/>
  <c r="E249" i="25"/>
  <c r="E250" i="25"/>
  <c r="E251" i="25"/>
  <c r="E252" i="25"/>
  <c r="E253" i="25"/>
  <c r="E254" i="25"/>
  <c r="E255" i="25"/>
  <c r="E256" i="25"/>
  <c r="E257" i="25"/>
  <c r="E258" i="25"/>
  <c r="E259" i="25"/>
  <c r="E260" i="25"/>
  <c r="E261" i="25"/>
  <c r="E262" i="25"/>
  <c r="E263" i="25"/>
  <c r="E264" i="25"/>
  <c r="E265" i="25"/>
  <c r="E266" i="25"/>
  <c r="E267" i="25"/>
  <c r="E268" i="25"/>
  <c r="E269" i="25"/>
  <c r="E270" i="25"/>
  <c r="E271" i="25"/>
  <c r="E272" i="25"/>
  <c r="E273" i="25"/>
  <c r="E274" i="25"/>
  <c r="E275" i="25"/>
  <c r="E276" i="25"/>
  <c r="E277" i="25"/>
  <c r="E278" i="25"/>
  <c r="E279" i="25"/>
  <c r="E280" i="25"/>
  <c r="E281" i="25"/>
  <c r="E282" i="25"/>
  <c r="E283" i="25"/>
  <c r="E284" i="25"/>
  <c r="E285" i="25"/>
  <c r="E286" i="25"/>
  <c r="E287" i="25"/>
  <c r="E288" i="25"/>
  <c r="E289" i="25"/>
  <c r="E290" i="25"/>
  <c r="E291" i="25"/>
  <c r="E292" i="25"/>
  <c r="E293" i="25"/>
  <c r="E294" i="25"/>
  <c r="E295" i="25"/>
  <c r="E296" i="25"/>
  <c r="E297" i="25"/>
  <c r="E298" i="25"/>
  <c r="E299" i="25"/>
  <c r="E300" i="25"/>
  <c r="E301" i="25"/>
  <c r="E302" i="25"/>
  <c r="E303" i="25"/>
  <c r="E304" i="25"/>
  <c r="E305" i="25"/>
  <c r="E306" i="25"/>
  <c r="E307" i="25"/>
  <c r="E308" i="25"/>
  <c r="E309" i="25"/>
  <c r="E310" i="25"/>
  <c r="E311" i="25"/>
  <c r="E312" i="25"/>
  <c r="E313" i="25"/>
  <c r="E314" i="25"/>
  <c r="E315" i="25"/>
  <c r="E316" i="25"/>
  <c r="E317" i="25"/>
  <c r="E318" i="25"/>
  <c r="E319" i="25"/>
  <c r="E320" i="25"/>
  <c r="E321" i="25"/>
  <c r="E322" i="25"/>
  <c r="E323" i="25"/>
  <c r="E324" i="25"/>
  <c r="E325" i="25"/>
  <c r="E326" i="25"/>
  <c r="E327" i="25"/>
  <c r="E328" i="25"/>
  <c r="E329" i="25"/>
  <c r="E330" i="25"/>
  <c r="E331" i="25"/>
  <c r="E332" i="25"/>
  <c r="E333" i="25"/>
  <c r="E334" i="25"/>
  <c r="E335" i="25"/>
  <c r="E336" i="25"/>
  <c r="E337" i="25"/>
  <c r="E338" i="25"/>
  <c r="E339" i="25"/>
  <c r="E340" i="25"/>
  <c r="E341" i="25"/>
  <c r="E342" i="25"/>
  <c r="E343" i="25"/>
  <c r="E344" i="25"/>
  <c r="E345" i="25"/>
  <c r="E346" i="25"/>
  <c r="E347" i="25"/>
  <c r="E348" i="25"/>
  <c r="E349" i="25"/>
  <c r="E350" i="25"/>
  <c r="E351" i="25"/>
  <c r="E352" i="25"/>
  <c r="E353" i="25"/>
  <c r="E354" i="25"/>
  <c r="E355" i="25"/>
  <c r="E356" i="25"/>
  <c r="E357" i="25"/>
  <c r="E358" i="25"/>
  <c r="E359" i="25"/>
  <c r="E360" i="25"/>
  <c r="E361" i="25"/>
  <c r="E362" i="25"/>
  <c r="E363" i="25"/>
  <c r="E364" i="25"/>
  <c r="E365" i="25"/>
  <c r="E366" i="25"/>
  <c r="E367" i="25"/>
  <c r="E368" i="25"/>
  <c r="E369" i="25"/>
  <c r="E370" i="25"/>
  <c r="E371" i="25"/>
  <c r="E372" i="25"/>
  <c r="E373" i="25"/>
  <c r="E374" i="25"/>
  <c r="E375" i="25"/>
  <c r="E376" i="25"/>
  <c r="E377" i="25"/>
  <c r="E378" i="25"/>
  <c r="E379" i="25"/>
  <c r="E380" i="25"/>
  <c r="E381" i="25"/>
  <c r="E382" i="25"/>
  <c r="E383" i="25"/>
  <c r="E384" i="25"/>
  <c r="E385" i="25"/>
  <c r="E386" i="25"/>
  <c r="E387" i="25"/>
  <c r="E388" i="25"/>
  <c r="E389" i="25"/>
  <c r="E390" i="25"/>
  <c r="E391" i="25"/>
  <c r="E392" i="25"/>
  <c r="E393" i="25"/>
  <c r="E394" i="25"/>
  <c r="E395" i="25"/>
  <c r="E396" i="25"/>
  <c r="E492" i="25"/>
  <c r="E493" i="25"/>
  <c r="E494" i="25"/>
  <c r="E495" i="25"/>
  <c r="E496" i="25"/>
  <c r="E497" i="25"/>
  <c r="E498" i="25"/>
  <c r="E499" i="25"/>
  <c r="E500" i="25"/>
  <c r="E501" i="25"/>
  <c r="E502" i="25"/>
  <c r="E503" i="25"/>
  <c r="E504" i="25"/>
  <c r="E505" i="25"/>
  <c r="E506" i="25"/>
  <c r="E507" i="25"/>
  <c r="E508" i="25"/>
  <c r="E509" i="25"/>
  <c r="E510" i="25"/>
  <c r="E511" i="25"/>
  <c r="E512" i="25"/>
  <c r="E513" i="25"/>
  <c r="E514" i="25"/>
  <c r="E515" i="25"/>
  <c r="E516" i="25"/>
  <c r="E517" i="25"/>
  <c r="E518" i="25"/>
  <c r="E519" i="25"/>
  <c r="E520" i="25"/>
  <c r="E521" i="25"/>
  <c r="E522" i="25"/>
  <c r="E523" i="25"/>
  <c r="E524" i="25"/>
  <c r="E525" i="25"/>
  <c r="E526" i="25"/>
  <c r="E527" i="25"/>
  <c r="E528" i="25"/>
  <c r="E529" i="25"/>
  <c r="E530" i="25"/>
  <c r="E531" i="25"/>
  <c r="E532" i="25"/>
  <c r="E533" i="25"/>
  <c r="E534" i="25"/>
  <c r="E535" i="25"/>
  <c r="E536" i="25"/>
  <c r="E537" i="25"/>
  <c r="E538" i="25"/>
  <c r="E539" i="25"/>
  <c r="E540" i="25"/>
  <c r="E541" i="25"/>
  <c r="E542" i="25"/>
  <c r="E543" i="25"/>
  <c r="E544" i="25"/>
  <c r="E545" i="25"/>
  <c r="E546" i="25"/>
  <c r="E547" i="25"/>
  <c r="E548" i="25"/>
  <c r="E549" i="25"/>
  <c r="E550" i="25"/>
  <c r="E551" i="25"/>
  <c r="E552" i="25"/>
  <c r="E553" i="25"/>
  <c r="E554" i="25"/>
  <c r="E555" i="25"/>
  <c r="E556" i="25"/>
  <c r="E557" i="25"/>
  <c r="E558" i="25"/>
  <c r="E559" i="25"/>
  <c r="E560" i="25"/>
  <c r="E561" i="25"/>
  <c r="E562" i="25"/>
  <c r="E563" i="25"/>
  <c r="E564" i="25"/>
  <c r="E565" i="25"/>
  <c r="E566" i="25"/>
  <c r="E567" i="25"/>
  <c r="E568" i="25"/>
  <c r="E569" i="25"/>
  <c r="E570" i="25"/>
  <c r="E571" i="25"/>
  <c r="E572" i="25"/>
  <c r="E573" i="25"/>
  <c r="E574" i="25"/>
  <c r="E575" i="25"/>
  <c r="E576" i="25"/>
  <c r="E577" i="25"/>
  <c r="E578" i="25"/>
  <c r="E579" i="25"/>
  <c r="E580" i="25"/>
  <c r="E581" i="25"/>
  <c r="E582" i="25"/>
  <c r="E583" i="25"/>
  <c r="E584" i="25"/>
  <c r="E585" i="25"/>
  <c r="E586" i="25"/>
  <c r="E587" i="25"/>
  <c r="E588" i="25"/>
  <c r="E589" i="25"/>
  <c r="E590" i="25"/>
  <c r="E591" i="25"/>
  <c r="E592" i="25"/>
  <c r="E593" i="25"/>
  <c r="E594" i="25"/>
  <c r="E595" i="25"/>
  <c r="E596" i="25"/>
  <c r="E597" i="25"/>
  <c r="E598" i="25"/>
  <c r="E599" i="25"/>
  <c r="E600" i="25"/>
  <c r="E601" i="25"/>
  <c r="E602" i="25"/>
  <c r="E603" i="25"/>
  <c r="E604" i="25"/>
  <c r="E605" i="25"/>
  <c r="E606" i="25"/>
  <c r="E607" i="25"/>
  <c r="E608" i="25"/>
  <c r="E609" i="25"/>
  <c r="E610" i="25"/>
  <c r="E611" i="25"/>
  <c r="E612" i="25"/>
  <c r="E613" i="25"/>
  <c r="E614" i="25"/>
  <c r="E615" i="25"/>
  <c r="E616" i="25"/>
  <c r="E617" i="25"/>
  <c r="E618" i="25"/>
  <c r="E619" i="25"/>
  <c r="E620" i="25"/>
  <c r="E621" i="25"/>
  <c r="E622" i="25"/>
  <c r="E623" i="25"/>
  <c r="E624" i="25"/>
  <c r="E625" i="25"/>
  <c r="E626" i="25"/>
  <c r="E627" i="25"/>
  <c r="E628" i="25"/>
  <c r="E629" i="25"/>
  <c r="E630" i="25"/>
  <c r="E631" i="25"/>
  <c r="E632" i="25"/>
  <c r="E633" i="25"/>
  <c r="E634" i="25"/>
  <c r="E635" i="25"/>
  <c r="E636" i="25"/>
  <c r="E637" i="25"/>
  <c r="E638" i="25"/>
  <c r="E639" i="25"/>
  <c r="E640" i="25"/>
  <c r="E641" i="25"/>
  <c r="E642" i="25"/>
  <c r="D4" i="25"/>
  <c r="D5" i="25"/>
  <c r="B5" i="25" s="1"/>
  <c r="D6" i="25"/>
  <c r="D7" i="25"/>
  <c r="D8" i="25"/>
  <c r="D9" i="25"/>
  <c r="D10" i="25"/>
  <c r="D11" i="25"/>
  <c r="B11" i="25" s="1"/>
  <c r="D12" i="25"/>
  <c r="D13" i="25"/>
  <c r="B13" i="25" s="1"/>
  <c r="D14" i="25"/>
  <c r="D15" i="25"/>
  <c r="D16" i="25"/>
  <c r="D17" i="25"/>
  <c r="D18" i="25"/>
  <c r="D19" i="25"/>
  <c r="B19" i="25" s="1"/>
  <c r="D20" i="25"/>
  <c r="D21" i="25"/>
  <c r="B21" i="25" s="1"/>
  <c r="D22" i="25"/>
  <c r="D23" i="25"/>
  <c r="D24" i="25"/>
  <c r="D25" i="25"/>
  <c r="D26" i="25"/>
  <c r="B26" i="25" s="1"/>
  <c r="D27" i="25"/>
  <c r="B27" i="25" s="1"/>
  <c r="D28" i="25"/>
  <c r="D29" i="25"/>
  <c r="B29" i="25" s="1"/>
  <c r="D30" i="25"/>
  <c r="D31" i="25"/>
  <c r="D32" i="25"/>
  <c r="D33" i="25"/>
  <c r="D34" i="25"/>
  <c r="B34" i="25" s="1"/>
  <c r="D35" i="25"/>
  <c r="B35" i="25" s="1"/>
  <c r="D36" i="25"/>
  <c r="D37" i="25"/>
  <c r="B37" i="25" s="1"/>
  <c r="D114" i="25"/>
  <c r="D115" i="25"/>
  <c r="D116" i="25"/>
  <c r="D117" i="25"/>
  <c r="D118" i="25"/>
  <c r="B118" i="25" s="1"/>
  <c r="D119" i="25"/>
  <c r="B119" i="25" s="1"/>
  <c r="D120" i="25"/>
  <c r="D121" i="25"/>
  <c r="B121" i="25" s="1"/>
  <c r="D122" i="25"/>
  <c r="D123" i="25"/>
  <c r="D124" i="25"/>
  <c r="D125" i="25"/>
  <c r="D126" i="25"/>
  <c r="B126" i="25" s="1"/>
  <c r="D127" i="25"/>
  <c r="B127" i="25" s="1"/>
  <c r="D128" i="25"/>
  <c r="D129" i="25"/>
  <c r="B129" i="25" s="1"/>
  <c r="D130" i="25"/>
  <c r="D131" i="25"/>
  <c r="D132" i="25"/>
  <c r="D133" i="25"/>
  <c r="D134" i="25"/>
  <c r="B134" i="25" s="1"/>
  <c r="D135" i="25"/>
  <c r="B135" i="25" s="1"/>
  <c r="D136" i="25"/>
  <c r="D137" i="25"/>
  <c r="B137" i="25" s="1"/>
  <c r="D148" i="25"/>
  <c r="D149" i="25"/>
  <c r="D150" i="25"/>
  <c r="D151" i="25"/>
  <c r="D152" i="25"/>
  <c r="B152" i="25" s="1"/>
  <c r="D153" i="25"/>
  <c r="B153" i="25" s="1"/>
  <c r="D154" i="25"/>
  <c r="D155" i="25"/>
  <c r="B155" i="25" s="1"/>
  <c r="D156" i="25"/>
  <c r="D157" i="25"/>
  <c r="D167" i="25"/>
  <c r="D168" i="25"/>
  <c r="D169" i="25"/>
  <c r="B169" i="25" s="1"/>
  <c r="D170" i="25"/>
  <c r="B170" i="25" s="1"/>
  <c r="D171" i="25"/>
  <c r="D172" i="25"/>
  <c r="B172" i="25" s="1"/>
  <c r="D173" i="25"/>
  <c r="D174" i="25"/>
  <c r="D175" i="25"/>
  <c r="D176" i="25"/>
  <c r="D177" i="25"/>
  <c r="B177" i="25" s="1"/>
  <c r="D178" i="25"/>
  <c r="B178" i="25" s="1"/>
  <c r="D179" i="25"/>
  <c r="D180" i="25"/>
  <c r="B180" i="25" s="1"/>
  <c r="D181" i="25"/>
  <c r="D182" i="25"/>
  <c r="D183" i="25"/>
  <c r="D184" i="25"/>
  <c r="D185" i="25"/>
  <c r="B185" i="25" s="1"/>
  <c r="D186" i="25"/>
  <c r="B186" i="25" s="1"/>
  <c r="D187" i="25"/>
  <c r="D188" i="25"/>
  <c r="B188" i="25" s="1"/>
  <c r="D189" i="25"/>
  <c r="D190" i="25"/>
  <c r="D191" i="25"/>
  <c r="D192" i="25"/>
  <c r="D193" i="25"/>
  <c r="B193" i="25" s="1"/>
  <c r="D194" i="25"/>
  <c r="B194" i="25" s="1"/>
  <c r="D195" i="25"/>
  <c r="D196" i="25"/>
  <c r="B196" i="25" s="1"/>
  <c r="D197" i="25"/>
  <c r="D198" i="25"/>
  <c r="D199" i="25"/>
  <c r="D200" i="25"/>
  <c r="D201" i="25"/>
  <c r="B201" i="25" s="1"/>
  <c r="D202" i="25"/>
  <c r="B202" i="25" s="1"/>
  <c r="D203" i="25"/>
  <c r="D204" i="25"/>
  <c r="B204" i="25" s="1"/>
  <c r="D205" i="25"/>
  <c r="D206" i="25"/>
  <c r="D207" i="25"/>
  <c r="D208" i="25"/>
  <c r="D209" i="25"/>
  <c r="B209" i="25" s="1"/>
  <c r="D210" i="25"/>
  <c r="B210" i="25" s="1"/>
  <c r="D211" i="25"/>
  <c r="D212" i="25"/>
  <c r="B212" i="25" s="1"/>
  <c r="D213" i="25"/>
  <c r="D214" i="25"/>
  <c r="D215" i="25"/>
  <c r="D216" i="25"/>
  <c r="D217" i="25"/>
  <c r="B217" i="25" s="1"/>
  <c r="D218" i="25"/>
  <c r="B218" i="25" s="1"/>
  <c r="D219" i="25"/>
  <c r="D220" i="25"/>
  <c r="B220" i="25" s="1"/>
  <c r="D221" i="25"/>
  <c r="D222" i="25"/>
  <c r="D223" i="25"/>
  <c r="D224" i="25"/>
  <c r="D225" i="25"/>
  <c r="B225" i="25" s="1"/>
  <c r="D226" i="25"/>
  <c r="B226" i="25" s="1"/>
  <c r="D227" i="25"/>
  <c r="D228" i="25"/>
  <c r="B228" i="25" s="1"/>
  <c r="D229" i="25"/>
  <c r="D230" i="25"/>
  <c r="D231" i="25"/>
  <c r="D232" i="25"/>
  <c r="D233" i="25"/>
  <c r="B233" i="25" s="1"/>
  <c r="D234" i="25"/>
  <c r="B234" i="25" s="1"/>
  <c r="D235" i="25"/>
  <c r="D236" i="25"/>
  <c r="B236" i="25" s="1"/>
  <c r="D237" i="25"/>
  <c r="D238" i="25"/>
  <c r="D239" i="25"/>
  <c r="D240" i="25"/>
  <c r="D241" i="25"/>
  <c r="B241" i="25" s="1"/>
  <c r="D242" i="25"/>
  <c r="B242" i="25" s="1"/>
  <c r="D243" i="25"/>
  <c r="D244" i="25"/>
  <c r="B244" i="25" s="1"/>
  <c r="D245" i="25"/>
  <c r="D246" i="25"/>
  <c r="D247" i="25"/>
  <c r="D248" i="25"/>
  <c r="D249" i="25"/>
  <c r="B249" i="25" s="1"/>
  <c r="D250" i="25"/>
  <c r="B250" i="25" s="1"/>
  <c r="D251" i="25"/>
  <c r="D252" i="25"/>
  <c r="B252" i="25" s="1"/>
  <c r="D253" i="25"/>
  <c r="D254" i="25"/>
  <c r="D255" i="25"/>
  <c r="D256" i="25"/>
  <c r="D257" i="25"/>
  <c r="B257" i="25" s="1"/>
  <c r="D258" i="25"/>
  <c r="B258" i="25" s="1"/>
  <c r="D259" i="25"/>
  <c r="D260" i="25"/>
  <c r="B260" i="25" s="1"/>
  <c r="D261" i="25"/>
  <c r="D262" i="25"/>
  <c r="D263" i="25"/>
  <c r="D264" i="25"/>
  <c r="D265" i="25"/>
  <c r="B265" i="25" s="1"/>
  <c r="D266" i="25"/>
  <c r="B266" i="25" s="1"/>
  <c r="D267" i="25"/>
  <c r="D268" i="25"/>
  <c r="B268" i="25" s="1"/>
  <c r="D269" i="25"/>
  <c r="D270" i="25"/>
  <c r="D271" i="25"/>
  <c r="D272" i="25"/>
  <c r="D273" i="25"/>
  <c r="B273" i="25" s="1"/>
  <c r="D274" i="25"/>
  <c r="B274" i="25" s="1"/>
  <c r="D275" i="25"/>
  <c r="D276" i="25"/>
  <c r="B276" i="25" s="1"/>
  <c r="D277" i="25"/>
  <c r="D278" i="25"/>
  <c r="D279" i="25"/>
  <c r="D280" i="25"/>
  <c r="D281" i="25"/>
  <c r="B281" i="25" s="1"/>
  <c r="D282" i="25"/>
  <c r="B282" i="25" s="1"/>
  <c r="D283" i="25"/>
  <c r="D284" i="25"/>
  <c r="B284" i="25" s="1"/>
  <c r="D285" i="25"/>
  <c r="D286" i="25"/>
  <c r="D287" i="25"/>
  <c r="D288" i="25"/>
  <c r="D289" i="25"/>
  <c r="B289" i="25" s="1"/>
  <c r="D290" i="25"/>
  <c r="B290" i="25" s="1"/>
  <c r="D291" i="25"/>
  <c r="D292" i="25"/>
  <c r="B292" i="25" s="1"/>
  <c r="D293" i="25"/>
  <c r="D294" i="25"/>
  <c r="D295" i="25"/>
  <c r="D296" i="25"/>
  <c r="D297" i="25"/>
  <c r="B297" i="25" s="1"/>
  <c r="D298" i="25"/>
  <c r="B298" i="25" s="1"/>
  <c r="D299" i="25"/>
  <c r="D300" i="25"/>
  <c r="B300" i="25" s="1"/>
  <c r="D301" i="25"/>
  <c r="D302" i="25"/>
  <c r="D303" i="25"/>
  <c r="D304" i="25"/>
  <c r="D305" i="25"/>
  <c r="B305" i="25" s="1"/>
  <c r="D306" i="25"/>
  <c r="B306" i="25" s="1"/>
  <c r="D307" i="25"/>
  <c r="D308" i="25"/>
  <c r="B308" i="25" s="1"/>
  <c r="D309" i="25"/>
  <c r="D310" i="25"/>
  <c r="D311" i="25"/>
  <c r="D312" i="25"/>
  <c r="D313" i="25"/>
  <c r="B313" i="25" s="1"/>
  <c r="D314" i="25"/>
  <c r="B314" i="25" s="1"/>
  <c r="D315" i="25"/>
  <c r="D316" i="25"/>
  <c r="B316" i="25" s="1"/>
  <c r="D317" i="25"/>
  <c r="D318" i="25"/>
  <c r="D319" i="25"/>
  <c r="D320" i="25"/>
  <c r="D321" i="25"/>
  <c r="B321" i="25" s="1"/>
  <c r="D322" i="25"/>
  <c r="B322" i="25" s="1"/>
  <c r="D323" i="25"/>
  <c r="D324" i="25"/>
  <c r="B324" i="25" s="1"/>
  <c r="D325" i="25"/>
  <c r="D326" i="25"/>
  <c r="D327" i="25"/>
  <c r="D328" i="25"/>
  <c r="D329" i="25"/>
  <c r="B329" i="25" s="1"/>
  <c r="D330" i="25"/>
  <c r="B330" i="25" s="1"/>
  <c r="D331" i="25"/>
  <c r="D332" i="25"/>
  <c r="B332" i="25" s="1"/>
  <c r="D333" i="25"/>
  <c r="D334" i="25"/>
  <c r="D335" i="25"/>
  <c r="D336" i="25"/>
  <c r="D337" i="25"/>
  <c r="B337" i="25" s="1"/>
  <c r="D338" i="25"/>
  <c r="B338" i="25" s="1"/>
  <c r="D339" i="25"/>
  <c r="D340" i="25"/>
  <c r="B340" i="25" s="1"/>
  <c r="D341" i="25"/>
  <c r="D342" i="25"/>
  <c r="D343" i="25"/>
  <c r="D344" i="25"/>
  <c r="D345" i="25"/>
  <c r="B345" i="25" s="1"/>
  <c r="D346" i="25"/>
  <c r="B346" i="25" s="1"/>
  <c r="D347" i="25"/>
  <c r="D348" i="25"/>
  <c r="B348" i="25" s="1"/>
  <c r="D349" i="25"/>
  <c r="D350" i="25"/>
  <c r="D351" i="25"/>
  <c r="D352" i="25"/>
  <c r="D353" i="25"/>
  <c r="B353" i="25" s="1"/>
  <c r="D354" i="25"/>
  <c r="B354" i="25" s="1"/>
  <c r="D355" i="25"/>
  <c r="D356" i="25"/>
  <c r="B356" i="25" s="1"/>
  <c r="D357" i="25"/>
  <c r="D358" i="25"/>
  <c r="D359" i="25"/>
  <c r="D360" i="25"/>
  <c r="D361" i="25"/>
  <c r="B361" i="25" s="1"/>
  <c r="D362" i="25"/>
  <c r="B362" i="25" s="1"/>
  <c r="D363" i="25"/>
  <c r="D364" i="25"/>
  <c r="B364" i="25" s="1"/>
  <c r="D365" i="25"/>
  <c r="D366" i="25"/>
  <c r="D367" i="25"/>
  <c r="D368" i="25"/>
  <c r="D369" i="25"/>
  <c r="B369" i="25" s="1"/>
  <c r="D370" i="25"/>
  <c r="B370" i="25" s="1"/>
  <c r="D371" i="25"/>
  <c r="D372" i="25"/>
  <c r="B372" i="25" s="1"/>
  <c r="D373" i="25"/>
  <c r="D374" i="25"/>
  <c r="D375" i="25"/>
  <c r="D376" i="25"/>
  <c r="D377" i="25"/>
  <c r="B377" i="25" s="1"/>
  <c r="D378" i="25"/>
  <c r="B378" i="25" s="1"/>
  <c r="D379" i="25"/>
  <c r="D380" i="25"/>
  <c r="B380" i="25" s="1"/>
  <c r="D381" i="25"/>
  <c r="D382" i="25"/>
  <c r="D383" i="25"/>
  <c r="D384" i="25"/>
  <c r="D385" i="25"/>
  <c r="B385" i="25" s="1"/>
  <c r="D386" i="25"/>
  <c r="B386" i="25" s="1"/>
  <c r="D387" i="25"/>
  <c r="D388" i="25"/>
  <c r="B388" i="25" s="1"/>
  <c r="D389" i="25"/>
  <c r="D390" i="25"/>
  <c r="D391" i="25"/>
  <c r="D392" i="25"/>
  <c r="D393" i="25"/>
  <c r="B393" i="25" s="1"/>
  <c r="D394" i="25"/>
  <c r="B394" i="25" s="1"/>
  <c r="D395" i="25"/>
  <c r="D396" i="25"/>
  <c r="B396" i="25" s="1"/>
  <c r="D492" i="25"/>
  <c r="D493" i="25"/>
  <c r="D494" i="25"/>
  <c r="D495" i="25"/>
  <c r="D496" i="25"/>
  <c r="B496" i="25" s="1"/>
  <c r="D497" i="25"/>
  <c r="B497" i="25" s="1"/>
  <c r="D498" i="25"/>
  <c r="D499" i="25"/>
  <c r="B499" i="25" s="1"/>
  <c r="D500" i="25"/>
  <c r="D501" i="25"/>
  <c r="D502" i="25"/>
  <c r="D503" i="25"/>
  <c r="D504" i="25"/>
  <c r="B504" i="25" s="1"/>
  <c r="D505" i="25"/>
  <c r="B505" i="25" s="1"/>
  <c r="D506" i="25"/>
  <c r="D507" i="25"/>
  <c r="B507" i="25" s="1"/>
  <c r="D508" i="25"/>
  <c r="D509" i="25"/>
  <c r="D510" i="25"/>
  <c r="D511" i="25"/>
  <c r="D512" i="25"/>
  <c r="B512" i="25" s="1"/>
  <c r="D513" i="25"/>
  <c r="B513" i="25" s="1"/>
  <c r="D514" i="25"/>
  <c r="D515" i="25"/>
  <c r="B515" i="25" s="1"/>
  <c r="D516" i="25"/>
  <c r="D517" i="25"/>
  <c r="D518" i="25"/>
  <c r="D519" i="25"/>
  <c r="D520" i="25"/>
  <c r="B520" i="25" s="1"/>
  <c r="D521" i="25"/>
  <c r="B521" i="25" s="1"/>
  <c r="D522" i="25"/>
  <c r="D523" i="25"/>
  <c r="B523" i="25" s="1"/>
  <c r="D524" i="25"/>
  <c r="D525" i="25"/>
  <c r="D526" i="25"/>
  <c r="D527" i="25"/>
  <c r="D528" i="25"/>
  <c r="B528" i="25" s="1"/>
  <c r="D529" i="25"/>
  <c r="B529" i="25" s="1"/>
  <c r="D530" i="25"/>
  <c r="D531" i="25"/>
  <c r="B531" i="25" s="1"/>
  <c r="D532" i="25"/>
  <c r="D533" i="25"/>
  <c r="D534" i="25"/>
  <c r="D535" i="25"/>
  <c r="D536" i="25"/>
  <c r="B536" i="25" s="1"/>
  <c r="D537" i="25"/>
  <c r="B537" i="25" s="1"/>
  <c r="D538" i="25"/>
  <c r="D539" i="25"/>
  <c r="B539" i="25" s="1"/>
  <c r="D540" i="25"/>
  <c r="D541" i="25"/>
  <c r="D542" i="25"/>
  <c r="D543" i="25"/>
  <c r="D544" i="25"/>
  <c r="B544" i="25" s="1"/>
  <c r="D545" i="25"/>
  <c r="B545" i="25" s="1"/>
  <c r="D546" i="25"/>
  <c r="D547" i="25"/>
  <c r="B547" i="25" s="1"/>
  <c r="D548" i="25"/>
  <c r="D549" i="25"/>
  <c r="D550" i="25"/>
  <c r="D551" i="25"/>
  <c r="D552" i="25"/>
  <c r="B552" i="25" s="1"/>
  <c r="D553" i="25"/>
  <c r="B553" i="25" s="1"/>
  <c r="D554" i="25"/>
  <c r="D555" i="25"/>
  <c r="B555" i="25" s="1"/>
  <c r="D556" i="25"/>
  <c r="D557" i="25"/>
  <c r="D558" i="25"/>
  <c r="D559" i="25"/>
  <c r="D560" i="25"/>
  <c r="B560" i="25" s="1"/>
  <c r="D561" i="25"/>
  <c r="B561" i="25" s="1"/>
  <c r="D562" i="25"/>
  <c r="D563" i="25"/>
  <c r="B563" i="25" s="1"/>
  <c r="D564" i="25"/>
  <c r="D565" i="25"/>
  <c r="D566" i="25"/>
  <c r="D567" i="25"/>
  <c r="D568" i="25"/>
  <c r="B568" i="25" s="1"/>
  <c r="D569" i="25"/>
  <c r="B569" i="25" s="1"/>
  <c r="D570" i="25"/>
  <c r="D571" i="25"/>
  <c r="B571" i="25" s="1"/>
  <c r="D572" i="25"/>
  <c r="D573" i="25"/>
  <c r="D574" i="25"/>
  <c r="D575" i="25"/>
  <c r="D576" i="25"/>
  <c r="B576" i="25" s="1"/>
  <c r="D577" i="25"/>
  <c r="B577" i="25" s="1"/>
  <c r="D578" i="25"/>
  <c r="D579" i="25"/>
  <c r="B579" i="25" s="1"/>
  <c r="D580" i="25"/>
  <c r="D581" i="25"/>
  <c r="D582" i="25"/>
  <c r="D583" i="25"/>
  <c r="D584" i="25"/>
  <c r="B584" i="25" s="1"/>
  <c r="D585" i="25"/>
  <c r="B585" i="25" s="1"/>
  <c r="D586" i="25"/>
  <c r="D587" i="25"/>
  <c r="B587" i="25" s="1"/>
  <c r="D588" i="25"/>
  <c r="D589" i="25"/>
  <c r="D590" i="25"/>
  <c r="D591" i="25"/>
  <c r="D592" i="25"/>
  <c r="B592" i="25" s="1"/>
  <c r="D593" i="25"/>
  <c r="B593" i="25" s="1"/>
  <c r="D594" i="25"/>
  <c r="D595" i="25"/>
  <c r="B595" i="25" s="1"/>
  <c r="D596" i="25"/>
  <c r="D597" i="25"/>
  <c r="D598" i="25"/>
  <c r="D599" i="25"/>
  <c r="D600" i="25"/>
  <c r="B600" i="25" s="1"/>
  <c r="D601" i="25"/>
  <c r="B601" i="25" s="1"/>
  <c r="D602" i="25"/>
  <c r="D603" i="25"/>
  <c r="B603" i="25" s="1"/>
  <c r="D604" i="25"/>
  <c r="D605" i="25"/>
  <c r="D606" i="25"/>
  <c r="D607" i="25"/>
  <c r="D608" i="25"/>
  <c r="B608" i="25" s="1"/>
  <c r="D609" i="25"/>
  <c r="B609" i="25" s="1"/>
  <c r="D610" i="25"/>
  <c r="D611" i="25"/>
  <c r="B611" i="25" s="1"/>
  <c r="D612" i="25"/>
  <c r="D613" i="25"/>
  <c r="D614" i="25"/>
  <c r="D615" i="25"/>
  <c r="D616" i="25"/>
  <c r="B616" i="25" s="1"/>
  <c r="D617" i="25"/>
  <c r="B617" i="25" s="1"/>
  <c r="D618" i="25"/>
  <c r="D619" i="25"/>
  <c r="B619" i="25" s="1"/>
  <c r="D620" i="25"/>
  <c r="D621" i="25"/>
  <c r="D622" i="25"/>
  <c r="D623" i="25"/>
  <c r="D624" i="25"/>
  <c r="B624" i="25" s="1"/>
  <c r="D625" i="25"/>
  <c r="B625" i="25" s="1"/>
  <c r="D626" i="25"/>
  <c r="D627" i="25"/>
  <c r="B627" i="25" s="1"/>
  <c r="D628" i="25"/>
  <c r="D629" i="25"/>
  <c r="D630" i="25"/>
  <c r="D631" i="25"/>
  <c r="D632" i="25"/>
  <c r="B632" i="25" s="1"/>
  <c r="D633" i="25"/>
  <c r="B633" i="25" s="1"/>
  <c r="D634" i="25"/>
  <c r="D635" i="25"/>
  <c r="B635" i="25" s="1"/>
  <c r="D636" i="25"/>
  <c r="D637" i="25"/>
  <c r="D638" i="25"/>
  <c r="D639" i="25"/>
  <c r="D640" i="25"/>
  <c r="B640" i="25" s="1"/>
  <c r="D641" i="25"/>
  <c r="B641" i="25" s="1"/>
  <c r="D642" i="25"/>
  <c r="D3" i="25"/>
  <c r="B3" i="25" s="1"/>
  <c r="E3" i="25"/>
  <c r="I628" i="25"/>
  <c r="J628" i="25"/>
  <c r="K628" i="25"/>
  <c r="L628" i="25"/>
  <c r="N628" i="25"/>
  <c r="O628" i="25"/>
  <c r="T628" i="25"/>
  <c r="U628" i="25"/>
  <c r="I629" i="25"/>
  <c r="J629" i="25"/>
  <c r="K629" i="25"/>
  <c r="L629" i="25"/>
  <c r="N629" i="25"/>
  <c r="O629" i="25"/>
  <c r="T629" i="25"/>
  <c r="U629" i="25"/>
  <c r="I630" i="25"/>
  <c r="J630" i="25"/>
  <c r="K630" i="25"/>
  <c r="L630" i="25"/>
  <c r="N630" i="25"/>
  <c r="O630" i="25"/>
  <c r="T630" i="25"/>
  <c r="U630" i="25"/>
  <c r="I631" i="25"/>
  <c r="J631" i="25"/>
  <c r="K631" i="25"/>
  <c r="L631" i="25"/>
  <c r="N631" i="25"/>
  <c r="O631" i="25"/>
  <c r="T631" i="25"/>
  <c r="U631" i="25"/>
  <c r="I632" i="25"/>
  <c r="J632" i="25"/>
  <c r="K632" i="25"/>
  <c r="L632" i="25"/>
  <c r="N632" i="25"/>
  <c r="O632" i="25"/>
  <c r="T632" i="25"/>
  <c r="U632" i="25"/>
  <c r="I633" i="25"/>
  <c r="J633" i="25"/>
  <c r="K633" i="25"/>
  <c r="L633" i="25"/>
  <c r="N633" i="25"/>
  <c r="O633" i="25"/>
  <c r="T633" i="25"/>
  <c r="U633" i="25"/>
  <c r="I634" i="25"/>
  <c r="J634" i="25"/>
  <c r="K634" i="25"/>
  <c r="L634" i="25"/>
  <c r="N634" i="25"/>
  <c r="O634" i="25"/>
  <c r="T634" i="25"/>
  <c r="U634" i="25"/>
  <c r="I635" i="25"/>
  <c r="J635" i="25"/>
  <c r="K635" i="25"/>
  <c r="L635" i="25"/>
  <c r="N635" i="25"/>
  <c r="O635" i="25"/>
  <c r="T635" i="25"/>
  <c r="U635" i="25"/>
  <c r="I636" i="25"/>
  <c r="J636" i="25"/>
  <c r="K636" i="25"/>
  <c r="L636" i="25"/>
  <c r="N636" i="25"/>
  <c r="O636" i="25"/>
  <c r="T636" i="25"/>
  <c r="U636" i="25"/>
  <c r="I637" i="25"/>
  <c r="J637" i="25"/>
  <c r="K637" i="25"/>
  <c r="L637" i="25"/>
  <c r="N637" i="25"/>
  <c r="O637" i="25"/>
  <c r="T637" i="25"/>
  <c r="U637" i="25"/>
  <c r="I638" i="25"/>
  <c r="J638" i="25"/>
  <c r="K638" i="25"/>
  <c r="L638" i="25"/>
  <c r="N638" i="25"/>
  <c r="O638" i="25"/>
  <c r="T638" i="25"/>
  <c r="U638" i="25"/>
  <c r="I639" i="25"/>
  <c r="J639" i="25"/>
  <c r="K639" i="25"/>
  <c r="L639" i="25"/>
  <c r="N639" i="25"/>
  <c r="O639" i="25"/>
  <c r="T639" i="25"/>
  <c r="U639" i="25"/>
  <c r="I640" i="25"/>
  <c r="J640" i="25"/>
  <c r="K640" i="25"/>
  <c r="L640" i="25"/>
  <c r="N640" i="25"/>
  <c r="O640" i="25"/>
  <c r="T640" i="25"/>
  <c r="U640" i="25"/>
  <c r="I641" i="25"/>
  <c r="J641" i="25"/>
  <c r="K641" i="25"/>
  <c r="L641" i="25"/>
  <c r="N641" i="25"/>
  <c r="O641" i="25"/>
  <c r="T641" i="25"/>
  <c r="U641" i="25"/>
  <c r="I642" i="25"/>
  <c r="J642" i="25"/>
  <c r="K642" i="25"/>
  <c r="L642" i="25"/>
  <c r="N642" i="25"/>
  <c r="O642" i="25"/>
  <c r="T642" i="25"/>
  <c r="U642" i="25"/>
  <c r="J627" i="25"/>
  <c r="K627" i="25"/>
  <c r="L627" i="25"/>
  <c r="N627" i="25"/>
  <c r="O627" i="25"/>
  <c r="T627" i="25"/>
  <c r="U627" i="25"/>
  <c r="I627" i="25"/>
  <c r="I605" i="25"/>
  <c r="J605" i="25"/>
  <c r="K605" i="25"/>
  <c r="L605" i="25"/>
  <c r="M605" i="25"/>
  <c r="N605" i="25"/>
  <c r="O605" i="25"/>
  <c r="Q605" i="25"/>
  <c r="S605" i="25"/>
  <c r="T605" i="25"/>
  <c r="U605" i="25"/>
  <c r="V605" i="25"/>
  <c r="W605" i="25"/>
  <c r="X605" i="25"/>
  <c r="Y605" i="25"/>
  <c r="Z605" i="25"/>
  <c r="AA605" i="25"/>
  <c r="AB605" i="25"/>
  <c r="I606" i="25"/>
  <c r="J606" i="25"/>
  <c r="K606" i="25"/>
  <c r="L606" i="25"/>
  <c r="M606" i="25"/>
  <c r="N606" i="25"/>
  <c r="O606" i="25"/>
  <c r="P606" i="25"/>
  <c r="Q606" i="25"/>
  <c r="S606" i="25"/>
  <c r="T606" i="25"/>
  <c r="U606" i="25"/>
  <c r="V606" i="25"/>
  <c r="W606" i="25"/>
  <c r="X606" i="25"/>
  <c r="Y606" i="25"/>
  <c r="Z606" i="25"/>
  <c r="AA606" i="25"/>
  <c r="AB606" i="25"/>
  <c r="I607" i="25"/>
  <c r="J607" i="25"/>
  <c r="K607" i="25"/>
  <c r="L607" i="25"/>
  <c r="M607" i="25"/>
  <c r="N607" i="25"/>
  <c r="O607" i="25"/>
  <c r="Q607" i="25"/>
  <c r="S607" i="25"/>
  <c r="T607" i="25"/>
  <c r="U607" i="25"/>
  <c r="V607" i="25"/>
  <c r="W607" i="25"/>
  <c r="X607" i="25"/>
  <c r="Y607" i="25"/>
  <c r="Z607" i="25"/>
  <c r="AA607" i="25"/>
  <c r="AB607" i="25"/>
  <c r="I608" i="25"/>
  <c r="J608" i="25"/>
  <c r="K608" i="25"/>
  <c r="L608" i="25"/>
  <c r="M608" i="25"/>
  <c r="N608" i="25"/>
  <c r="O608" i="25"/>
  <c r="Q608" i="25"/>
  <c r="S608" i="25"/>
  <c r="T608" i="25"/>
  <c r="U608" i="25"/>
  <c r="V608" i="25"/>
  <c r="W608" i="25"/>
  <c r="X608" i="25"/>
  <c r="Y608" i="25"/>
  <c r="Z608" i="25"/>
  <c r="AA608" i="25"/>
  <c r="AB608" i="25"/>
  <c r="I609" i="25"/>
  <c r="J609" i="25"/>
  <c r="K609" i="25"/>
  <c r="L609" i="25"/>
  <c r="M609" i="25"/>
  <c r="N609" i="25"/>
  <c r="O609" i="25"/>
  <c r="Q609" i="25"/>
  <c r="S609" i="25"/>
  <c r="T609" i="25"/>
  <c r="U609" i="25"/>
  <c r="V609" i="25"/>
  <c r="W609" i="25"/>
  <c r="X609" i="25"/>
  <c r="Y609" i="25"/>
  <c r="Z609" i="25"/>
  <c r="AA609" i="25"/>
  <c r="AB609" i="25"/>
  <c r="I610" i="25"/>
  <c r="J610" i="25"/>
  <c r="K610" i="25"/>
  <c r="L610" i="25"/>
  <c r="M610" i="25"/>
  <c r="N610" i="25"/>
  <c r="O610" i="25"/>
  <c r="Q610" i="25"/>
  <c r="S610" i="25"/>
  <c r="T610" i="25"/>
  <c r="U610" i="25"/>
  <c r="V610" i="25"/>
  <c r="W610" i="25"/>
  <c r="X610" i="25"/>
  <c r="Y610" i="25"/>
  <c r="Z610" i="25"/>
  <c r="AA610" i="25"/>
  <c r="AB610" i="25"/>
  <c r="I611" i="25"/>
  <c r="J611" i="25"/>
  <c r="K611" i="25"/>
  <c r="L611" i="25"/>
  <c r="M611" i="25"/>
  <c r="N611" i="25"/>
  <c r="O611" i="25"/>
  <c r="Q611" i="25"/>
  <c r="S611" i="25"/>
  <c r="T611" i="25"/>
  <c r="U611" i="25"/>
  <c r="V611" i="25"/>
  <c r="W611" i="25"/>
  <c r="X611" i="25"/>
  <c r="Y611" i="25"/>
  <c r="Z611" i="25"/>
  <c r="AA611" i="25"/>
  <c r="AB611" i="25"/>
  <c r="I612" i="25"/>
  <c r="J612" i="25"/>
  <c r="K612" i="25"/>
  <c r="L612" i="25"/>
  <c r="M612" i="25"/>
  <c r="N612" i="25"/>
  <c r="O612" i="25"/>
  <c r="P612" i="25"/>
  <c r="Q612" i="25"/>
  <c r="S612" i="25"/>
  <c r="T612" i="25"/>
  <c r="U612" i="25"/>
  <c r="V612" i="25"/>
  <c r="W612" i="25"/>
  <c r="X612" i="25"/>
  <c r="Y612" i="25"/>
  <c r="Z612" i="25"/>
  <c r="AA612" i="25"/>
  <c r="AB612" i="25"/>
  <c r="I613" i="25"/>
  <c r="J613" i="25"/>
  <c r="K613" i="25"/>
  <c r="L613" i="25"/>
  <c r="M613" i="25"/>
  <c r="N613" i="25"/>
  <c r="O613" i="25"/>
  <c r="Q613" i="25"/>
  <c r="S613" i="25"/>
  <c r="T613" i="25"/>
  <c r="U613" i="25"/>
  <c r="V613" i="25"/>
  <c r="W613" i="25"/>
  <c r="X613" i="25"/>
  <c r="Y613" i="25"/>
  <c r="Z613" i="25"/>
  <c r="AA613" i="25"/>
  <c r="AB613" i="25"/>
  <c r="I614" i="25"/>
  <c r="J614" i="25"/>
  <c r="K614" i="25"/>
  <c r="L614" i="25"/>
  <c r="M614" i="25"/>
  <c r="N614" i="25"/>
  <c r="O614" i="25"/>
  <c r="P614" i="25"/>
  <c r="Q614" i="25"/>
  <c r="S614" i="25"/>
  <c r="T614" i="25"/>
  <c r="U614" i="25"/>
  <c r="V614" i="25"/>
  <c r="W614" i="25"/>
  <c r="X614" i="25"/>
  <c r="Y614" i="25"/>
  <c r="Z614" i="25"/>
  <c r="AA614" i="25"/>
  <c r="AB614" i="25"/>
  <c r="I615" i="25"/>
  <c r="J615" i="25"/>
  <c r="K615" i="25"/>
  <c r="L615" i="25"/>
  <c r="M615" i="25"/>
  <c r="N615" i="25"/>
  <c r="O615" i="25"/>
  <c r="Q615" i="25"/>
  <c r="S615" i="25"/>
  <c r="T615" i="25"/>
  <c r="U615" i="25"/>
  <c r="V615" i="25"/>
  <c r="W615" i="25"/>
  <c r="X615" i="25"/>
  <c r="Y615" i="25"/>
  <c r="Z615" i="25"/>
  <c r="AA615" i="25"/>
  <c r="AB615" i="25"/>
  <c r="I616" i="25"/>
  <c r="J616" i="25"/>
  <c r="K616" i="25"/>
  <c r="L616" i="25"/>
  <c r="M616" i="25"/>
  <c r="N616" i="25"/>
  <c r="O616" i="25"/>
  <c r="Q616" i="25"/>
  <c r="S616" i="25"/>
  <c r="T616" i="25"/>
  <c r="U616" i="25"/>
  <c r="V616" i="25"/>
  <c r="W616" i="25"/>
  <c r="X616" i="25"/>
  <c r="Y616" i="25"/>
  <c r="Z616" i="25"/>
  <c r="AA616" i="25"/>
  <c r="AB616" i="25"/>
  <c r="I617" i="25"/>
  <c r="J617" i="25"/>
  <c r="K617" i="25"/>
  <c r="L617" i="25"/>
  <c r="M617" i="25"/>
  <c r="N617" i="25"/>
  <c r="O617" i="25"/>
  <c r="Q617" i="25"/>
  <c r="S617" i="25"/>
  <c r="T617" i="25"/>
  <c r="U617" i="25"/>
  <c r="V617" i="25"/>
  <c r="W617" i="25"/>
  <c r="X617" i="25"/>
  <c r="Y617" i="25"/>
  <c r="Z617" i="25"/>
  <c r="AA617" i="25"/>
  <c r="AB617" i="25"/>
  <c r="I618" i="25"/>
  <c r="J618" i="25"/>
  <c r="K618" i="25"/>
  <c r="L618" i="25"/>
  <c r="M618" i="25"/>
  <c r="N618" i="25"/>
  <c r="O618" i="25"/>
  <c r="Q618" i="25"/>
  <c r="S618" i="25"/>
  <c r="T618" i="25"/>
  <c r="U618" i="25"/>
  <c r="V618" i="25"/>
  <c r="W618" i="25"/>
  <c r="X618" i="25"/>
  <c r="Y618" i="25"/>
  <c r="Z618" i="25"/>
  <c r="AA618" i="25"/>
  <c r="AB618" i="25"/>
  <c r="I619" i="25"/>
  <c r="J619" i="25"/>
  <c r="K619" i="25"/>
  <c r="L619" i="25"/>
  <c r="M619" i="25"/>
  <c r="N619" i="25"/>
  <c r="O619" i="25"/>
  <c r="Q619" i="25"/>
  <c r="S619" i="25"/>
  <c r="T619" i="25"/>
  <c r="U619" i="25"/>
  <c r="V619" i="25"/>
  <c r="W619" i="25"/>
  <c r="X619" i="25"/>
  <c r="Y619" i="25"/>
  <c r="Z619" i="25"/>
  <c r="AA619" i="25"/>
  <c r="AB619" i="25"/>
  <c r="I620" i="25"/>
  <c r="J620" i="25"/>
  <c r="K620" i="25"/>
  <c r="L620" i="25"/>
  <c r="M620" i="25"/>
  <c r="N620" i="25"/>
  <c r="O620" i="25"/>
  <c r="P620" i="25"/>
  <c r="Q620" i="25"/>
  <c r="S620" i="25"/>
  <c r="T620" i="25"/>
  <c r="U620" i="25"/>
  <c r="V620" i="25"/>
  <c r="W620" i="25"/>
  <c r="X620" i="25"/>
  <c r="Y620" i="25"/>
  <c r="Z620" i="25"/>
  <c r="AA620" i="25"/>
  <c r="AB620" i="25"/>
  <c r="I621" i="25"/>
  <c r="J621" i="25"/>
  <c r="K621" i="25"/>
  <c r="L621" i="25"/>
  <c r="M621" i="25"/>
  <c r="N621" i="25"/>
  <c r="O621" i="25"/>
  <c r="Q621" i="25"/>
  <c r="S621" i="25"/>
  <c r="T621" i="25"/>
  <c r="U621" i="25"/>
  <c r="V621" i="25"/>
  <c r="W621" i="25"/>
  <c r="X621" i="25"/>
  <c r="Y621" i="25"/>
  <c r="Z621" i="25"/>
  <c r="AA621" i="25"/>
  <c r="AB621" i="25"/>
  <c r="I622" i="25"/>
  <c r="J622" i="25"/>
  <c r="K622" i="25"/>
  <c r="L622" i="25"/>
  <c r="M622" i="25"/>
  <c r="N622" i="25"/>
  <c r="O622" i="25"/>
  <c r="P622" i="25"/>
  <c r="Q622" i="25"/>
  <c r="S622" i="25"/>
  <c r="T622" i="25"/>
  <c r="U622" i="25"/>
  <c r="V622" i="25"/>
  <c r="W622" i="25"/>
  <c r="X622" i="25"/>
  <c r="Y622" i="25"/>
  <c r="Z622" i="25"/>
  <c r="AA622" i="25"/>
  <c r="AB622" i="25"/>
  <c r="I623" i="25"/>
  <c r="J623" i="25"/>
  <c r="K623" i="25"/>
  <c r="L623" i="25"/>
  <c r="M623" i="25"/>
  <c r="N623" i="25"/>
  <c r="O623" i="25"/>
  <c r="Q623" i="25"/>
  <c r="S623" i="25"/>
  <c r="T623" i="25"/>
  <c r="U623" i="25"/>
  <c r="V623" i="25"/>
  <c r="W623" i="25"/>
  <c r="X623" i="25"/>
  <c r="Y623" i="25"/>
  <c r="Z623" i="25"/>
  <c r="AA623" i="25"/>
  <c r="AB623" i="25"/>
  <c r="I624" i="25"/>
  <c r="J624" i="25"/>
  <c r="K624" i="25"/>
  <c r="L624" i="25"/>
  <c r="M624" i="25"/>
  <c r="N624" i="25"/>
  <c r="O624" i="25"/>
  <c r="Q624" i="25"/>
  <c r="S624" i="25"/>
  <c r="T624" i="25"/>
  <c r="U624" i="25"/>
  <c r="V624" i="25"/>
  <c r="W624" i="25"/>
  <c r="X624" i="25"/>
  <c r="Y624" i="25"/>
  <c r="Z624" i="25"/>
  <c r="AA624" i="25"/>
  <c r="AB624" i="25"/>
  <c r="I625" i="25"/>
  <c r="J625" i="25"/>
  <c r="K625" i="25"/>
  <c r="L625" i="25"/>
  <c r="M625" i="25"/>
  <c r="N625" i="25"/>
  <c r="O625" i="25"/>
  <c r="Q625" i="25"/>
  <c r="S625" i="25"/>
  <c r="T625" i="25"/>
  <c r="U625" i="25"/>
  <c r="V625" i="25"/>
  <c r="W625" i="25"/>
  <c r="X625" i="25"/>
  <c r="Y625" i="25"/>
  <c r="Z625" i="25"/>
  <c r="AA625" i="25"/>
  <c r="AB625" i="25"/>
  <c r="I626" i="25"/>
  <c r="J626" i="25"/>
  <c r="K626" i="25"/>
  <c r="L626" i="25"/>
  <c r="M626" i="25"/>
  <c r="N626" i="25"/>
  <c r="O626" i="25"/>
  <c r="Q626" i="25"/>
  <c r="S626" i="25"/>
  <c r="T626" i="25"/>
  <c r="U626" i="25"/>
  <c r="V626" i="25"/>
  <c r="W626" i="25"/>
  <c r="X626" i="25"/>
  <c r="Y626" i="25"/>
  <c r="Z626" i="25"/>
  <c r="AA626" i="25"/>
  <c r="AB626" i="25"/>
  <c r="J604" i="25"/>
  <c r="K604" i="25"/>
  <c r="L604" i="25"/>
  <c r="M604" i="25"/>
  <c r="N604" i="25"/>
  <c r="O604" i="25"/>
  <c r="Q604" i="25"/>
  <c r="S604" i="25"/>
  <c r="T604" i="25"/>
  <c r="U604" i="25"/>
  <c r="V604" i="25"/>
  <c r="W604" i="25"/>
  <c r="X604" i="25"/>
  <c r="Y604" i="25"/>
  <c r="Z604" i="25"/>
  <c r="AA604" i="25"/>
  <c r="AB604" i="25"/>
  <c r="I604" i="25"/>
  <c r="I584" i="25"/>
  <c r="J584" i="25"/>
  <c r="K584" i="25"/>
  <c r="L584" i="25"/>
  <c r="M584" i="25"/>
  <c r="N584" i="25"/>
  <c r="O584" i="25"/>
  <c r="P584" i="25"/>
  <c r="Q584" i="25"/>
  <c r="R584" i="25"/>
  <c r="S584" i="25"/>
  <c r="T584" i="25"/>
  <c r="U584" i="25"/>
  <c r="V584" i="25"/>
  <c r="W584" i="25"/>
  <c r="X584" i="25"/>
  <c r="Y584" i="25"/>
  <c r="Z584" i="25"/>
  <c r="AA584" i="25"/>
  <c r="AB584" i="25"/>
  <c r="I585" i="25"/>
  <c r="J585" i="25"/>
  <c r="K585" i="25"/>
  <c r="L585" i="25"/>
  <c r="M585" i="25"/>
  <c r="N585" i="25"/>
  <c r="O585" i="25"/>
  <c r="P585" i="25"/>
  <c r="Q585" i="25"/>
  <c r="R585" i="25"/>
  <c r="S585" i="25"/>
  <c r="T585" i="25"/>
  <c r="U585" i="25"/>
  <c r="V585" i="25"/>
  <c r="W585" i="25"/>
  <c r="X585" i="25"/>
  <c r="Y585" i="25"/>
  <c r="Z585" i="25"/>
  <c r="AA585" i="25"/>
  <c r="AB585" i="25"/>
  <c r="I586" i="25"/>
  <c r="J586" i="25"/>
  <c r="K586" i="25"/>
  <c r="L586" i="25"/>
  <c r="M586" i="25"/>
  <c r="N586" i="25"/>
  <c r="O586" i="25"/>
  <c r="P586" i="25"/>
  <c r="Q586" i="25"/>
  <c r="R586" i="25"/>
  <c r="S586" i="25"/>
  <c r="T586" i="25"/>
  <c r="U586" i="25"/>
  <c r="V586" i="25"/>
  <c r="W586" i="25"/>
  <c r="X586" i="25"/>
  <c r="Y586" i="25"/>
  <c r="Z586" i="25"/>
  <c r="AA586" i="25"/>
  <c r="AB586" i="25"/>
  <c r="I587" i="25"/>
  <c r="J587" i="25"/>
  <c r="K587" i="25"/>
  <c r="L587" i="25"/>
  <c r="M587" i="25"/>
  <c r="N587" i="25"/>
  <c r="O587" i="25"/>
  <c r="P587" i="25"/>
  <c r="Q587" i="25"/>
  <c r="R587" i="25"/>
  <c r="S587" i="25"/>
  <c r="T587" i="25"/>
  <c r="U587" i="25"/>
  <c r="V587" i="25"/>
  <c r="W587" i="25"/>
  <c r="X587" i="25"/>
  <c r="Y587" i="25"/>
  <c r="Z587" i="25"/>
  <c r="AA587" i="25"/>
  <c r="AB587" i="25"/>
  <c r="I588" i="25"/>
  <c r="J588" i="25"/>
  <c r="K588" i="25"/>
  <c r="L588" i="25"/>
  <c r="M588" i="25"/>
  <c r="N588" i="25"/>
  <c r="O588" i="25"/>
  <c r="P588" i="25"/>
  <c r="Q588" i="25"/>
  <c r="R588" i="25"/>
  <c r="S588" i="25"/>
  <c r="T588" i="25"/>
  <c r="U588" i="25"/>
  <c r="V588" i="25"/>
  <c r="W588" i="25"/>
  <c r="X588" i="25"/>
  <c r="Y588" i="25"/>
  <c r="Z588" i="25"/>
  <c r="AA588" i="25"/>
  <c r="AB588" i="25"/>
  <c r="I589" i="25"/>
  <c r="J589" i="25"/>
  <c r="K589" i="25"/>
  <c r="L589" i="25"/>
  <c r="M589" i="25"/>
  <c r="N589" i="25"/>
  <c r="O589" i="25"/>
  <c r="P589" i="25"/>
  <c r="Q589" i="25"/>
  <c r="R589" i="25"/>
  <c r="S589" i="25"/>
  <c r="T589" i="25"/>
  <c r="U589" i="25"/>
  <c r="V589" i="25"/>
  <c r="W589" i="25"/>
  <c r="X589" i="25"/>
  <c r="Y589" i="25"/>
  <c r="Z589" i="25"/>
  <c r="AA589" i="25"/>
  <c r="AB589" i="25"/>
  <c r="I590" i="25"/>
  <c r="J590" i="25"/>
  <c r="K590" i="25"/>
  <c r="L590" i="25"/>
  <c r="M590" i="25"/>
  <c r="N590" i="25"/>
  <c r="O590" i="25"/>
  <c r="P590" i="25"/>
  <c r="Q590" i="25"/>
  <c r="R590" i="25"/>
  <c r="S590" i="25"/>
  <c r="T590" i="25"/>
  <c r="U590" i="25"/>
  <c r="V590" i="25"/>
  <c r="W590" i="25"/>
  <c r="X590" i="25"/>
  <c r="Y590" i="25"/>
  <c r="Z590" i="25"/>
  <c r="AA590" i="25"/>
  <c r="AB590" i="25"/>
  <c r="I591" i="25"/>
  <c r="J591" i="25"/>
  <c r="K591" i="25"/>
  <c r="L591" i="25"/>
  <c r="M591" i="25"/>
  <c r="N591" i="25"/>
  <c r="O591" i="25"/>
  <c r="P591" i="25"/>
  <c r="Q591" i="25"/>
  <c r="R591" i="25"/>
  <c r="S591" i="25"/>
  <c r="T591" i="25"/>
  <c r="U591" i="25"/>
  <c r="V591" i="25"/>
  <c r="W591" i="25"/>
  <c r="X591" i="25"/>
  <c r="Y591" i="25"/>
  <c r="Z591" i="25"/>
  <c r="AA591" i="25"/>
  <c r="AB591" i="25"/>
  <c r="I592" i="25"/>
  <c r="J592" i="25"/>
  <c r="K592" i="25"/>
  <c r="L592" i="25"/>
  <c r="M592" i="25"/>
  <c r="N592" i="25"/>
  <c r="O592" i="25"/>
  <c r="P592" i="25"/>
  <c r="Q592" i="25"/>
  <c r="R592" i="25"/>
  <c r="S592" i="25"/>
  <c r="T592" i="25"/>
  <c r="U592" i="25"/>
  <c r="V592" i="25"/>
  <c r="W592" i="25"/>
  <c r="X592" i="25"/>
  <c r="Y592" i="25"/>
  <c r="Z592" i="25"/>
  <c r="AA592" i="25"/>
  <c r="AB592" i="25"/>
  <c r="I593" i="25"/>
  <c r="J593" i="25"/>
  <c r="K593" i="25"/>
  <c r="L593" i="25"/>
  <c r="M593" i="25"/>
  <c r="N593" i="25"/>
  <c r="O593" i="25"/>
  <c r="P593" i="25"/>
  <c r="Q593" i="25"/>
  <c r="R593" i="25"/>
  <c r="S593" i="25"/>
  <c r="T593" i="25"/>
  <c r="U593" i="25"/>
  <c r="V593" i="25"/>
  <c r="W593" i="25"/>
  <c r="X593" i="25"/>
  <c r="Y593" i="25"/>
  <c r="Z593" i="25"/>
  <c r="AA593" i="25"/>
  <c r="AB593" i="25"/>
  <c r="I594" i="25"/>
  <c r="J594" i="25"/>
  <c r="K594" i="25"/>
  <c r="L594" i="25"/>
  <c r="M594" i="25"/>
  <c r="N594" i="25"/>
  <c r="O594" i="25"/>
  <c r="P594" i="25"/>
  <c r="Q594" i="25"/>
  <c r="R594" i="25"/>
  <c r="S594" i="25"/>
  <c r="T594" i="25"/>
  <c r="U594" i="25"/>
  <c r="V594" i="25"/>
  <c r="W594" i="25"/>
  <c r="X594" i="25"/>
  <c r="Y594" i="25"/>
  <c r="Z594" i="25"/>
  <c r="AA594" i="25"/>
  <c r="AB594" i="25"/>
  <c r="I595" i="25"/>
  <c r="J595" i="25"/>
  <c r="K595" i="25"/>
  <c r="L595" i="25"/>
  <c r="M595" i="25"/>
  <c r="N595" i="25"/>
  <c r="O595" i="25"/>
  <c r="P595" i="25"/>
  <c r="Q595" i="25"/>
  <c r="R595" i="25"/>
  <c r="S595" i="25"/>
  <c r="T595" i="25"/>
  <c r="U595" i="25"/>
  <c r="V595" i="25"/>
  <c r="W595" i="25"/>
  <c r="X595" i="25"/>
  <c r="Y595" i="25"/>
  <c r="Z595" i="25"/>
  <c r="AA595" i="25"/>
  <c r="AB595" i="25"/>
  <c r="I596" i="25"/>
  <c r="J596" i="25"/>
  <c r="K596" i="25"/>
  <c r="L596" i="25"/>
  <c r="M596" i="25"/>
  <c r="N596" i="25"/>
  <c r="O596" i="25"/>
  <c r="P596" i="25"/>
  <c r="Q596" i="25"/>
  <c r="R596" i="25"/>
  <c r="S596" i="25"/>
  <c r="T596" i="25"/>
  <c r="U596" i="25"/>
  <c r="V596" i="25"/>
  <c r="W596" i="25"/>
  <c r="X596" i="25"/>
  <c r="Y596" i="25"/>
  <c r="Z596" i="25"/>
  <c r="AA596" i="25"/>
  <c r="AB596" i="25"/>
  <c r="I597" i="25"/>
  <c r="J597" i="25"/>
  <c r="K597" i="25"/>
  <c r="L597" i="25"/>
  <c r="M597" i="25"/>
  <c r="N597" i="25"/>
  <c r="O597" i="25"/>
  <c r="P597" i="25"/>
  <c r="Q597" i="25"/>
  <c r="R597" i="25"/>
  <c r="S597" i="25"/>
  <c r="T597" i="25"/>
  <c r="U597" i="25"/>
  <c r="V597" i="25"/>
  <c r="W597" i="25"/>
  <c r="X597" i="25"/>
  <c r="Y597" i="25"/>
  <c r="Z597" i="25"/>
  <c r="AA597" i="25"/>
  <c r="AB597" i="25"/>
  <c r="I598" i="25"/>
  <c r="J598" i="25"/>
  <c r="K598" i="25"/>
  <c r="L598" i="25"/>
  <c r="M598" i="25"/>
  <c r="N598" i="25"/>
  <c r="O598" i="25"/>
  <c r="P598" i="25"/>
  <c r="Q598" i="25"/>
  <c r="R598" i="25"/>
  <c r="S598" i="25"/>
  <c r="T598" i="25"/>
  <c r="U598" i="25"/>
  <c r="V598" i="25"/>
  <c r="W598" i="25"/>
  <c r="X598" i="25"/>
  <c r="Y598" i="25"/>
  <c r="Z598" i="25"/>
  <c r="AA598" i="25"/>
  <c r="AB598" i="25"/>
  <c r="I599" i="25"/>
  <c r="J599" i="25"/>
  <c r="K599" i="25"/>
  <c r="L599" i="25"/>
  <c r="M599" i="25"/>
  <c r="N599" i="25"/>
  <c r="O599" i="25"/>
  <c r="P599" i="25"/>
  <c r="Q599" i="25"/>
  <c r="R599" i="25"/>
  <c r="S599" i="25"/>
  <c r="T599" i="25"/>
  <c r="U599" i="25"/>
  <c r="V599" i="25"/>
  <c r="W599" i="25"/>
  <c r="X599" i="25"/>
  <c r="Y599" i="25"/>
  <c r="Z599" i="25"/>
  <c r="AA599" i="25"/>
  <c r="AB599" i="25"/>
  <c r="I600" i="25"/>
  <c r="J600" i="25"/>
  <c r="K600" i="25"/>
  <c r="L600" i="25"/>
  <c r="M600" i="25"/>
  <c r="N600" i="25"/>
  <c r="O600" i="25"/>
  <c r="P600" i="25"/>
  <c r="Q600" i="25"/>
  <c r="R600" i="25"/>
  <c r="S600" i="25"/>
  <c r="T600" i="25"/>
  <c r="U600" i="25"/>
  <c r="V600" i="25"/>
  <c r="W600" i="25"/>
  <c r="X600" i="25"/>
  <c r="Y600" i="25"/>
  <c r="Z600" i="25"/>
  <c r="AA600" i="25"/>
  <c r="AB600" i="25"/>
  <c r="I601" i="25"/>
  <c r="J601" i="25"/>
  <c r="K601" i="25"/>
  <c r="L601" i="25"/>
  <c r="M601" i="25"/>
  <c r="N601" i="25"/>
  <c r="O601" i="25"/>
  <c r="P601" i="25"/>
  <c r="Q601" i="25"/>
  <c r="R601" i="25"/>
  <c r="S601" i="25"/>
  <c r="T601" i="25"/>
  <c r="U601" i="25"/>
  <c r="V601" i="25"/>
  <c r="W601" i="25"/>
  <c r="X601" i="25"/>
  <c r="Y601" i="25"/>
  <c r="Z601" i="25"/>
  <c r="AA601" i="25"/>
  <c r="AB601" i="25"/>
  <c r="I602" i="25"/>
  <c r="J602" i="25"/>
  <c r="K602" i="25"/>
  <c r="L602" i="25"/>
  <c r="M602" i="25"/>
  <c r="N602" i="25"/>
  <c r="O602" i="25"/>
  <c r="P602" i="25"/>
  <c r="Q602" i="25"/>
  <c r="R602" i="25"/>
  <c r="S602" i="25"/>
  <c r="T602" i="25"/>
  <c r="U602" i="25"/>
  <c r="V602" i="25"/>
  <c r="W602" i="25"/>
  <c r="X602" i="25"/>
  <c r="Y602" i="25"/>
  <c r="Z602" i="25"/>
  <c r="AA602" i="25"/>
  <c r="AB602" i="25"/>
  <c r="I603" i="25"/>
  <c r="J603" i="25"/>
  <c r="K603" i="25"/>
  <c r="L603" i="25"/>
  <c r="M603" i="25"/>
  <c r="N603" i="25"/>
  <c r="O603" i="25"/>
  <c r="P603" i="25"/>
  <c r="Q603" i="25"/>
  <c r="R603" i="25"/>
  <c r="S603" i="25"/>
  <c r="T603" i="25"/>
  <c r="U603" i="25"/>
  <c r="V603" i="25"/>
  <c r="W603" i="25"/>
  <c r="X603" i="25"/>
  <c r="Y603" i="25"/>
  <c r="Z603" i="25"/>
  <c r="AA603" i="25"/>
  <c r="AB603" i="25"/>
  <c r="J583" i="25"/>
  <c r="K583" i="25"/>
  <c r="L583" i="25"/>
  <c r="N583" i="25"/>
  <c r="O583" i="25"/>
  <c r="Q583" i="25"/>
  <c r="T583" i="25"/>
  <c r="U583" i="25"/>
  <c r="V583" i="25"/>
  <c r="W583" i="25"/>
  <c r="X583" i="25"/>
  <c r="Y583" i="25"/>
  <c r="Z583" i="25"/>
  <c r="I583" i="25"/>
  <c r="I561" i="25"/>
  <c r="I533" i="25"/>
  <c r="I515" i="25"/>
  <c r="J515" i="25"/>
  <c r="K515" i="25"/>
  <c r="L515" i="25"/>
  <c r="N515" i="25"/>
  <c r="O515" i="25"/>
  <c r="T515" i="25"/>
  <c r="U515" i="25"/>
  <c r="I516" i="25"/>
  <c r="J516" i="25"/>
  <c r="K516" i="25"/>
  <c r="L516" i="25"/>
  <c r="N516" i="25"/>
  <c r="O516" i="25"/>
  <c r="T516" i="25"/>
  <c r="U516" i="25"/>
  <c r="I517" i="25"/>
  <c r="J517" i="25"/>
  <c r="K517" i="25"/>
  <c r="L517" i="25"/>
  <c r="N517" i="25"/>
  <c r="O517" i="25"/>
  <c r="T517" i="25"/>
  <c r="U517" i="25"/>
  <c r="I518" i="25"/>
  <c r="J518" i="25"/>
  <c r="K518" i="25"/>
  <c r="L518" i="25"/>
  <c r="N518" i="25"/>
  <c r="O518" i="25"/>
  <c r="T518" i="25"/>
  <c r="U518" i="25"/>
  <c r="I519" i="25"/>
  <c r="J519" i="25"/>
  <c r="K519" i="25"/>
  <c r="L519" i="25"/>
  <c r="N519" i="25"/>
  <c r="O519" i="25"/>
  <c r="T519" i="25"/>
  <c r="U519" i="25"/>
  <c r="I520" i="25"/>
  <c r="J520" i="25"/>
  <c r="K520" i="25"/>
  <c r="L520" i="25"/>
  <c r="N520" i="25"/>
  <c r="O520" i="25"/>
  <c r="T520" i="25"/>
  <c r="U520" i="25"/>
  <c r="I521" i="25"/>
  <c r="J521" i="25"/>
  <c r="K521" i="25"/>
  <c r="L521" i="25"/>
  <c r="N521" i="25"/>
  <c r="O521" i="25"/>
  <c r="T521" i="25"/>
  <c r="U521" i="25"/>
  <c r="I522" i="25"/>
  <c r="J522" i="25"/>
  <c r="K522" i="25"/>
  <c r="L522" i="25"/>
  <c r="N522" i="25"/>
  <c r="O522" i="25"/>
  <c r="T522" i="25"/>
  <c r="U522" i="25"/>
  <c r="I523" i="25"/>
  <c r="J523" i="25"/>
  <c r="K523" i="25"/>
  <c r="L523" i="25"/>
  <c r="N523" i="25"/>
  <c r="O523" i="25"/>
  <c r="T523" i="25"/>
  <c r="U523" i="25"/>
  <c r="I524" i="25"/>
  <c r="J524" i="25"/>
  <c r="K524" i="25"/>
  <c r="L524" i="25"/>
  <c r="N524" i="25"/>
  <c r="O524" i="25"/>
  <c r="T524" i="25"/>
  <c r="U524" i="25"/>
  <c r="I525" i="25"/>
  <c r="J525" i="25"/>
  <c r="K525" i="25"/>
  <c r="L525" i="25"/>
  <c r="N525" i="25"/>
  <c r="O525" i="25"/>
  <c r="T525" i="25"/>
  <c r="U525" i="25"/>
  <c r="I526" i="25"/>
  <c r="J526" i="25"/>
  <c r="K526" i="25"/>
  <c r="L526" i="25"/>
  <c r="N526" i="25"/>
  <c r="O526" i="25"/>
  <c r="T526" i="25"/>
  <c r="U526" i="25"/>
  <c r="I527" i="25"/>
  <c r="J527" i="25"/>
  <c r="K527" i="25"/>
  <c r="L527" i="25"/>
  <c r="N527" i="25"/>
  <c r="O527" i="25"/>
  <c r="T527" i="25"/>
  <c r="U527" i="25"/>
  <c r="I528" i="25"/>
  <c r="J528" i="25"/>
  <c r="K528" i="25"/>
  <c r="L528" i="25"/>
  <c r="N528" i="25"/>
  <c r="O528" i="25"/>
  <c r="T528" i="25"/>
  <c r="U528" i="25"/>
  <c r="I529" i="25"/>
  <c r="J529" i="25"/>
  <c r="K529" i="25"/>
  <c r="L529" i="25"/>
  <c r="N529" i="25"/>
  <c r="O529" i="25"/>
  <c r="T529" i="25"/>
  <c r="U529" i="25"/>
  <c r="I530" i="25"/>
  <c r="J530" i="25"/>
  <c r="K530" i="25"/>
  <c r="L530" i="25"/>
  <c r="N530" i="25"/>
  <c r="O530" i="25"/>
  <c r="T530" i="25"/>
  <c r="U530" i="25"/>
  <c r="I531" i="25"/>
  <c r="J531" i="25"/>
  <c r="K531" i="25"/>
  <c r="L531" i="25"/>
  <c r="N531" i="25"/>
  <c r="O531" i="25"/>
  <c r="T531" i="25"/>
  <c r="U531" i="25"/>
  <c r="I532" i="25"/>
  <c r="J532" i="25"/>
  <c r="K532" i="25"/>
  <c r="L532" i="25"/>
  <c r="N532" i="25"/>
  <c r="O532" i="25"/>
  <c r="T532" i="25"/>
  <c r="U532" i="25"/>
  <c r="I493" i="25"/>
  <c r="J493" i="25"/>
  <c r="K493" i="25"/>
  <c r="L493" i="25"/>
  <c r="N493" i="25"/>
  <c r="O493" i="25"/>
  <c r="T493" i="25"/>
  <c r="U493" i="25"/>
  <c r="I494" i="25"/>
  <c r="J494" i="25"/>
  <c r="K494" i="25"/>
  <c r="L494" i="25"/>
  <c r="N494" i="25"/>
  <c r="O494" i="25"/>
  <c r="T494" i="25"/>
  <c r="U494" i="25"/>
  <c r="I495" i="25"/>
  <c r="J495" i="25"/>
  <c r="K495" i="25"/>
  <c r="L495" i="25"/>
  <c r="N495" i="25"/>
  <c r="O495" i="25"/>
  <c r="T495" i="25"/>
  <c r="U495" i="25"/>
  <c r="I496" i="25"/>
  <c r="J496" i="25"/>
  <c r="K496" i="25"/>
  <c r="L496" i="25"/>
  <c r="N496" i="25"/>
  <c r="O496" i="25"/>
  <c r="T496" i="25"/>
  <c r="U496" i="25"/>
  <c r="I497" i="25"/>
  <c r="J497" i="25"/>
  <c r="K497" i="25"/>
  <c r="L497" i="25"/>
  <c r="N497" i="25"/>
  <c r="O497" i="25"/>
  <c r="T497" i="25"/>
  <c r="U497" i="25"/>
  <c r="I498" i="25"/>
  <c r="J498" i="25"/>
  <c r="K498" i="25"/>
  <c r="L498" i="25"/>
  <c r="N498" i="25"/>
  <c r="O498" i="25"/>
  <c r="T498" i="25"/>
  <c r="U498" i="25"/>
  <c r="I499" i="25"/>
  <c r="J499" i="25"/>
  <c r="K499" i="25"/>
  <c r="L499" i="25"/>
  <c r="N499" i="25"/>
  <c r="O499" i="25"/>
  <c r="T499" i="25"/>
  <c r="U499" i="25"/>
  <c r="I500" i="25"/>
  <c r="J500" i="25"/>
  <c r="K500" i="25"/>
  <c r="L500" i="25"/>
  <c r="N500" i="25"/>
  <c r="O500" i="25"/>
  <c r="T500" i="25"/>
  <c r="U500" i="25"/>
  <c r="I501" i="25"/>
  <c r="J501" i="25"/>
  <c r="K501" i="25"/>
  <c r="L501" i="25"/>
  <c r="N501" i="25"/>
  <c r="O501" i="25"/>
  <c r="T501" i="25"/>
  <c r="U501" i="25"/>
  <c r="I502" i="25"/>
  <c r="J502" i="25"/>
  <c r="K502" i="25"/>
  <c r="L502" i="25"/>
  <c r="N502" i="25"/>
  <c r="O502" i="25"/>
  <c r="T502" i="25"/>
  <c r="U502" i="25"/>
  <c r="I503" i="25"/>
  <c r="J503" i="25"/>
  <c r="K503" i="25"/>
  <c r="L503" i="25"/>
  <c r="N503" i="25"/>
  <c r="O503" i="25"/>
  <c r="T503" i="25"/>
  <c r="U503" i="25"/>
  <c r="I504" i="25"/>
  <c r="J504" i="25"/>
  <c r="K504" i="25"/>
  <c r="L504" i="25"/>
  <c r="N504" i="25"/>
  <c r="O504" i="25"/>
  <c r="T504" i="25"/>
  <c r="U504" i="25"/>
  <c r="I505" i="25"/>
  <c r="J505" i="25"/>
  <c r="K505" i="25"/>
  <c r="L505" i="25"/>
  <c r="N505" i="25"/>
  <c r="O505" i="25"/>
  <c r="T505" i="25"/>
  <c r="U505" i="25"/>
  <c r="I506" i="25"/>
  <c r="J506" i="25"/>
  <c r="K506" i="25"/>
  <c r="L506" i="25"/>
  <c r="N506" i="25"/>
  <c r="O506" i="25"/>
  <c r="T506" i="25"/>
  <c r="U506" i="25"/>
  <c r="I507" i="25"/>
  <c r="J507" i="25"/>
  <c r="K507" i="25"/>
  <c r="L507" i="25"/>
  <c r="N507" i="25"/>
  <c r="O507" i="25"/>
  <c r="T507" i="25"/>
  <c r="U507" i="25"/>
  <c r="I508" i="25"/>
  <c r="J508" i="25"/>
  <c r="K508" i="25"/>
  <c r="L508" i="25"/>
  <c r="N508" i="25"/>
  <c r="O508" i="25"/>
  <c r="T508" i="25"/>
  <c r="U508" i="25"/>
  <c r="I509" i="25"/>
  <c r="J509" i="25"/>
  <c r="K509" i="25"/>
  <c r="L509" i="25"/>
  <c r="N509" i="25"/>
  <c r="O509" i="25"/>
  <c r="T509" i="25"/>
  <c r="U509" i="25"/>
  <c r="I510" i="25"/>
  <c r="J510" i="25"/>
  <c r="K510" i="25"/>
  <c r="L510" i="25"/>
  <c r="N510" i="25"/>
  <c r="O510" i="25"/>
  <c r="T510" i="25"/>
  <c r="U510" i="25"/>
  <c r="I511" i="25"/>
  <c r="J511" i="25"/>
  <c r="K511" i="25"/>
  <c r="L511" i="25"/>
  <c r="N511" i="25"/>
  <c r="O511" i="25"/>
  <c r="T511" i="25"/>
  <c r="U511" i="25"/>
  <c r="I512" i="25"/>
  <c r="J512" i="25"/>
  <c r="K512" i="25"/>
  <c r="L512" i="25"/>
  <c r="N512" i="25"/>
  <c r="O512" i="25"/>
  <c r="T512" i="25"/>
  <c r="U512" i="25"/>
  <c r="I513" i="25"/>
  <c r="J513" i="25"/>
  <c r="K513" i="25"/>
  <c r="L513" i="25"/>
  <c r="N513" i="25"/>
  <c r="O513" i="25"/>
  <c r="T513" i="25"/>
  <c r="U513" i="25"/>
  <c r="I514" i="25"/>
  <c r="J514" i="25"/>
  <c r="K514" i="25"/>
  <c r="L514" i="25"/>
  <c r="N514" i="25"/>
  <c r="O514" i="25"/>
  <c r="T514" i="25"/>
  <c r="U514" i="25"/>
  <c r="J492" i="25"/>
  <c r="K492" i="25"/>
  <c r="L492" i="25"/>
  <c r="N492" i="25"/>
  <c r="O492" i="25"/>
  <c r="T492" i="25"/>
  <c r="U492" i="25"/>
  <c r="K388" i="25"/>
  <c r="L388" i="25"/>
  <c r="M388" i="25"/>
  <c r="N388" i="25"/>
  <c r="O388" i="25"/>
  <c r="Q388" i="25"/>
  <c r="S388" i="25"/>
  <c r="T388" i="25"/>
  <c r="U388" i="25"/>
  <c r="V388" i="25"/>
  <c r="W388" i="25"/>
  <c r="Y388" i="25"/>
  <c r="Z388" i="25"/>
  <c r="AA388" i="25"/>
  <c r="AB388" i="25"/>
  <c r="K389" i="25"/>
  <c r="L389" i="25"/>
  <c r="M389" i="25"/>
  <c r="N389" i="25"/>
  <c r="O389" i="25"/>
  <c r="Q389" i="25"/>
  <c r="S389" i="25"/>
  <c r="T389" i="25"/>
  <c r="U389" i="25"/>
  <c r="V389" i="25"/>
  <c r="W389" i="25"/>
  <c r="Y389" i="25"/>
  <c r="Z389" i="25"/>
  <c r="AA389" i="25"/>
  <c r="AB389" i="25"/>
  <c r="K390" i="25"/>
  <c r="L390" i="25"/>
  <c r="M390" i="25"/>
  <c r="N390" i="25"/>
  <c r="O390" i="25"/>
  <c r="Q390" i="25"/>
  <c r="S390" i="25"/>
  <c r="T390" i="25"/>
  <c r="U390" i="25"/>
  <c r="V390" i="25"/>
  <c r="W390" i="25"/>
  <c r="Y390" i="25"/>
  <c r="Z390" i="25"/>
  <c r="AA390" i="25"/>
  <c r="AB390" i="25"/>
  <c r="K391" i="25"/>
  <c r="L391" i="25"/>
  <c r="M391" i="25"/>
  <c r="N391" i="25"/>
  <c r="O391" i="25"/>
  <c r="Q391" i="25"/>
  <c r="S391" i="25"/>
  <c r="T391" i="25"/>
  <c r="U391" i="25"/>
  <c r="V391" i="25"/>
  <c r="W391" i="25"/>
  <c r="Y391" i="25"/>
  <c r="Z391" i="25"/>
  <c r="AA391" i="25"/>
  <c r="AB391" i="25"/>
  <c r="K392" i="25"/>
  <c r="L392" i="25"/>
  <c r="M392" i="25"/>
  <c r="N392" i="25"/>
  <c r="O392" i="25"/>
  <c r="Q392" i="25"/>
  <c r="S392" i="25"/>
  <c r="T392" i="25"/>
  <c r="U392" i="25"/>
  <c r="V392" i="25"/>
  <c r="W392" i="25"/>
  <c r="Y392" i="25"/>
  <c r="Z392" i="25"/>
  <c r="AA392" i="25"/>
  <c r="AB392" i="25"/>
  <c r="K393" i="25"/>
  <c r="L393" i="25"/>
  <c r="M393" i="25"/>
  <c r="N393" i="25"/>
  <c r="O393" i="25"/>
  <c r="Q393" i="25"/>
  <c r="S393" i="25"/>
  <c r="T393" i="25"/>
  <c r="U393" i="25"/>
  <c r="V393" i="25"/>
  <c r="W393" i="25"/>
  <c r="Y393" i="25"/>
  <c r="Z393" i="25"/>
  <c r="AA393" i="25"/>
  <c r="AB393" i="25"/>
  <c r="K394" i="25"/>
  <c r="L394" i="25"/>
  <c r="M394" i="25"/>
  <c r="N394" i="25"/>
  <c r="O394" i="25"/>
  <c r="Q394" i="25"/>
  <c r="S394" i="25"/>
  <c r="T394" i="25"/>
  <c r="U394" i="25"/>
  <c r="V394" i="25"/>
  <c r="W394" i="25"/>
  <c r="Y394" i="25"/>
  <c r="Z394" i="25"/>
  <c r="AA394" i="25"/>
  <c r="AB394" i="25"/>
  <c r="K395" i="25"/>
  <c r="L395" i="25"/>
  <c r="M395" i="25"/>
  <c r="N395" i="25"/>
  <c r="O395" i="25"/>
  <c r="Q395" i="25"/>
  <c r="S395" i="25"/>
  <c r="T395" i="25"/>
  <c r="U395" i="25"/>
  <c r="V395" i="25"/>
  <c r="W395" i="25"/>
  <c r="Y395" i="25"/>
  <c r="Z395" i="25"/>
  <c r="AA395" i="25"/>
  <c r="AB395" i="25"/>
  <c r="K396" i="25"/>
  <c r="L396" i="25"/>
  <c r="M396" i="25"/>
  <c r="N396" i="25"/>
  <c r="O396" i="25"/>
  <c r="Q396" i="25"/>
  <c r="S396" i="25"/>
  <c r="T396" i="25"/>
  <c r="U396" i="25"/>
  <c r="V396" i="25"/>
  <c r="W396" i="25"/>
  <c r="Y396" i="25"/>
  <c r="Z396" i="25"/>
  <c r="AA396" i="25"/>
  <c r="AB396" i="25"/>
  <c r="K366" i="25"/>
  <c r="L366" i="25"/>
  <c r="M366" i="25"/>
  <c r="N366" i="25"/>
  <c r="O366" i="25"/>
  <c r="Q366" i="25"/>
  <c r="S366" i="25"/>
  <c r="T366" i="25"/>
  <c r="U366" i="25"/>
  <c r="V366" i="25"/>
  <c r="W366" i="25"/>
  <c r="Y366" i="25"/>
  <c r="Z366" i="25"/>
  <c r="AA366" i="25"/>
  <c r="AB366" i="25"/>
  <c r="K367" i="25"/>
  <c r="L367" i="25"/>
  <c r="M367" i="25"/>
  <c r="N367" i="25"/>
  <c r="O367" i="25"/>
  <c r="Q367" i="25"/>
  <c r="S367" i="25"/>
  <c r="T367" i="25"/>
  <c r="U367" i="25"/>
  <c r="V367" i="25"/>
  <c r="W367" i="25"/>
  <c r="Y367" i="25"/>
  <c r="Z367" i="25"/>
  <c r="AA367" i="25"/>
  <c r="AB367" i="25"/>
  <c r="K368" i="25"/>
  <c r="L368" i="25"/>
  <c r="M368" i="25"/>
  <c r="N368" i="25"/>
  <c r="O368" i="25"/>
  <c r="Q368" i="25"/>
  <c r="S368" i="25"/>
  <c r="T368" i="25"/>
  <c r="U368" i="25"/>
  <c r="V368" i="25"/>
  <c r="W368" i="25"/>
  <c r="Y368" i="25"/>
  <c r="Z368" i="25"/>
  <c r="AA368" i="25"/>
  <c r="AB368" i="25"/>
  <c r="K369" i="25"/>
  <c r="L369" i="25"/>
  <c r="M369" i="25"/>
  <c r="N369" i="25"/>
  <c r="O369" i="25"/>
  <c r="Q369" i="25"/>
  <c r="S369" i="25"/>
  <c r="T369" i="25"/>
  <c r="U369" i="25"/>
  <c r="V369" i="25"/>
  <c r="W369" i="25"/>
  <c r="Y369" i="25"/>
  <c r="Z369" i="25"/>
  <c r="AA369" i="25"/>
  <c r="AB369" i="25"/>
  <c r="K370" i="25"/>
  <c r="L370" i="25"/>
  <c r="M370" i="25"/>
  <c r="N370" i="25"/>
  <c r="O370" i="25"/>
  <c r="Q370" i="25"/>
  <c r="S370" i="25"/>
  <c r="T370" i="25"/>
  <c r="U370" i="25"/>
  <c r="V370" i="25"/>
  <c r="W370" i="25"/>
  <c r="Y370" i="25"/>
  <c r="Z370" i="25"/>
  <c r="AA370" i="25"/>
  <c r="AB370" i="25"/>
  <c r="K371" i="25"/>
  <c r="L371" i="25"/>
  <c r="M371" i="25"/>
  <c r="N371" i="25"/>
  <c r="O371" i="25"/>
  <c r="Q371" i="25"/>
  <c r="S371" i="25"/>
  <c r="T371" i="25"/>
  <c r="U371" i="25"/>
  <c r="V371" i="25"/>
  <c r="W371" i="25"/>
  <c r="Y371" i="25"/>
  <c r="Z371" i="25"/>
  <c r="AA371" i="25"/>
  <c r="AB371" i="25"/>
  <c r="K372" i="25"/>
  <c r="L372" i="25"/>
  <c r="M372" i="25"/>
  <c r="N372" i="25"/>
  <c r="O372" i="25"/>
  <c r="Q372" i="25"/>
  <c r="S372" i="25"/>
  <c r="T372" i="25"/>
  <c r="U372" i="25"/>
  <c r="V372" i="25"/>
  <c r="W372" i="25"/>
  <c r="Y372" i="25"/>
  <c r="Z372" i="25"/>
  <c r="AA372" i="25"/>
  <c r="AB372" i="25"/>
  <c r="K373" i="25"/>
  <c r="L373" i="25"/>
  <c r="M373" i="25"/>
  <c r="N373" i="25"/>
  <c r="O373" i="25"/>
  <c r="Q373" i="25"/>
  <c r="S373" i="25"/>
  <c r="T373" i="25"/>
  <c r="U373" i="25"/>
  <c r="V373" i="25"/>
  <c r="W373" i="25"/>
  <c r="Y373" i="25"/>
  <c r="Z373" i="25"/>
  <c r="AA373" i="25"/>
  <c r="AB373" i="25"/>
  <c r="K374" i="25"/>
  <c r="L374" i="25"/>
  <c r="M374" i="25"/>
  <c r="N374" i="25"/>
  <c r="O374" i="25"/>
  <c r="Q374" i="25"/>
  <c r="S374" i="25"/>
  <c r="T374" i="25"/>
  <c r="U374" i="25"/>
  <c r="V374" i="25"/>
  <c r="W374" i="25"/>
  <c r="Y374" i="25"/>
  <c r="Z374" i="25"/>
  <c r="AA374" i="25"/>
  <c r="AB374" i="25"/>
  <c r="K375" i="25"/>
  <c r="L375" i="25"/>
  <c r="M375" i="25"/>
  <c r="N375" i="25"/>
  <c r="O375" i="25"/>
  <c r="Q375" i="25"/>
  <c r="S375" i="25"/>
  <c r="T375" i="25"/>
  <c r="U375" i="25"/>
  <c r="V375" i="25"/>
  <c r="W375" i="25"/>
  <c r="Y375" i="25"/>
  <c r="Z375" i="25"/>
  <c r="AA375" i="25"/>
  <c r="AB375" i="25"/>
  <c r="K376" i="25"/>
  <c r="L376" i="25"/>
  <c r="M376" i="25"/>
  <c r="N376" i="25"/>
  <c r="O376" i="25"/>
  <c r="Q376" i="25"/>
  <c r="S376" i="25"/>
  <c r="T376" i="25"/>
  <c r="U376" i="25"/>
  <c r="V376" i="25"/>
  <c r="W376" i="25"/>
  <c r="Y376" i="25"/>
  <c r="Z376" i="25"/>
  <c r="AA376" i="25"/>
  <c r="AB376" i="25"/>
  <c r="K377" i="25"/>
  <c r="L377" i="25"/>
  <c r="M377" i="25"/>
  <c r="N377" i="25"/>
  <c r="O377" i="25"/>
  <c r="Q377" i="25"/>
  <c r="S377" i="25"/>
  <c r="T377" i="25"/>
  <c r="U377" i="25"/>
  <c r="V377" i="25"/>
  <c r="W377" i="25"/>
  <c r="Y377" i="25"/>
  <c r="Z377" i="25"/>
  <c r="AA377" i="25"/>
  <c r="AB377" i="25"/>
  <c r="K378" i="25"/>
  <c r="L378" i="25"/>
  <c r="M378" i="25"/>
  <c r="N378" i="25"/>
  <c r="O378" i="25"/>
  <c r="Q378" i="25"/>
  <c r="S378" i="25"/>
  <c r="T378" i="25"/>
  <c r="U378" i="25"/>
  <c r="V378" i="25"/>
  <c r="W378" i="25"/>
  <c r="Y378" i="25"/>
  <c r="Z378" i="25"/>
  <c r="AA378" i="25"/>
  <c r="AB378" i="25"/>
  <c r="K379" i="25"/>
  <c r="L379" i="25"/>
  <c r="M379" i="25"/>
  <c r="N379" i="25"/>
  <c r="O379" i="25"/>
  <c r="Q379" i="25"/>
  <c r="S379" i="25"/>
  <c r="T379" i="25"/>
  <c r="U379" i="25"/>
  <c r="V379" i="25"/>
  <c r="W379" i="25"/>
  <c r="Y379" i="25"/>
  <c r="Z379" i="25"/>
  <c r="AA379" i="25"/>
  <c r="AB379" i="25"/>
  <c r="K380" i="25"/>
  <c r="L380" i="25"/>
  <c r="M380" i="25"/>
  <c r="N380" i="25"/>
  <c r="O380" i="25"/>
  <c r="Q380" i="25"/>
  <c r="S380" i="25"/>
  <c r="T380" i="25"/>
  <c r="U380" i="25"/>
  <c r="V380" i="25"/>
  <c r="W380" i="25"/>
  <c r="Y380" i="25"/>
  <c r="Z380" i="25"/>
  <c r="AA380" i="25"/>
  <c r="AB380" i="25"/>
  <c r="K381" i="25"/>
  <c r="L381" i="25"/>
  <c r="M381" i="25"/>
  <c r="N381" i="25"/>
  <c r="O381" i="25"/>
  <c r="Q381" i="25"/>
  <c r="S381" i="25"/>
  <c r="T381" i="25"/>
  <c r="U381" i="25"/>
  <c r="V381" i="25"/>
  <c r="W381" i="25"/>
  <c r="Y381" i="25"/>
  <c r="Z381" i="25"/>
  <c r="AA381" i="25"/>
  <c r="AB381" i="25"/>
  <c r="K382" i="25"/>
  <c r="L382" i="25"/>
  <c r="M382" i="25"/>
  <c r="N382" i="25"/>
  <c r="O382" i="25"/>
  <c r="Q382" i="25"/>
  <c r="S382" i="25"/>
  <c r="T382" i="25"/>
  <c r="U382" i="25"/>
  <c r="V382" i="25"/>
  <c r="W382" i="25"/>
  <c r="Y382" i="25"/>
  <c r="Z382" i="25"/>
  <c r="AA382" i="25"/>
  <c r="AB382" i="25"/>
  <c r="K383" i="25"/>
  <c r="L383" i="25"/>
  <c r="M383" i="25"/>
  <c r="N383" i="25"/>
  <c r="O383" i="25"/>
  <c r="Q383" i="25"/>
  <c r="S383" i="25"/>
  <c r="T383" i="25"/>
  <c r="U383" i="25"/>
  <c r="V383" i="25"/>
  <c r="W383" i="25"/>
  <c r="Y383" i="25"/>
  <c r="Z383" i="25"/>
  <c r="AA383" i="25"/>
  <c r="AB383" i="25"/>
  <c r="K384" i="25"/>
  <c r="L384" i="25"/>
  <c r="M384" i="25"/>
  <c r="N384" i="25"/>
  <c r="O384" i="25"/>
  <c r="Q384" i="25"/>
  <c r="S384" i="25"/>
  <c r="T384" i="25"/>
  <c r="U384" i="25"/>
  <c r="V384" i="25"/>
  <c r="W384" i="25"/>
  <c r="Y384" i="25"/>
  <c r="Z384" i="25"/>
  <c r="AA384" i="25"/>
  <c r="AB384" i="25"/>
  <c r="K385" i="25"/>
  <c r="L385" i="25"/>
  <c r="M385" i="25"/>
  <c r="N385" i="25"/>
  <c r="O385" i="25"/>
  <c r="Q385" i="25"/>
  <c r="S385" i="25"/>
  <c r="T385" i="25"/>
  <c r="U385" i="25"/>
  <c r="V385" i="25"/>
  <c r="W385" i="25"/>
  <c r="Y385" i="25"/>
  <c r="Z385" i="25"/>
  <c r="AA385" i="25"/>
  <c r="AB385" i="25"/>
  <c r="K386" i="25"/>
  <c r="L386" i="25"/>
  <c r="M386" i="25"/>
  <c r="N386" i="25"/>
  <c r="O386" i="25"/>
  <c r="Q386" i="25"/>
  <c r="S386" i="25"/>
  <c r="T386" i="25"/>
  <c r="U386" i="25"/>
  <c r="V386" i="25"/>
  <c r="W386" i="25"/>
  <c r="Y386" i="25"/>
  <c r="Z386" i="25"/>
  <c r="AA386" i="25"/>
  <c r="AB386" i="25"/>
  <c r="K387" i="25"/>
  <c r="L387" i="25"/>
  <c r="M387" i="25"/>
  <c r="N387" i="25"/>
  <c r="O387" i="25"/>
  <c r="Q387" i="25"/>
  <c r="S387" i="25"/>
  <c r="T387" i="25"/>
  <c r="U387" i="25"/>
  <c r="V387" i="25"/>
  <c r="W387" i="25"/>
  <c r="Y387" i="25"/>
  <c r="Z387" i="25"/>
  <c r="AA387" i="25"/>
  <c r="AB387" i="25"/>
  <c r="K365" i="25"/>
  <c r="L365" i="25"/>
  <c r="M365" i="25"/>
  <c r="N365" i="25"/>
  <c r="O365" i="25"/>
  <c r="Q365" i="25"/>
  <c r="S365" i="25"/>
  <c r="T365" i="25"/>
  <c r="U365" i="25"/>
  <c r="V365" i="25"/>
  <c r="W365" i="25"/>
  <c r="Y365" i="25"/>
  <c r="Z365" i="25"/>
  <c r="I256" i="25"/>
  <c r="J256" i="25"/>
  <c r="K256" i="25"/>
  <c r="L256" i="25"/>
  <c r="M256" i="25"/>
  <c r="N256" i="25"/>
  <c r="O256" i="25"/>
  <c r="Q256" i="25"/>
  <c r="R256" i="25"/>
  <c r="T256" i="25"/>
  <c r="U256" i="25"/>
  <c r="V256" i="25"/>
  <c r="W256" i="25"/>
  <c r="Y256" i="25"/>
  <c r="Z256" i="25"/>
  <c r="I257" i="25"/>
  <c r="J257" i="25"/>
  <c r="K257" i="25"/>
  <c r="L257" i="25"/>
  <c r="M257" i="25"/>
  <c r="N257" i="25"/>
  <c r="O257" i="25"/>
  <c r="Q257" i="25"/>
  <c r="R257" i="25"/>
  <c r="T257" i="25"/>
  <c r="U257" i="25"/>
  <c r="V257" i="25"/>
  <c r="W257" i="25"/>
  <c r="Y257" i="25"/>
  <c r="Z257" i="25"/>
  <c r="I258" i="25"/>
  <c r="J258" i="25"/>
  <c r="K258" i="25"/>
  <c r="L258" i="25"/>
  <c r="M258" i="25"/>
  <c r="N258" i="25"/>
  <c r="O258" i="25"/>
  <c r="Q258" i="25"/>
  <c r="R258" i="25"/>
  <c r="T258" i="25"/>
  <c r="U258" i="25"/>
  <c r="V258" i="25"/>
  <c r="W258" i="25"/>
  <c r="Y258" i="25"/>
  <c r="Z258" i="25"/>
  <c r="I259" i="25"/>
  <c r="J259" i="25"/>
  <c r="K259" i="25"/>
  <c r="L259" i="25"/>
  <c r="M259" i="25"/>
  <c r="N259" i="25"/>
  <c r="O259" i="25"/>
  <c r="Q259" i="25"/>
  <c r="R259" i="25"/>
  <c r="T259" i="25"/>
  <c r="U259" i="25"/>
  <c r="V259" i="25"/>
  <c r="W259" i="25"/>
  <c r="Y259" i="25"/>
  <c r="Z259" i="25"/>
  <c r="I260" i="25"/>
  <c r="J260" i="25"/>
  <c r="K260" i="25"/>
  <c r="L260" i="25"/>
  <c r="M260" i="25"/>
  <c r="N260" i="25"/>
  <c r="O260" i="25"/>
  <c r="Q260" i="25"/>
  <c r="R260" i="25"/>
  <c r="T260" i="25"/>
  <c r="U260" i="25"/>
  <c r="V260" i="25"/>
  <c r="W260" i="25"/>
  <c r="Y260" i="25"/>
  <c r="Z260" i="25"/>
  <c r="I261" i="25"/>
  <c r="J261" i="25"/>
  <c r="K261" i="25"/>
  <c r="L261" i="25"/>
  <c r="M261" i="25"/>
  <c r="N261" i="25"/>
  <c r="O261" i="25"/>
  <c r="Q261" i="25"/>
  <c r="R261" i="25"/>
  <c r="T261" i="25"/>
  <c r="U261" i="25"/>
  <c r="V261" i="25"/>
  <c r="W261" i="25"/>
  <c r="Y261" i="25"/>
  <c r="Z261" i="25"/>
  <c r="I262" i="25"/>
  <c r="J262" i="25"/>
  <c r="K262" i="25"/>
  <c r="L262" i="25"/>
  <c r="M262" i="25"/>
  <c r="N262" i="25"/>
  <c r="O262" i="25"/>
  <c r="Q262" i="25"/>
  <c r="R262" i="25"/>
  <c r="T262" i="25"/>
  <c r="U262" i="25"/>
  <c r="V262" i="25"/>
  <c r="W262" i="25"/>
  <c r="Y262" i="25"/>
  <c r="Z262" i="25"/>
  <c r="I263" i="25"/>
  <c r="J263" i="25"/>
  <c r="K263" i="25"/>
  <c r="L263" i="25"/>
  <c r="M263" i="25"/>
  <c r="N263" i="25"/>
  <c r="O263" i="25"/>
  <c r="Q263" i="25"/>
  <c r="R263" i="25"/>
  <c r="T263" i="25"/>
  <c r="U263" i="25"/>
  <c r="V263" i="25"/>
  <c r="W263" i="25"/>
  <c r="Y263" i="25"/>
  <c r="Z263" i="25"/>
  <c r="I264" i="25"/>
  <c r="J264" i="25"/>
  <c r="K264" i="25"/>
  <c r="L264" i="25"/>
  <c r="M264" i="25"/>
  <c r="N264" i="25"/>
  <c r="O264" i="25"/>
  <c r="Q264" i="25"/>
  <c r="R264" i="25"/>
  <c r="T264" i="25"/>
  <c r="U264" i="25"/>
  <c r="V264" i="25"/>
  <c r="W264" i="25"/>
  <c r="Y264" i="25"/>
  <c r="Z264" i="25"/>
  <c r="I265" i="25"/>
  <c r="J265" i="25"/>
  <c r="K265" i="25"/>
  <c r="L265" i="25"/>
  <c r="M265" i="25"/>
  <c r="N265" i="25"/>
  <c r="O265" i="25"/>
  <c r="Q265" i="25"/>
  <c r="R265" i="25"/>
  <c r="T265" i="25"/>
  <c r="U265" i="25"/>
  <c r="V265" i="25"/>
  <c r="W265" i="25"/>
  <c r="Y265" i="25"/>
  <c r="Z265" i="25"/>
  <c r="I266" i="25"/>
  <c r="J266" i="25"/>
  <c r="K266" i="25"/>
  <c r="L266" i="25"/>
  <c r="M266" i="25"/>
  <c r="N266" i="25"/>
  <c r="O266" i="25"/>
  <c r="Q266" i="25"/>
  <c r="R266" i="25"/>
  <c r="T266" i="25"/>
  <c r="U266" i="25"/>
  <c r="V266" i="25"/>
  <c r="W266" i="25"/>
  <c r="Y266" i="25"/>
  <c r="Z266" i="25"/>
  <c r="I267" i="25"/>
  <c r="J267" i="25"/>
  <c r="K267" i="25"/>
  <c r="L267" i="25"/>
  <c r="M267" i="25"/>
  <c r="N267" i="25"/>
  <c r="O267" i="25"/>
  <c r="Q267" i="25"/>
  <c r="R267" i="25"/>
  <c r="T267" i="25"/>
  <c r="U267" i="25"/>
  <c r="V267" i="25"/>
  <c r="W267" i="25"/>
  <c r="Y267" i="25"/>
  <c r="Z267" i="25"/>
  <c r="I268" i="25"/>
  <c r="J268" i="25"/>
  <c r="K268" i="25"/>
  <c r="L268" i="25"/>
  <c r="M268" i="25"/>
  <c r="N268" i="25"/>
  <c r="O268" i="25"/>
  <c r="Q268" i="25"/>
  <c r="R268" i="25"/>
  <c r="T268" i="25"/>
  <c r="U268" i="25"/>
  <c r="V268" i="25"/>
  <c r="W268" i="25"/>
  <c r="Y268" i="25"/>
  <c r="Z268" i="25"/>
  <c r="I269" i="25"/>
  <c r="J269" i="25"/>
  <c r="K269" i="25"/>
  <c r="L269" i="25"/>
  <c r="M269" i="25"/>
  <c r="N269" i="25"/>
  <c r="O269" i="25"/>
  <c r="Q269" i="25"/>
  <c r="R269" i="25"/>
  <c r="T269" i="25"/>
  <c r="U269" i="25"/>
  <c r="V269" i="25"/>
  <c r="W269" i="25"/>
  <c r="Y269" i="25"/>
  <c r="Z269" i="25"/>
  <c r="I270" i="25"/>
  <c r="J270" i="25"/>
  <c r="K270" i="25"/>
  <c r="L270" i="25"/>
  <c r="M270" i="25"/>
  <c r="N270" i="25"/>
  <c r="O270" i="25"/>
  <c r="Q270" i="25"/>
  <c r="R270" i="25"/>
  <c r="T270" i="25"/>
  <c r="U270" i="25"/>
  <c r="V270" i="25"/>
  <c r="W270" i="25"/>
  <c r="Y270" i="25"/>
  <c r="Z270" i="25"/>
  <c r="I271" i="25"/>
  <c r="J271" i="25"/>
  <c r="K271" i="25"/>
  <c r="L271" i="25"/>
  <c r="M271" i="25"/>
  <c r="N271" i="25"/>
  <c r="O271" i="25"/>
  <c r="Q271" i="25"/>
  <c r="R271" i="25"/>
  <c r="T271" i="25"/>
  <c r="U271" i="25"/>
  <c r="V271" i="25"/>
  <c r="W271" i="25"/>
  <c r="Y271" i="25"/>
  <c r="Z271" i="25"/>
  <c r="I272" i="25"/>
  <c r="J272" i="25"/>
  <c r="K272" i="25"/>
  <c r="L272" i="25"/>
  <c r="M272" i="25"/>
  <c r="N272" i="25"/>
  <c r="O272" i="25"/>
  <c r="Q272" i="25"/>
  <c r="R272" i="25"/>
  <c r="T272" i="25"/>
  <c r="U272" i="25"/>
  <c r="V272" i="25"/>
  <c r="W272" i="25"/>
  <c r="Y272" i="25"/>
  <c r="Z272" i="25"/>
  <c r="I273" i="25"/>
  <c r="J273" i="25"/>
  <c r="K273" i="25"/>
  <c r="L273" i="25"/>
  <c r="M273" i="25"/>
  <c r="N273" i="25"/>
  <c r="O273" i="25"/>
  <c r="Q273" i="25"/>
  <c r="R273" i="25"/>
  <c r="T273" i="25"/>
  <c r="U273" i="25"/>
  <c r="V273" i="25"/>
  <c r="W273" i="25"/>
  <c r="Y273" i="25"/>
  <c r="Z273" i="25"/>
  <c r="I274" i="25"/>
  <c r="J274" i="25"/>
  <c r="K274" i="25"/>
  <c r="L274" i="25"/>
  <c r="M274" i="25"/>
  <c r="N274" i="25"/>
  <c r="O274" i="25"/>
  <c r="Q274" i="25"/>
  <c r="R274" i="25"/>
  <c r="T274" i="25"/>
  <c r="U274" i="25"/>
  <c r="V274" i="25"/>
  <c r="W274" i="25"/>
  <c r="Y274" i="25"/>
  <c r="Z274" i="25"/>
  <c r="I275" i="25"/>
  <c r="J275" i="25"/>
  <c r="K275" i="25"/>
  <c r="L275" i="25"/>
  <c r="M275" i="25"/>
  <c r="N275" i="25"/>
  <c r="O275" i="25"/>
  <c r="Q275" i="25"/>
  <c r="R275" i="25"/>
  <c r="T275" i="25"/>
  <c r="U275" i="25"/>
  <c r="V275" i="25"/>
  <c r="W275" i="25"/>
  <c r="Y275" i="25"/>
  <c r="Z275" i="25"/>
  <c r="I276" i="25"/>
  <c r="J276" i="25"/>
  <c r="K276" i="25"/>
  <c r="L276" i="25"/>
  <c r="M276" i="25"/>
  <c r="N276" i="25"/>
  <c r="O276" i="25"/>
  <c r="Q276" i="25"/>
  <c r="R276" i="25"/>
  <c r="T276" i="25"/>
  <c r="U276" i="25"/>
  <c r="V276" i="25"/>
  <c r="W276" i="25"/>
  <c r="Y276" i="25"/>
  <c r="Z276" i="25"/>
  <c r="I277" i="25"/>
  <c r="J277" i="25"/>
  <c r="K277" i="25"/>
  <c r="L277" i="25"/>
  <c r="M277" i="25"/>
  <c r="N277" i="25"/>
  <c r="O277" i="25"/>
  <c r="Q277" i="25"/>
  <c r="R277" i="25"/>
  <c r="T277" i="25"/>
  <c r="U277" i="25"/>
  <c r="V277" i="25"/>
  <c r="W277" i="25"/>
  <c r="Y277" i="25"/>
  <c r="Z277" i="25"/>
  <c r="I278" i="25"/>
  <c r="J278" i="25"/>
  <c r="K278" i="25"/>
  <c r="L278" i="25"/>
  <c r="M278" i="25"/>
  <c r="N278" i="25"/>
  <c r="O278" i="25"/>
  <c r="Q278" i="25"/>
  <c r="R278" i="25"/>
  <c r="T278" i="25"/>
  <c r="U278" i="25"/>
  <c r="V278" i="25"/>
  <c r="W278" i="25"/>
  <c r="Y278" i="25"/>
  <c r="Z278" i="25"/>
  <c r="I279" i="25"/>
  <c r="J279" i="25"/>
  <c r="K279" i="25"/>
  <c r="L279" i="25"/>
  <c r="M279" i="25"/>
  <c r="N279" i="25"/>
  <c r="O279" i="25"/>
  <c r="Q279" i="25"/>
  <c r="R279" i="25"/>
  <c r="T279" i="25"/>
  <c r="U279" i="25"/>
  <c r="V279" i="25"/>
  <c r="W279" i="25"/>
  <c r="Y279" i="25"/>
  <c r="Z279" i="25"/>
  <c r="I280" i="25"/>
  <c r="J280" i="25"/>
  <c r="K280" i="25"/>
  <c r="L280" i="25"/>
  <c r="M280" i="25"/>
  <c r="N280" i="25"/>
  <c r="O280" i="25"/>
  <c r="Q280" i="25"/>
  <c r="R280" i="25"/>
  <c r="T280" i="25"/>
  <c r="U280" i="25"/>
  <c r="V280" i="25"/>
  <c r="W280" i="25"/>
  <c r="Y280" i="25"/>
  <c r="Z280" i="25"/>
  <c r="I281" i="25"/>
  <c r="J281" i="25"/>
  <c r="K281" i="25"/>
  <c r="L281" i="25"/>
  <c r="M281" i="25"/>
  <c r="N281" i="25"/>
  <c r="O281" i="25"/>
  <c r="Q281" i="25"/>
  <c r="R281" i="25"/>
  <c r="T281" i="25"/>
  <c r="U281" i="25"/>
  <c r="V281" i="25"/>
  <c r="W281" i="25"/>
  <c r="Y281" i="25"/>
  <c r="Z281" i="25"/>
  <c r="I282" i="25"/>
  <c r="J282" i="25"/>
  <c r="K282" i="25"/>
  <c r="L282" i="25"/>
  <c r="M282" i="25"/>
  <c r="N282" i="25"/>
  <c r="O282" i="25"/>
  <c r="Q282" i="25"/>
  <c r="R282" i="25"/>
  <c r="T282" i="25"/>
  <c r="U282" i="25"/>
  <c r="V282" i="25"/>
  <c r="W282" i="25"/>
  <c r="Y282" i="25"/>
  <c r="Z282" i="25"/>
  <c r="I283" i="25"/>
  <c r="J283" i="25"/>
  <c r="K283" i="25"/>
  <c r="L283" i="25"/>
  <c r="M283" i="25"/>
  <c r="N283" i="25"/>
  <c r="O283" i="25"/>
  <c r="Q283" i="25"/>
  <c r="R283" i="25"/>
  <c r="T283" i="25"/>
  <c r="U283" i="25"/>
  <c r="V283" i="25"/>
  <c r="W283" i="25"/>
  <c r="Y283" i="25"/>
  <c r="Z283" i="25"/>
  <c r="I284" i="25"/>
  <c r="J284" i="25"/>
  <c r="K284" i="25"/>
  <c r="L284" i="25"/>
  <c r="M284" i="25"/>
  <c r="N284" i="25"/>
  <c r="O284" i="25"/>
  <c r="Q284" i="25"/>
  <c r="R284" i="25"/>
  <c r="T284" i="25"/>
  <c r="U284" i="25"/>
  <c r="V284" i="25"/>
  <c r="W284" i="25"/>
  <c r="Y284" i="25"/>
  <c r="Z284" i="25"/>
  <c r="I285" i="25"/>
  <c r="J285" i="25"/>
  <c r="K285" i="25"/>
  <c r="L285" i="25"/>
  <c r="M285" i="25"/>
  <c r="N285" i="25"/>
  <c r="O285" i="25"/>
  <c r="Q285" i="25"/>
  <c r="R285" i="25"/>
  <c r="T285" i="25"/>
  <c r="U285" i="25"/>
  <c r="V285" i="25"/>
  <c r="W285" i="25"/>
  <c r="Y285" i="25"/>
  <c r="Z285" i="25"/>
  <c r="I286" i="25"/>
  <c r="J286" i="25"/>
  <c r="K286" i="25"/>
  <c r="L286" i="25"/>
  <c r="M286" i="25"/>
  <c r="N286" i="25"/>
  <c r="O286" i="25"/>
  <c r="Q286" i="25"/>
  <c r="R286" i="25"/>
  <c r="T286" i="25"/>
  <c r="U286" i="25"/>
  <c r="V286" i="25"/>
  <c r="W286" i="25"/>
  <c r="Y286" i="25"/>
  <c r="Z286" i="25"/>
  <c r="I287" i="25"/>
  <c r="J287" i="25"/>
  <c r="K287" i="25"/>
  <c r="L287" i="25"/>
  <c r="M287" i="25"/>
  <c r="N287" i="25"/>
  <c r="O287" i="25"/>
  <c r="Q287" i="25"/>
  <c r="R287" i="25"/>
  <c r="T287" i="25"/>
  <c r="U287" i="25"/>
  <c r="V287" i="25"/>
  <c r="W287" i="25"/>
  <c r="Y287" i="25"/>
  <c r="Z287" i="25"/>
  <c r="I288" i="25"/>
  <c r="J288" i="25"/>
  <c r="K288" i="25"/>
  <c r="L288" i="25"/>
  <c r="M288" i="25"/>
  <c r="N288" i="25"/>
  <c r="O288" i="25"/>
  <c r="Q288" i="25"/>
  <c r="R288" i="25"/>
  <c r="T288" i="25"/>
  <c r="U288" i="25"/>
  <c r="V288" i="25"/>
  <c r="W288" i="25"/>
  <c r="Y288" i="25"/>
  <c r="Z288" i="25"/>
  <c r="I289" i="25"/>
  <c r="J289" i="25"/>
  <c r="K289" i="25"/>
  <c r="L289" i="25"/>
  <c r="M289" i="25"/>
  <c r="N289" i="25"/>
  <c r="O289" i="25"/>
  <c r="Q289" i="25"/>
  <c r="R289" i="25"/>
  <c r="T289" i="25"/>
  <c r="U289" i="25"/>
  <c r="V289" i="25"/>
  <c r="W289" i="25"/>
  <c r="Y289" i="25"/>
  <c r="Z289" i="25"/>
  <c r="I290" i="25"/>
  <c r="J290" i="25"/>
  <c r="K290" i="25"/>
  <c r="L290" i="25"/>
  <c r="M290" i="25"/>
  <c r="N290" i="25"/>
  <c r="O290" i="25"/>
  <c r="Q290" i="25"/>
  <c r="R290" i="25"/>
  <c r="T290" i="25"/>
  <c r="U290" i="25"/>
  <c r="V290" i="25"/>
  <c r="W290" i="25"/>
  <c r="Y290" i="25"/>
  <c r="Z290" i="25"/>
  <c r="I291" i="25"/>
  <c r="J291" i="25"/>
  <c r="K291" i="25"/>
  <c r="L291" i="25"/>
  <c r="M291" i="25"/>
  <c r="N291" i="25"/>
  <c r="O291" i="25"/>
  <c r="Q291" i="25"/>
  <c r="R291" i="25"/>
  <c r="T291" i="25"/>
  <c r="U291" i="25"/>
  <c r="V291" i="25"/>
  <c r="W291" i="25"/>
  <c r="Y291" i="25"/>
  <c r="Z291" i="25"/>
  <c r="I292" i="25"/>
  <c r="J292" i="25"/>
  <c r="K292" i="25"/>
  <c r="L292" i="25"/>
  <c r="M292" i="25"/>
  <c r="N292" i="25"/>
  <c r="O292" i="25"/>
  <c r="Q292" i="25"/>
  <c r="R292" i="25"/>
  <c r="T292" i="25"/>
  <c r="U292" i="25"/>
  <c r="V292" i="25"/>
  <c r="W292" i="25"/>
  <c r="Y292" i="25"/>
  <c r="Z292" i="25"/>
  <c r="I293" i="25"/>
  <c r="J293" i="25"/>
  <c r="K293" i="25"/>
  <c r="L293" i="25"/>
  <c r="M293" i="25"/>
  <c r="N293" i="25"/>
  <c r="O293" i="25"/>
  <c r="Q293" i="25"/>
  <c r="R293" i="25"/>
  <c r="T293" i="25"/>
  <c r="U293" i="25"/>
  <c r="V293" i="25"/>
  <c r="W293" i="25"/>
  <c r="Y293" i="25"/>
  <c r="Z293" i="25"/>
  <c r="I294" i="25"/>
  <c r="J294" i="25"/>
  <c r="K294" i="25"/>
  <c r="L294" i="25"/>
  <c r="M294" i="25"/>
  <c r="N294" i="25"/>
  <c r="O294" i="25"/>
  <c r="Q294" i="25"/>
  <c r="R294" i="25"/>
  <c r="T294" i="25"/>
  <c r="U294" i="25"/>
  <c r="V294" i="25"/>
  <c r="W294" i="25"/>
  <c r="Y294" i="25"/>
  <c r="Z294" i="25"/>
  <c r="I295" i="25"/>
  <c r="J295" i="25"/>
  <c r="K295" i="25"/>
  <c r="L295" i="25"/>
  <c r="M295" i="25"/>
  <c r="N295" i="25"/>
  <c r="O295" i="25"/>
  <c r="Q295" i="25"/>
  <c r="R295" i="25"/>
  <c r="T295" i="25"/>
  <c r="U295" i="25"/>
  <c r="V295" i="25"/>
  <c r="W295" i="25"/>
  <c r="Y295" i="25"/>
  <c r="Z295" i="25"/>
  <c r="I296" i="25"/>
  <c r="J296" i="25"/>
  <c r="K296" i="25"/>
  <c r="L296" i="25"/>
  <c r="M296" i="25"/>
  <c r="N296" i="25"/>
  <c r="O296" i="25"/>
  <c r="Q296" i="25"/>
  <c r="R296" i="25"/>
  <c r="T296" i="25"/>
  <c r="U296" i="25"/>
  <c r="V296" i="25"/>
  <c r="W296" i="25"/>
  <c r="Y296" i="25"/>
  <c r="Z296" i="25"/>
  <c r="I297" i="25"/>
  <c r="J297" i="25"/>
  <c r="K297" i="25"/>
  <c r="L297" i="25"/>
  <c r="M297" i="25"/>
  <c r="N297" i="25"/>
  <c r="O297" i="25"/>
  <c r="Q297" i="25"/>
  <c r="R297" i="25"/>
  <c r="T297" i="25"/>
  <c r="U297" i="25"/>
  <c r="V297" i="25"/>
  <c r="W297" i="25"/>
  <c r="Y297" i="25"/>
  <c r="Z297" i="25"/>
  <c r="I298" i="25"/>
  <c r="J298" i="25"/>
  <c r="K298" i="25"/>
  <c r="L298" i="25"/>
  <c r="M298" i="25"/>
  <c r="N298" i="25"/>
  <c r="O298" i="25"/>
  <c r="Q298" i="25"/>
  <c r="R298" i="25"/>
  <c r="T298" i="25"/>
  <c r="U298" i="25"/>
  <c r="V298" i="25"/>
  <c r="W298" i="25"/>
  <c r="Y298" i="25"/>
  <c r="Z298" i="25"/>
  <c r="I299" i="25"/>
  <c r="J299" i="25"/>
  <c r="K299" i="25"/>
  <c r="L299" i="25"/>
  <c r="M299" i="25"/>
  <c r="N299" i="25"/>
  <c r="O299" i="25"/>
  <c r="Q299" i="25"/>
  <c r="R299" i="25"/>
  <c r="T299" i="25"/>
  <c r="U299" i="25"/>
  <c r="V299" i="25"/>
  <c r="W299" i="25"/>
  <c r="Y299" i="25"/>
  <c r="Z299" i="25"/>
  <c r="I300" i="25"/>
  <c r="J300" i="25"/>
  <c r="K300" i="25"/>
  <c r="L300" i="25"/>
  <c r="M300" i="25"/>
  <c r="N300" i="25"/>
  <c r="O300" i="25"/>
  <c r="Q300" i="25"/>
  <c r="R300" i="25"/>
  <c r="T300" i="25"/>
  <c r="U300" i="25"/>
  <c r="V300" i="25"/>
  <c r="W300" i="25"/>
  <c r="Y300" i="25"/>
  <c r="Z300" i="25"/>
  <c r="I301" i="25"/>
  <c r="J301" i="25"/>
  <c r="K301" i="25"/>
  <c r="L301" i="25"/>
  <c r="M301" i="25"/>
  <c r="N301" i="25"/>
  <c r="O301" i="25"/>
  <c r="Q301" i="25"/>
  <c r="R301" i="25"/>
  <c r="T301" i="25"/>
  <c r="U301" i="25"/>
  <c r="V301" i="25"/>
  <c r="W301" i="25"/>
  <c r="Y301" i="25"/>
  <c r="Z301" i="25"/>
  <c r="I302" i="25"/>
  <c r="J302" i="25"/>
  <c r="K302" i="25"/>
  <c r="L302" i="25"/>
  <c r="M302" i="25"/>
  <c r="N302" i="25"/>
  <c r="O302" i="25"/>
  <c r="Q302" i="25"/>
  <c r="R302" i="25"/>
  <c r="T302" i="25"/>
  <c r="U302" i="25"/>
  <c r="V302" i="25"/>
  <c r="W302" i="25"/>
  <c r="Y302" i="25"/>
  <c r="Z302" i="25"/>
  <c r="I303" i="25"/>
  <c r="J303" i="25"/>
  <c r="K303" i="25"/>
  <c r="L303" i="25"/>
  <c r="M303" i="25"/>
  <c r="N303" i="25"/>
  <c r="O303" i="25"/>
  <c r="Q303" i="25"/>
  <c r="R303" i="25"/>
  <c r="T303" i="25"/>
  <c r="U303" i="25"/>
  <c r="V303" i="25"/>
  <c r="W303" i="25"/>
  <c r="Y303" i="25"/>
  <c r="Z303" i="25"/>
  <c r="I304" i="25"/>
  <c r="J304" i="25"/>
  <c r="K304" i="25"/>
  <c r="L304" i="25"/>
  <c r="M304" i="25"/>
  <c r="N304" i="25"/>
  <c r="O304" i="25"/>
  <c r="Q304" i="25"/>
  <c r="R304" i="25"/>
  <c r="T304" i="25"/>
  <c r="U304" i="25"/>
  <c r="V304" i="25"/>
  <c r="W304" i="25"/>
  <c r="Y304" i="25"/>
  <c r="Z304" i="25"/>
  <c r="I305" i="25"/>
  <c r="J305" i="25"/>
  <c r="K305" i="25"/>
  <c r="L305" i="25"/>
  <c r="M305" i="25"/>
  <c r="N305" i="25"/>
  <c r="O305" i="25"/>
  <c r="Q305" i="25"/>
  <c r="R305" i="25"/>
  <c r="T305" i="25"/>
  <c r="U305" i="25"/>
  <c r="V305" i="25"/>
  <c r="W305" i="25"/>
  <c r="Y305" i="25"/>
  <c r="Z305" i="25"/>
  <c r="I306" i="25"/>
  <c r="J306" i="25"/>
  <c r="K306" i="25"/>
  <c r="L306" i="25"/>
  <c r="M306" i="25"/>
  <c r="N306" i="25"/>
  <c r="O306" i="25"/>
  <c r="Q306" i="25"/>
  <c r="R306" i="25"/>
  <c r="T306" i="25"/>
  <c r="U306" i="25"/>
  <c r="V306" i="25"/>
  <c r="W306" i="25"/>
  <c r="Y306" i="25"/>
  <c r="Z306" i="25"/>
  <c r="I307" i="25"/>
  <c r="J307" i="25"/>
  <c r="K307" i="25"/>
  <c r="L307" i="25"/>
  <c r="M307" i="25"/>
  <c r="N307" i="25"/>
  <c r="O307" i="25"/>
  <c r="Q307" i="25"/>
  <c r="R307" i="25"/>
  <c r="T307" i="25"/>
  <c r="U307" i="25"/>
  <c r="V307" i="25"/>
  <c r="W307" i="25"/>
  <c r="Y307" i="25"/>
  <c r="Z307" i="25"/>
  <c r="I308" i="25"/>
  <c r="J308" i="25"/>
  <c r="K308" i="25"/>
  <c r="L308" i="25"/>
  <c r="M308" i="25"/>
  <c r="N308" i="25"/>
  <c r="O308" i="25"/>
  <c r="Q308" i="25"/>
  <c r="R308" i="25"/>
  <c r="T308" i="25"/>
  <c r="U308" i="25"/>
  <c r="V308" i="25"/>
  <c r="W308" i="25"/>
  <c r="Y308" i="25"/>
  <c r="Z308" i="25"/>
  <c r="I309" i="25"/>
  <c r="J309" i="25"/>
  <c r="K309" i="25"/>
  <c r="L309" i="25"/>
  <c r="M309" i="25"/>
  <c r="N309" i="25"/>
  <c r="O309" i="25"/>
  <c r="Q309" i="25"/>
  <c r="R309" i="25"/>
  <c r="T309" i="25"/>
  <c r="U309" i="25"/>
  <c r="V309" i="25"/>
  <c r="W309" i="25"/>
  <c r="Y309" i="25"/>
  <c r="Z309" i="25"/>
  <c r="I310" i="25"/>
  <c r="J310" i="25"/>
  <c r="K310" i="25"/>
  <c r="L310" i="25"/>
  <c r="M310" i="25"/>
  <c r="N310" i="25"/>
  <c r="O310" i="25"/>
  <c r="Q310" i="25"/>
  <c r="R310" i="25"/>
  <c r="T310" i="25"/>
  <c r="U310" i="25"/>
  <c r="V310" i="25"/>
  <c r="W310" i="25"/>
  <c r="Y310" i="25"/>
  <c r="Z310" i="25"/>
  <c r="I311" i="25"/>
  <c r="J311" i="25"/>
  <c r="K311" i="25"/>
  <c r="L311" i="25"/>
  <c r="M311" i="25"/>
  <c r="N311" i="25"/>
  <c r="O311" i="25"/>
  <c r="Q311" i="25"/>
  <c r="R311" i="25"/>
  <c r="T311" i="25"/>
  <c r="U311" i="25"/>
  <c r="V311" i="25"/>
  <c r="W311" i="25"/>
  <c r="Y311" i="25"/>
  <c r="Z311" i="25"/>
  <c r="I312" i="25"/>
  <c r="J312" i="25"/>
  <c r="K312" i="25"/>
  <c r="L312" i="25"/>
  <c r="M312" i="25"/>
  <c r="N312" i="25"/>
  <c r="O312" i="25"/>
  <c r="Q312" i="25"/>
  <c r="R312" i="25"/>
  <c r="T312" i="25"/>
  <c r="U312" i="25"/>
  <c r="V312" i="25"/>
  <c r="W312" i="25"/>
  <c r="Y312" i="25"/>
  <c r="Z312" i="25"/>
  <c r="I313" i="25"/>
  <c r="J313" i="25"/>
  <c r="K313" i="25"/>
  <c r="L313" i="25"/>
  <c r="M313" i="25"/>
  <c r="N313" i="25"/>
  <c r="O313" i="25"/>
  <c r="Q313" i="25"/>
  <c r="R313" i="25"/>
  <c r="T313" i="25"/>
  <c r="U313" i="25"/>
  <c r="V313" i="25"/>
  <c r="W313" i="25"/>
  <c r="Y313" i="25"/>
  <c r="Z313" i="25"/>
  <c r="I314" i="25"/>
  <c r="J314" i="25"/>
  <c r="K314" i="25"/>
  <c r="L314" i="25"/>
  <c r="M314" i="25"/>
  <c r="N314" i="25"/>
  <c r="O314" i="25"/>
  <c r="Q314" i="25"/>
  <c r="R314" i="25"/>
  <c r="T314" i="25"/>
  <c r="U314" i="25"/>
  <c r="V314" i="25"/>
  <c r="W314" i="25"/>
  <c r="Y314" i="25"/>
  <c r="Z314" i="25"/>
  <c r="I315" i="25"/>
  <c r="J315" i="25"/>
  <c r="K315" i="25"/>
  <c r="L315" i="25"/>
  <c r="M315" i="25"/>
  <c r="N315" i="25"/>
  <c r="O315" i="25"/>
  <c r="Q315" i="25"/>
  <c r="R315" i="25"/>
  <c r="T315" i="25"/>
  <c r="U315" i="25"/>
  <c r="V315" i="25"/>
  <c r="W315" i="25"/>
  <c r="Y315" i="25"/>
  <c r="Z315" i="25"/>
  <c r="I316" i="25"/>
  <c r="J316" i="25"/>
  <c r="K316" i="25"/>
  <c r="L316" i="25"/>
  <c r="M316" i="25"/>
  <c r="N316" i="25"/>
  <c r="O316" i="25"/>
  <c r="Q316" i="25"/>
  <c r="R316" i="25"/>
  <c r="T316" i="25"/>
  <c r="U316" i="25"/>
  <c r="V316" i="25"/>
  <c r="W316" i="25"/>
  <c r="Y316" i="25"/>
  <c r="Z316" i="25"/>
  <c r="I317" i="25"/>
  <c r="J317" i="25"/>
  <c r="K317" i="25"/>
  <c r="L317" i="25"/>
  <c r="M317" i="25"/>
  <c r="N317" i="25"/>
  <c r="O317" i="25"/>
  <c r="Q317" i="25"/>
  <c r="R317" i="25"/>
  <c r="T317" i="25"/>
  <c r="U317" i="25"/>
  <c r="V317" i="25"/>
  <c r="W317" i="25"/>
  <c r="Y317" i="25"/>
  <c r="Z317" i="25"/>
  <c r="I318" i="25"/>
  <c r="J318" i="25"/>
  <c r="K318" i="25"/>
  <c r="L318" i="25"/>
  <c r="M318" i="25"/>
  <c r="N318" i="25"/>
  <c r="O318" i="25"/>
  <c r="Q318" i="25"/>
  <c r="R318" i="25"/>
  <c r="T318" i="25"/>
  <c r="U318" i="25"/>
  <c r="V318" i="25"/>
  <c r="W318" i="25"/>
  <c r="Y318" i="25"/>
  <c r="Z318" i="25"/>
  <c r="I319" i="25"/>
  <c r="J319" i="25"/>
  <c r="K319" i="25"/>
  <c r="L319" i="25"/>
  <c r="M319" i="25"/>
  <c r="N319" i="25"/>
  <c r="O319" i="25"/>
  <c r="Q319" i="25"/>
  <c r="R319" i="25"/>
  <c r="T319" i="25"/>
  <c r="U319" i="25"/>
  <c r="V319" i="25"/>
  <c r="W319" i="25"/>
  <c r="Y319" i="25"/>
  <c r="Z319" i="25"/>
  <c r="I320" i="25"/>
  <c r="J320" i="25"/>
  <c r="K320" i="25"/>
  <c r="L320" i="25"/>
  <c r="M320" i="25"/>
  <c r="N320" i="25"/>
  <c r="O320" i="25"/>
  <c r="Q320" i="25"/>
  <c r="R320" i="25"/>
  <c r="T320" i="25"/>
  <c r="U320" i="25"/>
  <c r="V320" i="25"/>
  <c r="W320" i="25"/>
  <c r="Y320" i="25"/>
  <c r="Z320" i="25"/>
  <c r="I321" i="25"/>
  <c r="J321" i="25"/>
  <c r="K321" i="25"/>
  <c r="L321" i="25"/>
  <c r="M321" i="25"/>
  <c r="N321" i="25"/>
  <c r="O321" i="25"/>
  <c r="Q321" i="25"/>
  <c r="R321" i="25"/>
  <c r="T321" i="25"/>
  <c r="U321" i="25"/>
  <c r="V321" i="25"/>
  <c r="W321" i="25"/>
  <c r="Y321" i="25"/>
  <c r="Z321" i="25"/>
  <c r="I322" i="25"/>
  <c r="J322" i="25"/>
  <c r="K322" i="25"/>
  <c r="L322" i="25"/>
  <c r="M322" i="25"/>
  <c r="N322" i="25"/>
  <c r="O322" i="25"/>
  <c r="Q322" i="25"/>
  <c r="R322" i="25"/>
  <c r="T322" i="25"/>
  <c r="U322" i="25"/>
  <c r="V322" i="25"/>
  <c r="W322" i="25"/>
  <c r="Y322" i="25"/>
  <c r="Z322" i="25"/>
  <c r="I323" i="25"/>
  <c r="J323" i="25"/>
  <c r="K323" i="25"/>
  <c r="L323" i="25"/>
  <c r="M323" i="25"/>
  <c r="N323" i="25"/>
  <c r="O323" i="25"/>
  <c r="Q323" i="25"/>
  <c r="R323" i="25"/>
  <c r="T323" i="25"/>
  <c r="U323" i="25"/>
  <c r="V323" i="25"/>
  <c r="W323" i="25"/>
  <c r="Y323" i="25"/>
  <c r="Z323" i="25"/>
  <c r="I324" i="25"/>
  <c r="J324" i="25"/>
  <c r="K324" i="25"/>
  <c r="L324" i="25"/>
  <c r="M324" i="25"/>
  <c r="N324" i="25"/>
  <c r="O324" i="25"/>
  <c r="Q324" i="25"/>
  <c r="R324" i="25"/>
  <c r="T324" i="25"/>
  <c r="U324" i="25"/>
  <c r="V324" i="25"/>
  <c r="W324" i="25"/>
  <c r="Y324" i="25"/>
  <c r="Z324" i="25"/>
  <c r="I325" i="25"/>
  <c r="J325" i="25"/>
  <c r="K325" i="25"/>
  <c r="L325" i="25"/>
  <c r="M325" i="25"/>
  <c r="N325" i="25"/>
  <c r="O325" i="25"/>
  <c r="Q325" i="25"/>
  <c r="R325" i="25"/>
  <c r="T325" i="25"/>
  <c r="U325" i="25"/>
  <c r="V325" i="25"/>
  <c r="W325" i="25"/>
  <c r="Y325" i="25"/>
  <c r="Z325" i="25"/>
  <c r="I326" i="25"/>
  <c r="J326" i="25"/>
  <c r="K326" i="25"/>
  <c r="L326" i="25"/>
  <c r="M326" i="25"/>
  <c r="N326" i="25"/>
  <c r="O326" i="25"/>
  <c r="Q326" i="25"/>
  <c r="R326" i="25"/>
  <c r="T326" i="25"/>
  <c r="U326" i="25"/>
  <c r="V326" i="25"/>
  <c r="W326" i="25"/>
  <c r="Y326" i="25"/>
  <c r="Z326" i="25"/>
  <c r="I327" i="25"/>
  <c r="J327" i="25"/>
  <c r="K327" i="25"/>
  <c r="L327" i="25"/>
  <c r="M327" i="25"/>
  <c r="N327" i="25"/>
  <c r="O327" i="25"/>
  <c r="Q327" i="25"/>
  <c r="R327" i="25"/>
  <c r="T327" i="25"/>
  <c r="U327" i="25"/>
  <c r="V327" i="25"/>
  <c r="W327" i="25"/>
  <c r="Y327" i="25"/>
  <c r="Z327" i="25"/>
  <c r="I328" i="25"/>
  <c r="J328" i="25"/>
  <c r="K328" i="25"/>
  <c r="L328" i="25"/>
  <c r="M328" i="25"/>
  <c r="N328" i="25"/>
  <c r="O328" i="25"/>
  <c r="Q328" i="25"/>
  <c r="R328" i="25"/>
  <c r="T328" i="25"/>
  <c r="U328" i="25"/>
  <c r="V328" i="25"/>
  <c r="W328" i="25"/>
  <c r="Y328" i="25"/>
  <c r="Z328" i="25"/>
  <c r="I329" i="25"/>
  <c r="J329" i="25"/>
  <c r="K329" i="25"/>
  <c r="L329" i="25"/>
  <c r="M329" i="25"/>
  <c r="N329" i="25"/>
  <c r="O329" i="25"/>
  <c r="Q329" i="25"/>
  <c r="R329" i="25"/>
  <c r="T329" i="25"/>
  <c r="U329" i="25"/>
  <c r="V329" i="25"/>
  <c r="W329" i="25"/>
  <c r="Y329" i="25"/>
  <c r="Z329" i="25"/>
  <c r="I330" i="25"/>
  <c r="J330" i="25"/>
  <c r="K330" i="25"/>
  <c r="L330" i="25"/>
  <c r="M330" i="25"/>
  <c r="N330" i="25"/>
  <c r="O330" i="25"/>
  <c r="Q330" i="25"/>
  <c r="R330" i="25"/>
  <c r="T330" i="25"/>
  <c r="U330" i="25"/>
  <c r="V330" i="25"/>
  <c r="W330" i="25"/>
  <c r="Y330" i="25"/>
  <c r="Z330" i="25"/>
  <c r="I331" i="25"/>
  <c r="J331" i="25"/>
  <c r="K331" i="25"/>
  <c r="L331" i="25"/>
  <c r="M331" i="25"/>
  <c r="N331" i="25"/>
  <c r="O331" i="25"/>
  <c r="Q331" i="25"/>
  <c r="R331" i="25"/>
  <c r="T331" i="25"/>
  <c r="U331" i="25"/>
  <c r="V331" i="25"/>
  <c r="W331" i="25"/>
  <c r="Y331" i="25"/>
  <c r="Z331" i="25"/>
  <c r="I332" i="25"/>
  <c r="J332" i="25"/>
  <c r="K332" i="25"/>
  <c r="L332" i="25"/>
  <c r="M332" i="25"/>
  <c r="N332" i="25"/>
  <c r="O332" i="25"/>
  <c r="Q332" i="25"/>
  <c r="R332" i="25"/>
  <c r="T332" i="25"/>
  <c r="U332" i="25"/>
  <c r="V332" i="25"/>
  <c r="W332" i="25"/>
  <c r="Y332" i="25"/>
  <c r="Z332" i="25"/>
  <c r="I333" i="25"/>
  <c r="J333" i="25"/>
  <c r="K333" i="25"/>
  <c r="L333" i="25"/>
  <c r="M333" i="25"/>
  <c r="N333" i="25"/>
  <c r="O333" i="25"/>
  <c r="Q333" i="25"/>
  <c r="R333" i="25"/>
  <c r="T333" i="25"/>
  <c r="U333" i="25"/>
  <c r="V333" i="25"/>
  <c r="W333" i="25"/>
  <c r="Y333" i="25"/>
  <c r="Z333" i="25"/>
  <c r="I334" i="25"/>
  <c r="J334" i="25"/>
  <c r="K334" i="25"/>
  <c r="L334" i="25"/>
  <c r="M334" i="25"/>
  <c r="N334" i="25"/>
  <c r="O334" i="25"/>
  <c r="Q334" i="25"/>
  <c r="R334" i="25"/>
  <c r="T334" i="25"/>
  <c r="U334" i="25"/>
  <c r="V334" i="25"/>
  <c r="W334" i="25"/>
  <c r="Y334" i="25"/>
  <c r="Z334" i="25"/>
  <c r="I335" i="25"/>
  <c r="J335" i="25"/>
  <c r="K335" i="25"/>
  <c r="L335" i="25"/>
  <c r="M335" i="25"/>
  <c r="N335" i="25"/>
  <c r="O335" i="25"/>
  <c r="Q335" i="25"/>
  <c r="R335" i="25"/>
  <c r="T335" i="25"/>
  <c r="U335" i="25"/>
  <c r="V335" i="25"/>
  <c r="W335" i="25"/>
  <c r="Y335" i="25"/>
  <c r="Z335" i="25"/>
  <c r="I336" i="25"/>
  <c r="J336" i="25"/>
  <c r="K336" i="25"/>
  <c r="L336" i="25"/>
  <c r="M336" i="25"/>
  <c r="N336" i="25"/>
  <c r="O336" i="25"/>
  <c r="Q336" i="25"/>
  <c r="R336" i="25"/>
  <c r="T336" i="25"/>
  <c r="U336" i="25"/>
  <c r="V336" i="25"/>
  <c r="W336" i="25"/>
  <c r="Y336" i="25"/>
  <c r="Z336" i="25"/>
  <c r="I337" i="25"/>
  <c r="J337" i="25"/>
  <c r="K337" i="25"/>
  <c r="L337" i="25"/>
  <c r="M337" i="25"/>
  <c r="N337" i="25"/>
  <c r="O337" i="25"/>
  <c r="Q337" i="25"/>
  <c r="R337" i="25"/>
  <c r="T337" i="25"/>
  <c r="U337" i="25"/>
  <c r="V337" i="25"/>
  <c r="W337" i="25"/>
  <c r="Y337" i="25"/>
  <c r="Z337" i="25"/>
  <c r="I338" i="25"/>
  <c r="J338" i="25"/>
  <c r="K338" i="25"/>
  <c r="L338" i="25"/>
  <c r="M338" i="25"/>
  <c r="N338" i="25"/>
  <c r="O338" i="25"/>
  <c r="Q338" i="25"/>
  <c r="R338" i="25"/>
  <c r="T338" i="25"/>
  <c r="U338" i="25"/>
  <c r="V338" i="25"/>
  <c r="W338" i="25"/>
  <c r="Y338" i="25"/>
  <c r="Z338" i="25"/>
  <c r="I339" i="25"/>
  <c r="J339" i="25"/>
  <c r="K339" i="25"/>
  <c r="L339" i="25"/>
  <c r="M339" i="25"/>
  <c r="N339" i="25"/>
  <c r="O339" i="25"/>
  <c r="Q339" i="25"/>
  <c r="R339" i="25"/>
  <c r="T339" i="25"/>
  <c r="U339" i="25"/>
  <c r="V339" i="25"/>
  <c r="W339" i="25"/>
  <c r="Y339" i="25"/>
  <c r="Z339" i="25"/>
  <c r="I340" i="25"/>
  <c r="J340" i="25"/>
  <c r="K340" i="25"/>
  <c r="L340" i="25"/>
  <c r="M340" i="25"/>
  <c r="N340" i="25"/>
  <c r="O340" i="25"/>
  <c r="Q340" i="25"/>
  <c r="R340" i="25"/>
  <c r="T340" i="25"/>
  <c r="U340" i="25"/>
  <c r="V340" i="25"/>
  <c r="W340" i="25"/>
  <c r="Y340" i="25"/>
  <c r="Z340" i="25"/>
  <c r="I341" i="25"/>
  <c r="J341" i="25"/>
  <c r="K341" i="25"/>
  <c r="L341" i="25"/>
  <c r="M341" i="25"/>
  <c r="N341" i="25"/>
  <c r="O341" i="25"/>
  <c r="Q341" i="25"/>
  <c r="R341" i="25"/>
  <c r="T341" i="25"/>
  <c r="U341" i="25"/>
  <c r="V341" i="25"/>
  <c r="W341" i="25"/>
  <c r="Y341" i="25"/>
  <c r="Z341" i="25"/>
  <c r="I342" i="25"/>
  <c r="J342" i="25"/>
  <c r="K342" i="25"/>
  <c r="L342" i="25"/>
  <c r="M342" i="25"/>
  <c r="N342" i="25"/>
  <c r="O342" i="25"/>
  <c r="Q342" i="25"/>
  <c r="R342" i="25"/>
  <c r="T342" i="25"/>
  <c r="U342" i="25"/>
  <c r="V342" i="25"/>
  <c r="W342" i="25"/>
  <c r="Y342" i="25"/>
  <c r="Z342" i="25"/>
  <c r="I343" i="25"/>
  <c r="J343" i="25"/>
  <c r="K343" i="25"/>
  <c r="L343" i="25"/>
  <c r="M343" i="25"/>
  <c r="N343" i="25"/>
  <c r="O343" i="25"/>
  <c r="Q343" i="25"/>
  <c r="R343" i="25"/>
  <c r="T343" i="25"/>
  <c r="U343" i="25"/>
  <c r="V343" i="25"/>
  <c r="W343" i="25"/>
  <c r="Y343" i="25"/>
  <c r="Z343" i="25"/>
  <c r="I344" i="25"/>
  <c r="J344" i="25"/>
  <c r="K344" i="25"/>
  <c r="L344" i="25"/>
  <c r="M344" i="25"/>
  <c r="N344" i="25"/>
  <c r="O344" i="25"/>
  <c r="Q344" i="25"/>
  <c r="R344" i="25"/>
  <c r="T344" i="25"/>
  <c r="U344" i="25"/>
  <c r="V344" i="25"/>
  <c r="W344" i="25"/>
  <c r="Y344" i="25"/>
  <c r="Z344" i="25"/>
  <c r="I345" i="25"/>
  <c r="J345" i="25"/>
  <c r="K345" i="25"/>
  <c r="L345" i="25"/>
  <c r="M345" i="25"/>
  <c r="N345" i="25"/>
  <c r="O345" i="25"/>
  <c r="Q345" i="25"/>
  <c r="R345" i="25"/>
  <c r="T345" i="25"/>
  <c r="U345" i="25"/>
  <c r="V345" i="25"/>
  <c r="W345" i="25"/>
  <c r="Y345" i="25"/>
  <c r="Z345" i="25"/>
  <c r="I346" i="25"/>
  <c r="J346" i="25"/>
  <c r="K346" i="25"/>
  <c r="L346" i="25"/>
  <c r="M346" i="25"/>
  <c r="N346" i="25"/>
  <c r="O346" i="25"/>
  <c r="Q346" i="25"/>
  <c r="R346" i="25"/>
  <c r="T346" i="25"/>
  <c r="U346" i="25"/>
  <c r="V346" i="25"/>
  <c r="W346" i="25"/>
  <c r="Y346" i="25"/>
  <c r="Z346" i="25"/>
  <c r="I347" i="25"/>
  <c r="J347" i="25"/>
  <c r="K347" i="25"/>
  <c r="L347" i="25"/>
  <c r="M347" i="25"/>
  <c r="N347" i="25"/>
  <c r="O347" i="25"/>
  <c r="Q347" i="25"/>
  <c r="R347" i="25"/>
  <c r="T347" i="25"/>
  <c r="U347" i="25"/>
  <c r="V347" i="25"/>
  <c r="W347" i="25"/>
  <c r="Y347" i="25"/>
  <c r="Z347" i="25"/>
  <c r="I348" i="25"/>
  <c r="J348" i="25"/>
  <c r="K348" i="25"/>
  <c r="L348" i="25"/>
  <c r="M348" i="25"/>
  <c r="N348" i="25"/>
  <c r="O348" i="25"/>
  <c r="Q348" i="25"/>
  <c r="R348" i="25"/>
  <c r="T348" i="25"/>
  <c r="U348" i="25"/>
  <c r="V348" i="25"/>
  <c r="W348" i="25"/>
  <c r="Y348" i="25"/>
  <c r="Z348" i="25"/>
  <c r="I349" i="25"/>
  <c r="J349" i="25"/>
  <c r="K349" i="25"/>
  <c r="L349" i="25"/>
  <c r="M349" i="25"/>
  <c r="N349" i="25"/>
  <c r="O349" i="25"/>
  <c r="Q349" i="25"/>
  <c r="R349" i="25"/>
  <c r="T349" i="25"/>
  <c r="U349" i="25"/>
  <c r="V349" i="25"/>
  <c r="W349" i="25"/>
  <c r="Y349" i="25"/>
  <c r="Z349" i="25"/>
  <c r="I350" i="25"/>
  <c r="J350" i="25"/>
  <c r="K350" i="25"/>
  <c r="L350" i="25"/>
  <c r="M350" i="25"/>
  <c r="N350" i="25"/>
  <c r="O350" i="25"/>
  <c r="Q350" i="25"/>
  <c r="R350" i="25"/>
  <c r="T350" i="25"/>
  <c r="U350" i="25"/>
  <c r="V350" i="25"/>
  <c r="W350" i="25"/>
  <c r="Y350" i="25"/>
  <c r="Z350" i="25"/>
  <c r="I351" i="25"/>
  <c r="J351" i="25"/>
  <c r="K351" i="25"/>
  <c r="L351" i="25"/>
  <c r="M351" i="25"/>
  <c r="N351" i="25"/>
  <c r="O351" i="25"/>
  <c r="Q351" i="25"/>
  <c r="R351" i="25"/>
  <c r="T351" i="25"/>
  <c r="U351" i="25"/>
  <c r="V351" i="25"/>
  <c r="W351" i="25"/>
  <c r="Y351" i="25"/>
  <c r="Z351" i="25"/>
  <c r="I352" i="25"/>
  <c r="J352" i="25"/>
  <c r="K352" i="25"/>
  <c r="L352" i="25"/>
  <c r="M352" i="25"/>
  <c r="N352" i="25"/>
  <c r="O352" i="25"/>
  <c r="Q352" i="25"/>
  <c r="R352" i="25"/>
  <c r="T352" i="25"/>
  <c r="U352" i="25"/>
  <c r="V352" i="25"/>
  <c r="W352" i="25"/>
  <c r="Y352" i="25"/>
  <c r="Z352" i="25"/>
  <c r="I353" i="25"/>
  <c r="J353" i="25"/>
  <c r="K353" i="25"/>
  <c r="L353" i="25"/>
  <c r="M353" i="25"/>
  <c r="N353" i="25"/>
  <c r="O353" i="25"/>
  <c r="Q353" i="25"/>
  <c r="R353" i="25"/>
  <c r="T353" i="25"/>
  <c r="U353" i="25"/>
  <c r="V353" i="25"/>
  <c r="W353" i="25"/>
  <c r="Y353" i="25"/>
  <c r="Z353" i="25"/>
  <c r="I354" i="25"/>
  <c r="J354" i="25"/>
  <c r="K354" i="25"/>
  <c r="L354" i="25"/>
  <c r="M354" i="25"/>
  <c r="N354" i="25"/>
  <c r="O354" i="25"/>
  <c r="Q354" i="25"/>
  <c r="R354" i="25"/>
  <c r="T354" i="25"/>
  <c r="U354" i="25"/>
  <c r="V354" i="25"/>
  <c r="W354" i="25"/>
  <c r="Y354" i="25"/>
  <c r="Z354" i="25"/>
  <c r="I355" i="25"/>
  <c r="J355" i="25"/>
  <c r="K355" i="25"/>
  <c r="L355" i="25"/>
  <c r="M355" i="25"/>
  <c r="N355" i="25"/>
  <c r="O355" i="25"/>
  <c r="Q355" i="25"/>
  <c r="R355" i="25"/>
  <c r="T355" i="25"/>
  <c r="U355" i="25"/>
  <c r="V355" i="25"/>
  <c r="W355" i="25"/>
  <c r="Y355" i="25"/>
  <c r="Z355" i="25"/>
  <c r="I356" i="25"/>
  <c r="J356" i="25"/>
  <c r="K356" i="25"/>
  <c r="L356" i="25"/>
  <c r="M356" i="25"/>
  <c r="N356" i="25"/>
  <c r="O356" i="25"/>
  <c r="Q356" i="25"/>
  <c r="R356" i="25"/>
  <c r="T356" i="25"/>
  <c r="U356" i="25"/>
  <c r="V356" i="25"/>
  <c r="W356" i="25"/>
  <c r="Y356" i="25"/>
  <c r="Z356" i="25"/>
  <c r="I357" i="25"/>
  <c r="J357" i="25"/>
  <c r="K357" i="25"/>
  <c r="L357" i="25"/>
  <c r="M357" i="25"/>
  <c r="N357" i="25"/>
  <c r="O357" i="25"/>
  <c r="Q357" i="25"/>
  <c r="R357" i="25"/>
  <c r="T357" i="25"/>
  <c r="U357" i="25"/>
  <c r="V357" i="25"/>
  <c r="W357" i="25"/>
  <c r="Y357" i="25"/>
  <c r="Z357" i="25"/>
  <c r="I358" i="25"/>
  <c r="J358" i="25"/>
  <c r="K358" i="25"/>
  <c r="L358" i="25"/>
  <c r="M358" i="25"/>
  <c r="N358" i="25"/>
  <c r="O358" i="25"/>
  <c r="Q358" i="25"/>
  <c r="R358" i="25"/>
  <c r="T358" i="25"/>
  <c r="U358" i="25"/>
  <c r="V358" i="25"/>
  <c r="W358" i="25"/>
  <c r="Y358" i="25"/>
  <c r="Z358" i="25"/>
  <c r="I359" i="25"/>
  <c r="J359" i="25"/>
  <c r="K359" i="25"/>
  <c r="L359" i="25"/>
  <c r="M359" i="25"/>
  <c r="N359" i="25"/>
  <c r="O359" i="25"/>
  <c r="Q359" i="25"/>
  <c r="R359" i="25"/>
  <c r="T359" i="25"/>
  <c r="U359" i="25"/>
  <c r="V359" i="25"/>
  <c r="W359" i="25"/>
  <c r="Y359" i="25"/>
  <c r="Z359" i="25"/>
  <c r="I360" i="25"/>
  <c r="J360" i="25"/>
  <c r="K360" i="25"/>
  <c r="L360" i="25"/>
  <c r="M360" i="25"/>
  <c r="N360" i="25"/>
  <c r="O360" i="25"/>
  <c r="Q360" i="25"/>
  <c r="R360" i="25"/>
  <c r="T360" i="25"/>
  <c r="U360" i="25"/>
  <c r="V360" i="25"/>
  <c r="W360" i="25"/>
  <c r="Y360" i="25"/>
  <c r="Z360" i="25"/>
  <c r="I361" i="25"/>
  <c r="J361" i="25"/>
  <c r="K361" i="25"/>
  <c r="L361" i="25"/>
  <c r="M361" i="25"/>
  <c r="N361" i="25"/>
  <c r="O361" i="25"/>
  <c r="Q361" i="25"/>
  <c r="R361" i="25"/>
  <c r="T361" i="25"/>
  <c r="U361" i="25"/>
  <c r="V361" i="25"/>
  <c r="W361" i="25"/>
  <c r="Y361" i="25"/>
  <c r="Z361" i="25"/>
  <c r="I362" i="25"/>
  <c r="J362" i="25"/>
  <c r="K362" i="25"/>
  <c r="L362" i="25"/>
  <c r="M362" i="25"/>
  <c r="N362" i="25"/>
  <c r="O362" i="25"/>
  <c r="Q362" i="25"/>
  <c r="R362" i="25"/>
  <c r="T362" i="25"/>
  <c r="U362" i="25"/>
  <c r="V362" i="25"/>
  <c r="W362" i="25"/>
  <c r="Y362" i="25"/>
  <c r="Z362" i="25"/>
  <c r="I363" i="25"/>
  <c r="J363" i="25"/>
  <c r="K363" i="25"/>
  <c r="L363" i="25"/>
  <c r="M363" i="25"/>
  <c r="N363" i="25"/>
  <c r="O363" i="25"/>
  <c r="Q363" i="25"/>
  <c r="R363" i="25"/>
  <c r="T363" i="25"/>
  <c r="U363" i="25"/>
  <c r="V363" i="25"/>
  <c r="W363" i="25"/>
  <c r="Y363" i="25"/>
  <c r="Z363" i="25"/>
  <c r="I364" i="25"/>
  <c r="J364" i="25"/>
  <c r="K364" i="25"/>
  <c r="L364" i="25"/>
  <c r="M364" i="25"/>
  <c r="N364" i="25"/>
  <c r="O364" i="25"/>
  <c r="Q364" i="25"/>
  <c r="R364" i="25"/>
  <c r="T364" i="25"/>
  <c r="U364" i="25"/>
  <c r="V364" i="25"/>
  <c r="W364" i="25"/>
  <c r="Y364" i="25"/>
  <c r="Z364" i="25"/>
  <c r="J255" i="25"/>
  <c r="K255" i="25"/>
  <c r="L255" i="25"/>
  <c r="M255" i="25"/>
  <c r="N255" i="25"/>
  <c r="O255" i="25"/>
  <c r="Q255" i="25"/>
  <c r="R255" i="25"/>
  <c r="T255" i="25"/>
  <c r="U255" i="25"/>
  <c r="V255" i="25"/>
  <c r="W255" i="25"/>
  <c r="Y255" i="25"/>
  <c r="Z255" i="25"/>
  <c r="I255" i="25"/>
  <c r="I239" i="25"/>
  <c r="J239" i="25"/>
  <c r="K239" i="25"/>
  <c r="L239" i="25"/>
  <c r="N239" i="25"/>
  <c r="O239" i="25"/>
  <c r="T239" i="25"/>
  <c r="U239" i="25"/>
  <c r="I240" i="25"/>
  <c r="J240" i="25"/>
  <c r="K240" i="25"/>
  <c r="L240" i="25"/>
  <c r="N240" i="25"/>
  <c r="O240" i="25"/>
  <c r="T240" i="25"/>
  <c r="U240" i="25"/>
  <c r="I241" i="25"/>
  <c r="J241" i="25"/>
  <c r="K241" i="25"/>
  <c r="L241" i="25"/>
  <c r="N241" i="25"/>
  <c r="O241" i="25"/>
  <c r="T241" i="25"/>
  <c r="U241" i="25"/>
  <c r="I242" i="25"/>
  <c r="J242" i="25"/>
  <c r="K242" i="25"/>
  <c r="L242" i="25"/>
  <c r="N242" i="25"/>
  <c r="O242" i="25"/>
  <c r="T242" i="25"/>
  <c r="U242" i="25"/>
  <c r="I243" i="25"/>
  <c r="J243" i="25"/>
  <c r="K243" i="25"/>
  <c r="L243" i="25"/>
  <c r="N243" i="25"/>
  <c r="O243" i="25"/>
  <c r="T243" i="25"/>
  <c r="U243" i="25"/>
  <c r="I244" i="25"/>
  <c r="J244" i="25"/>
  <c r="K244" i="25"/>
  <c r="L244" i="25"/>
  <c r="N244" i="25"/>
  <c r="O244" i="25"/>
  <c r="T244" i="25"/>
  <c r="U244" i="25"/>
  <c r="I245" i="25"/>
  <c r="J245" i="25"/>
  <c r="K245" i="25"/>
  <c r="L245" i="25"/>
  <c r="N245" i="25"/>
  <c r="O245" i="25"/>
  <c r="T245" i="25"/>
  <c r="U245" i="25"/>
  <c r="I246" i="25"/>
  <c r="J246" i="25"/>
  <c r="K246" i="25"/>
  <c r="L246" i="25"/>
  <c r="N246" i="25"/>
  <c r="O246" i="25"/>
  <c r="T246" i="25"/>
  <c r="U246" i="25"/>
  <c r="I247" i="25"/>
  <c r="J247" i="25"/>
  <c r="K247" i="25"/>
  <c r="L247" i="25"/>
  <c r="N247" i="25"/>
  <c r="O247" i="25"/>
  <c r="T247" i="25"/>
  <c r="U247" i="25"/>
  <c r="I248" i="25"/>
  <c r="J248" i="25"/>
  <c r="K248" i="25"/>
  <c r="L248" i="25"/>
  <c r="N248" i="25"/>
  <c r="O248" i="25"/>
  <c r="T248" i="25"/>
  <c r="U248" i="25"/>
  <c r="I249" i="25"/>
  <c r="J249" i="25"/>
  <c r="K249" i="25"/>
  <c r="L249" i="25"/>
  <c r="N249" i="25"/>
  <c r="O249" i="25"/>
  <c r="T249" i="25"/>
  <c r="U249" i="25"/>
  <c r="I250" i="25"/>
  <c r="J250" i="25"/>
  <c r="K250" i="25"/>
  <c r="L250" i="25"/>
  <c r="N250" i="25"/>
  <c r="O250" i="25"/>
  <c r="T250" i="25"/>
  <c r="U250" i="25"/>
  <c r="I251" i="25"/>
  <c r="J251" i="25"/>
  <c r="K251" i="25"/>
  <c r="L251" i="25"/>
  <c r="N251" i="25"/>
  <c r="O251" i="25"/>
  <c r="T251" i="25"/>
  <c r="U251" i="25"/>
  <c r="I252" i="25"/>
  <c r="J252" i="25"/>
  <c r="K252" i="25"/>
  <c r="L252" i="25"/>
  <c r="N252" i="25"/>
  <c r="O252" i="25"/>
  <c r="T252" i="25"/>
  <c r="U252" i="25"/>
  <c r="I253" i="25"/>
  <c r="J253" i="25"/>
  <c r="K253" i="25"/>
  <c r="L253" i="25"/>
  <c r="N253" i="25"/>
  <c r="O253" i="25"/>
  <c r="T253" i="25"/>
  <c r="U253" i="25"/>
  <c r="I254" i="25"/>
  <c r="J254" i="25"/>
  <c r="K254" i="25"/>
  <c r="L254" i="25"/>
  <c r="N254" i="25"/>
  <c r="O254" i="25"/>
  <c r="T254" i="25"/>
  <c r="U254" i="25"/>
  <c r="J238" i="25"/>
  <c r="K238" i="25"/>
  <c r="L238" i="25"/>
  <c r="N238" i="25"/>
  <c r="O238" i="25"/>
  <c r="T238" i="25"/>
  <c r="U238" i="25"/>
  <c r="I238" i="25"/>
  <c r="I229" i="25"/>
  <c r="J229" i="25"/>
  <c r="K229" i="25"/>
  <c r="L229" i="25"/>
  <c r="N229" i="25"/>
  <c r="O229" i="25"/>
  <c r="T229" i="25"/>
  <c r="U229" i="25"/>
  <c r="I230" i="25"/>
  <c r="J230" i="25"/>
  <c r="K230" i="25"/>
  <c r="L230" i="25"/>
  <c r="T230" i="25"/>
  <c r="U230" i="25"/>
  <c r="I231" i="25"/>
  <c r="J231" i="25"/>
  <c r="K231" i="25"/>
  <c r="L231" i="25"/>
  <c r="T231" i="25"/>
  <c r="U231" i="25"/>
  <c r="I232" i="25"/>
  <c r="J232" i="25"/>
  <c r="K232" i="25"/>
  <c r="L232" i="25"/>
  <c r="N232" i="25"/>
  <c r="O232" i="25"/>
  <c r="T232" i="25"/>
  <c r="U232" i="25"/>
  <c r="I233" i="25"/>
  <c r="J233" i="25"/>
  <c r="K233" i="25"/>
  <c r="L233" i="25"/>
  <c r="N233" i="25"/>
  <c r="O233" i="25"/>
  <c r="T233" i="25"/>
  <c r="U233" i="25"/>
  <c r="I234" i="25"/>
  <c r="J234" i="25"/>
  <c r="K234" i="25"/>
  <c r="L234" i="25"/>
  <c r="N234" i="25"/>
  <c r="O234" i="25"/>
  <c r="T234" i="25"/>
  <c r="U234" i="25"/>
  <c r="I235" i="25"/>
  <c r="J235" i="25"/>
  <c r="K235" i="25"/>
  <c r="L235" i="25"/>
  <c r="N235" i="25"/>
  <c r="O235" i="25"/>
  <c r="T235" i="25"/>
  <c r="U235" i="25"/>
  <c r="I236" i="25"/>
  <c r="J236" i="25"/>
  <c r="K236" i="25"/>
  <c r="L236" i="25"/>
  <c r="N236" i="25"/>
  <c r="O236" i="25"/>
  <c r="T236" i="25"/>
  <c r="U236" i="25"/>
  <c r="I237" i="25"/>
  <c r="J237" i="25"/>
  <c r="K237" i="25"/>
  <c r="L237" i="25"/>
  <c r="N237" i="25"/>
  <c r="O237" i="25"/>
  <c r="T237" i="25"/>
  <c r="U237" i="25"/>
  <c r="J228" i="25"/>
  <c r="K228" i="25"/>
  <c r="L228" i="25"/>
  <c r="N228" i="25"/>
  <c r="O228" i="25"/>
  <c r="T228" i="25"/>
  <c r="U228" i="25"/>
  <c r="I228" i="25"/>
  <c r="I205" i="25"/>
  <c r="J205" i="25"/>
  <c r="K205" i="25"/>
  <c r="L205" i="25"/>
  <c r="N205" i="25"/>
  <c r="O205" i="25"/>
  <c r="T205" i="25"/>
  <c r="U205" i="25"/>
  <c r="I206" i="25"/>
  <c r="J206" i="25"/>
  <c r="K206" i="25"/>
  <c r="L206" i="25"/>
  <c r="N206" i="25"/>
  <c r="O206" i="25"/>
  <c r="T206" i="25"/>
  <c r="U206" i="25"/>
  <c r="I207" i="25"/>
  <c r="J207" i="25"/>
  <c r="K207" i="25"/>
  <c r="L207" i="25"/>
  <c r="N207" i="25"/>
  <c r="O207" i="25"/>
  <c r="T207" i="25"/>
  <c r="U207" i="25"/>
  <c r="I208" i="25"/>
  <c r="J208" i="25"/>
  <c r="K208" i="25"/>
  <c r="L208" i="25"/>
  <c r="N208" i="25"/>
  <c r="O208" i="25"/>
  <c r="T208" i="25"/>
  <c r="U208" i="25"/>
  <c r="I209" i="25"/>
  <c r="J209" i="25"/>
  <c r="K209" i="25"/>
  <c r="L209" i="25"/>
  <c r="N209" i="25"/>
  <c r="O209" i="25"/>
  <c r="T209" i="25"/>
  <c r="U209" i="25"/>
  <c r="I210" i="25"/>
  <c r="J210" i="25"/>
  <c r="K210" i="25"/>
  <c r="L210" i="25"/>
  <c r="N210" i="25"/>
  <c r="O210" i="25"/>
  <c r="T210" i="25"/>
  <c r="U210" i="25"/>
  <c r="I211" i="25"/>
  <c r="J211" i="25"/>
  <c r="K211" i="25"/>
  <c r="L211" i="25"/>
  <c r="N211" i="25"/>
  <c r="O211" i="25"/>
  <c r="T211" i="25"/>
  <c r="U211" i="25"/>
  <c r="I212" i="25"/>
  <c r="J212" i="25"/>
  <c r="K212" i="25"/>
  <c r="L212" i="25"/>
  <c r="N212" i="25"/>
  <c r="O212" i="25"/>
  <c r="T212" i="25"/>
  <c r="U212" i="25"/>
  <c r="I213" i="25"/>
  <c r="J213" i="25"/>
  <c r="K213" i="25"/>
  <c r="L213" i="25"/>
  <c r="N213" i="25"/>
  <c r="O213" i="25"/>
  <c r="T213" i="25"/>
  <c r="U213" i="25"/>
  <c r="I214" i="25"/>
  <c r="J214" i="25"/>
  <c r="K214" i="25"/>
  <c r="L214" i="25"/>
  <c r="N214" i="25"/>
  <c r="O214" i="25"/>
  <c r="T214" i="25"/>
  <c r="U214" i="25"/>
  <c r="I215" i="25"/>
  <c r="J215" i="25"/>
  <c r="K215" i="25"/>
  <c r="L215" i="25"/>
  <c r="N215" i="25"/>
  <c r="O215" i="25"/>
  <c r="T215" i="25"/>
  <c r="U215" i="25"/>
  <c r="I216" i="25"/>
  <c r="J216" i="25"/>
  <c r="K216" i="25"/>
  <c r="L216" i="25"/>
  <c r="N216" i="25"/>
  <c r="O216" i="25"/>
  <c r="T216" i="25"/>
  <c r="U216" i="25"/>
  <c r="I217" i="25"/>
  <c r="J217" i="25"/>
  <c r="K217" i="25"/>
  <c r="L217" i="25"/>
  <c r="N217" i="25"/>
  <c r="O217" i="25"/>
  <c r="T217" i="25"/>
  <c r="U217" i="25"/>
  <c r="I218" i="25"/>
  <c r="J218" i="25"/>
  <c r="K218" i="25"/>
  <c r="L218" i="25"/>
  <c r="N218" i="25"/>
  <c r="O218" i="25"/>
  <c r="T218" i="25"/>
  <c r="U218" i="25"/>
  <c r="I219" i="25"/>
  <c r="J219" i="25"/>
  <c r="K219" i="25"/>
  <c r="L219" i="25"/>
  <c r="N219" i="25"/>
  <c r="O219" i="25"/>
  <c r="T219" i="25"/>
  <c r="U219" i="25"/>
  <c r="I220" i="25"/>
  <c r="J220" i="25"/>
  <c r="K220" i="25"/>
  <c r="L220" i="25"/>
  <c r="N220" i="25"/>
  <c r="O220" i="25"/>
  <c r="T220" i="25"/>
  <c r="U220" i="25"/>
  <c r="I221" i="25"/>
  <c r="J221" i="25"/>
  <c r="K221" i="25"/>
  <c r="L221" i="25"/>
  <c r="N221" i="25"/>
  <c r="O221" i="25"/>
  <c r="T221" i="25"/>
  <c r="U221" i="25"/>
  <c r="I222" i="25"/>
  <c r="J222" i="25"/>
  <c r="K222" i="25"/>
  <c r="L222" i="25"/>
  <c r="N222" i="25"/>
  <c r="O222" i="25"/>
  <c r="T222" i="25"/>
  <c r="U222" i="25"/>
  <c r="I223" i="25"/>
  <c r="J223" i="25"/>
  <c r="K223" i="25"/>
  <c r="L223" i="25"/>
  <c r="N223" i="25"/>
  <c r="O223" i="25"/>
  <c r="T223" i="25"/>
  <c r="U223" i="25"/>
  <c r="I224" i="25"/>
  <c r="J224" i="25"/>
  <c r="K224" i="25"/>
  <c r="L224" i="25"/>
  <c r="N224" i="25"/>
  <c r="O224" i="25"/>
  <c r="T224" i="25"/>
  <c r="U224" i="25"/>
  <c r="I225" i="25"/>
  <c r="J225" i="25"/>
  <c r="K225" i="25"/>
  <c r="L225" i="25"/>
  <c r="N225" i="25"/>
  <c r="O225" i="25"/>
  <c r="T225" i="25"/>
  <c r="U225" i="25"/>
  <c r="I226" i="25"/>
  <c r="J226" i="25"/>
  <c r="K226" i="25"/>
  <c r="L226" i="25"/>
  <c r="N226" i="25"/>
  <c r="O226" i="25"/>
  <c r="T226" i="25"/>
  <c r="U226" i="25"/>
  <c r="I227" i="25"/>
  <c r="J227" i="25"/>
  <c r="K227" i="25"/>
  <c r="L227" i="25"/>
  <c r="N227" i="25"/>
  <c r="O227" i="25"/>
  <c r="T227" i="25"/>
  <c r="U227" i="25"/>
  <c r="J204" i="25"/>
  <c r="K204" i="25"/>
  <c r="L204" i="25"/>
  <c r="N204" i="25"/>
  <c r="O204" i="25"/>
  <c r="T204" i="25"/>
  <c r="U204" i="25"/>
  <c r="I204" i="25"/>
  <c r="I178" i="25"/>
  <c r="J178" i="25"/>
  <c r="K178" i="25"/>
  <c r="L178" i="25"/>
  <c r="N178" i="25"/>
  <c r="O178" i="25"/>
  <c r="T178" i="25"/>
  <c r="U178" i="25"/>
  <c r="I179" i="25"/>
  <c r="J179" i="25"/>
  <c r="K179" i="25"/>
  <c r="L179" i="25"/>
  <c r="N179" i="25"/>
  <c r="O179" i="25"/>
  <c r="T179" i="25"/>
  <c r="U179" i="25"/>
  <c r="I180" i="25"/>
  <c r="J180" i="25"/>
  <c r="K180" i="25"/>
  <c r="L180" i="25"/>
  <c r="N180" i="25"/>
  <c r="O180" i="25"/>
  <c r="T180" i="25"/>
  <c r="U180" i="25"/>
  <c r="I181" i="25"/>
  <c r="J181" i="25"/>
  <c r="K181" i="25"/>
  <c r="L181" i="25"/>
  <c r="N181" i="25"/>
  <c r="O181" i="25"/>
  <c r="T181" i="25"/>
  <c r="U181" i="25"/>
  <c r="I182" i="25"/>
  <c r="J182" i="25"/>
  <c r="K182" i="25"/>
  <c r="L182" i="25"/>
  <c r="N182" i="25"/>
  <c r="O182" i="25"/>
  <c r="T182" i="25"/>
  <c r="U182" i="25"/>
  <c r="I183" i="25"/>
  <c r="J183" i="25"/>
  <c r="K183" i="25"/>
  <c r="L183" i="25"/>
  <c r="N183" i="25"/>
  <c r="O183" i="25"/>
  <c r="T183" i="25"/>
  <c r="U183" i="25"/>
  <c r="I184" i="25"/>
  <c r="J184" i="25"/>
  <c r="K184" i="25"/>
  <c r="L184" i="25"/>
  <c r="N184" i="25"/>
  <c r="O184" i="25"/>
  <c r="T184" i="25"/>
  <c r="U184" i="25"/>
  <c r="I185" i="25"/>
  <c r="J185" i="25"/>
  <c r="K185" i="25"/>
  <c r="L185" i="25"/>
  <c r="N185" i="25"/>
  <c r="O185" i="25"/>
  <c r="T185" i="25"/>
  <c r="U185" i="25"/>
  <c r="I186" i="25"/>
  <c r="J186" i="25"/>
  <c r="K186" i="25"/>
  <c r="L186" i="25"/>
  <c r="N186" i="25"/>
  <c r="O186" i="25"/>
  <c r="T186" i="25"/>
  <c r="U186" i="25"/>
  <c r="I187" i="25"/>
  <c r="J187" i="25"/>
  <c r="K187" i="25"/>
  <c r="L187" i="25"/>
  <c r="N187" i="25"/>
  <c r="O187" i="25"/>
  <c r="T187" i="25"/>
  <c r="U187" i="25"/>
  <c r="I188" i="25"/>
  <c r="J188" i="25"/>
  <c r="K188" i="25"/>
  <c r="L188" i="25"/>
  <c r="N188" i="25"/>
  <c r="O188" i="25"/>
  <c r="T188" i="25"/>
  <c r="U188" i="25"/>
  <c r="I189" i="25"/>
  <c r="J189" i="25"/>
  <c r="K189" i="25"/>
  <c r="L189" i="25"/>
  <c r="N189" i="25"/>
  <c r="O189" i="25"/>
  <c r="T189" i="25"/>
  <c r="U189" i="25"/>
  <c r="I190" i="25"/>
  <c r="J190" i="25"/>
  <c r="K190" i="25"/>
  <c r="L190" i="25"/>
  <c r="N190" i="25"/>
  <c r="O190" i="25"/>
  <c r="T190" i="25"/>
  <c r="U190" i="25"/>
  <c r="I191" i="25"/>
  <c r="J191" i="25"/>
  <c r="K191" i="25"/>
  <c r="L191" i="25"/>
  <c r="N191" i="25"/>
  <c r="O191" i="25"/>
  <c r="T191" i="25"/>
  <c r="U191" i="25"/>
  <c r="I192" i="25"/>
  <c r="J192" i="25"/>
  <c r="K192" i="25"/>
  <c r="L192" i="25"/>
  <c r="N192" i="25"/>
  <c r="O192" i="25"/>
  <c r="T192" i="25"/>
  <c r="U192" i="25"/>
  <c r="I193" i="25"/>
  <c r="J193" i="25"/>
  <c r="K193" i="25"/>
  <c r="L193" i="25"/>
  <c r="N193" i="25"/>
  <c r="O193" i="25"/>
  <c r="T193" i="25"/>
  <c r="U193" i="25"/>
  <c r="I194" i="25"/>
  <c r="J194" i="25"/>
  <c r="K194" i="25"/>
  <c r="L194" i="25"/>
  <c r="N194" i="25"/>
  <c r="O194" i="25"/>
  <c r="T194" i="25"/>
  <c r="U194" i="25"/>
  <c r="I195" i="25"/>
  <c r="J195" i="25"/>
  <c r="K195" i="25"/>
  <c r="L195" i="25"/>
  <c r="N195" i="25"/>
  <c r="O195" i="25"/>
  <c r="T195" i="25"/>
  <c r="U195" i="25"/>
  <c r="I196" i="25"/>
  <c r="J196" i="25"/>
  <c r="K196" i="25"/>
  <c r="L196" i="25"/>
  <c r="N196" i="25"/>
  <c r="O196" i="25"/>
  <c r="T196" i="25"/>
  <c r="U196" i="25"/>
  <c r="I197" i="25"/>
  <c r="J197" i="25"/>
  <c r="K197" i="25"/>
  <c r="L197" i="25"/>
  <c r="N197" i="25"/>
  <c r="O197" i="25"/>
  <c r="T197" i="25"/>
  <c r="U197" i="25"/>
  <c r="I198" i="25"/>
  <c r="J198" i="25"/>
  <c r="K198" i="25"/>
  <c r="L198" i="25"/>
  <c r="N198" i="25"/>
  <c r="O198" i="25"/>
  <c r="T198" i="25"/>
  <c r="U198" i="25"/>
  <c r="I199" i="25"/>
  <c r="J199" i="25"/>
  <c r="K199" i="25"/>
  <c r="L199" i="25"/>
  <c r="N199" i="25"/>
  <c r="O199" i="25"/>
  <c r="T199" i="25"/>
  <c r="U199" i="25"/>
  <c r="I200" i="25"/>
  <c r="J200" i="25"/>
  <c r="K200" i="25"/>
  <c r="L200" i="25"/>
  <c r="N200" i="25"/>
  <c r="O200" i="25"/>
  <c r="T200" i="25"/>
  <c r="U200" i="25"/>
  <c r="I201" i="25"/>
  <c r="J201" i="25"/>
  <c r="K201" i="25"/>
  <c r="L201" i="25"/>
  <c r="N201" i="25"/>
  <c r="O201" i="25"/>
  <c r="T201" i="25"/>
  <c r="U201" i="25"/>
  <c r="I202" i="25"/>
  <c r="J202" i="25"/>
  <c r="K202" i="25"/>
  <c r="L202" i="25"/>
  <c r="N202" i="25"/>
  <c r="O202" i="25"/>
  <c r="T202" i="25"/>
  <c r="U202" i="25"/>
  <c r="I203" i="25"/>
  <c r="J203" i="25"/>
  <c r="K203" i="25"/>
  <c r="L203" i="25"/>
  <c r="N203" i="25"/>
  <c r="O203" i="25"/>
  <c r="T203" i="25"/>
  <c r="U203" i="25"/>
  <c r="J177" i="25"/>
  <c r="K177" i="25"/>
  <c r="L177" i="25"/>
  <c r="N177" i="25"/>
  <c r="O177" i="25"/>
  <c r="T177" i="25"/>
  <c r="U177" i="25"/>
  <c r="I177" i="25"/>
  <c r="I167" i="25"/>
  <c r="J167" i="25"/>
  <c r="K167" i="25"/>
  <c r="L167" i="25"/>
  <c r="N167" i="25"/>
  <c r="O167" i="25"/>
  <c r="T167" i="25"/>
  <c r="U167" i="25"/>
  <c r="I168" i="25"/>
  <c r="J168" i="25"/>
  <c r="K168" i="25"/>
  <c r="L168" i="25"/>
  <c r="N168" i="25"/>
  <c r="O168" i="25"/>
  <c r="T168" i="25"/>
  <c r="U168" i="25"/>
  <c r="I169" i="25"/>
  <c r="J169" i="25"/>
  <c r="K169" i="25"/>
  <c r="L169" i="25"/>
  <c r="N169" i="25"/>
  <c r="O169" i="25"/>
  <c r="T169" i="25"/>
  <c r="U169" i="25"/>
  <c r="I170" i="25"/>
  <c r="J170" i="25"/>
  <c r="K170" i="25"/>
  <c r="L170" i="25"/>
  <c r="N170" i="25"/>
  <c r="O170" i="25"/>
  <c r="T170" i="25"/>
  <c r="U170" i="25"/>
  <c r="I171" i="25"/>
  <c r="J171" i="25"/>
  <c r="K171" i="25"/>
  <c r="L171" i="25"/>
  <c r="N171" i="25"/>
  <c r="O171" i="25"/>
  <c r="T171" i="25"/>
  <c r="U171" i="25"/>
  <c r="I172" i="25"/>
  <c r="J172" i="25"/>
  <c r="K172" i="25"/>
  <c r="L172" i="25"/>
  <c r="N172" i="25"/>
  <c r="O172" i="25"/>
  <c r="T172" i="25"/>
  <c r="U172" i="25"/>
  <c r="I173" i="25"/>
  <c r="J173" i="25"/>
  <c r="K173" i="25"/>
  <c r="L173" i="25"/>
  <c r="N173" i="25"/>
  <c r="O173" i="25"/>
  <c r="T173" i="25"/>
  <c r="U173" i="25"/>
  <c r="I174" i="25"/>
  <c r="J174" i="25"/>
  <c r="K174" i="25"/>
  <c r="L174" i="25"/>
  <c r="N174" i="25"/>
  <c r="O174" i="25"/>
  <c r="T174" i="25"/>
  <c r="U174" i="25"/>
  <c r="I175" i="25"/>
  <c r="J175" i="25"/>
  <c r="K175" i="25"/>
  <c r="L175" i="25"/>
  <c r="N175" i="25"/>
  <c r="O175" i="25"/>
  <c r="T175" i="25"/>
  <c r="U175" i="25"/>
  <c r="I176" i="25"/>
  <c r="J176" i="25"/>
  <c r="K176" i="25"/>
  <c r="L176" i="25"/>
  <c r="N176" i="25"/>
  <c r="O176" i="25"/>
  <c r="T176" i="25"/>
  <c r="U176" i="25"/>
  <c r="J157" i="25"/>
  <c r="K157" i="25"/>
  <c r="L157" i="25"/>
  <c r="N157" i="25"/>
  <c r="O157" i="25"/>
  <c r="T157" i="25"/>
  <c r="U157" i="25"/>
  <c r="I157" i="25"/>
  <c r="J23" i="23"/>
  <c r="Q152" i="25" s="1"/>
  <c r="F23" i="23"/>
  <c r="I148" i="25"/>
  <c r="J148" i="25"/>
  <c r="K148" i="25"/>
  <c r="L148" i="25"/>
  <c r="N148" i="25"/>
  <c r="O148" i="25"/>
  <c r="T148" i="25"/>
  <c r="U148" i="25"/>
  <c r="I149" i="25"/>
  <c r="J149" i="25"/>
  <c r="K149" i="25"/>
  <c r="L149" i="25"/>
  <c r="N149" i="25"/>
  <c r="O149" i="25"/>
  <c r="T149" i="25"/>
  <c r="U149" i="25"/>
  <c r="I150" i="25"/>
  <c r="J150" i="25"/>
  <c r="K150" i="25"/>
  <c r="L150" i="25"/>
  <c r="N150" i="25"/>
  <c r="O150" i="25"/>
  <c r="T150" i="25"/>
  <c r="U150" i="25"/>
  <c r="I151" i="25"/>
  <c r="J151" i="25"/>
  <c r="K151" i="25"/>
  <c r="L151" i="25"/>
  <c r="N151" i="25"/>
  <c r="O151" i="25"/>
  <c r="T151" i="25"/>
  <c r="U151" i="25"/>
  <c r="I152" i="25"/>
  <c r="J152" i="25"/>
  <c r="K152" i="25"/>
  <c r="L152" i="25"/>
  <c r="N152" i="25"/>
  <c r="O152" i="25"/>
  <c r="T152" i="25"/>
  <c r="U152" i="25"/>
  <c r="I153" i="25"/>
  <c r="J153" i="25"/>
  <c r="K153" i="25"/>
  <c r="L153" i="25"/>
  <c r="N153" i="25"/>
  <c r="O153" i="25"/>
  <c r="T153" i="25"/>
  <c r="U153" i="25"/>
  <c r="I154" i="25"/>
  <c r="J154" i="25"/>
  <c r="K154" i="25"/>
  <c r="L154" i="25"/>
  <c r="N154" i="25"/>
  <c r="O154" i="25"/>
  <c r="T154" i="25"/>
  <c r="U154" i="25"/>
  <c r="I155" i="25"/>
  <c r="J155" i="25"/>
  <c r="K155" i="25"/>
  <c r="L155" i="25"/>
  <c r="N155" i="25"/>
  <c r="O155" i="25"/>
  <c r="T155" i="25"/>
  <c r="U155" i="25"/>
  <c r="I156" i="25"/>
  <c r="J156" i="25"/>
  <c r="K156" i="25"/>
  <c r="L156" i="25"/>
  <c r="N156" i="25"/>
  <c r="O156" i="25"/>
  <c r="T156" i="25"/>
  <c r="U156" i="25"/>
  <c r="J137" i="25"/>
  <c r="K137" i="25"/>
  <c r="L137" i="25"/>
  <c r="N137" i="25"/>
  <c r="O137" i="25"/>
  <c r="T137" i="25"/>
  <c r="U137" i="25"/>
  <c r="I137" i="25"/>
  <c r="I121" i="25"/>
  <c r="J121" i="25"/>
  <c r="K121" i="25"/>
  <c r="L121" i="25"/>
  <c r="N121" i="25"/>
  <c r="O121" i="25"/>
  <c r="T121" i="25"/>
  <c r="U121" i="25"/>
  <c r="I122" i="25"/>
  <c r="J122" i="25"/>
  <c r="K122" i="25"/>
  <c r="L122" i="25"/>
  <c r="N122" i="25"/>
  <c r="O122" i="25"/>
  <c r="T122" i="25"/>
  <c r="U122" i="25"/>
  <c r="I123" i="25"/>
  <c r="J123" i="25"/>
  <c r="K123" i="25"/>
  <c r="L123" i="25"/>
  <c r="N123" i="25"/>
  <c r="O123" i="25"/>
  <c r="T123" i="25"/>
  <c r="U123" i="25"/>
  <c r="I124" i="25"/>
  <c r="J124" i="25"/>
  <c r="K124" i="25"/>
  <c r="L124" i="25"/>
  <c r="N124" i="25"/>
  <c r="O124" i="25"/>
  <c r="T124" i="25"/>
  <c r="U124" i="25"/>
  <c r="I125" i="25"/>
  <c r="J125" i="25"/>
  <c r="K125" i="25"/>
  <c r="L125" i="25"/>
  <c r="N125" i="25"/>
  <c r="O125" i="25"/>
  <c r="T125" i="25"/>
  <c r="U125" i="25"/>
  <c r="I126" i="25"/>
  <c r="J126" i="25"/>
  <c r="K126" i="25"/>
  <c r="L126" i="25"/>
  <c r="N126" i="25"/>
  <c r="O126" i="25"/>
  <c r="T126" i="25"/>
  <c r="U126" i="25"/>
  <c r="I127" i="25"/>
  <c r="J127" i="25"/>
  <c r="K127" i="25"/>
  <c r="L127" i="25"/>
  <c r="N127" i="25"/>
  <c r="O127" i="25"/>
  <c r="T127" i="25"/>
  <c r="U127" i="25"/>
  <c r="I128" i="25"/>
  <c r="J128" i="25"/>
  <c r="K128" i="25"/>
  <c r="L128" i="25"/>
  <c r="N128" i="25"/>
  <c r="O128" i="25"/>
  <c r="T128" i="25"/>
  <c r="U128" i="25"/>
  <c r="I129" i="25"/>
  <c r="J129" i="25"/>
  <c r="K129" i="25"/>
  <c r="L129" i="25"/>
  <c r="N129" i="25"/>
  <c r="O129" i="25"/>
  <c r="T129" i="25"/>
  <c r="U129" i="25"/>
  <c r="I130" i="25"/>
  <c r="J130" i="25"/>
  <c r="K130" i="25"/>
  <c r="L130" i="25"/>
  <c r="N130" i="25"/>
  <c r="O130" i="25"/>
  <c r="T130" i="25"/>
  <c r="U130" i="25"/>
  <c r="I131" i="25"/>
  <c r="J131" i="25"/>
  <c r="K131" i="25"/>
  <c r="L131" i="25"/>
  <c r="N131" i="25"/>
  <c r="O131" i="25"/>
  <c r="T131" i="25"/>
  <c r="U131" i="25"/>
  <c r="I132" i="25"/>
  <c r="J132" i="25"/>
  <c r="K132" i="25"/>
  <c r="L132" i="25"/>
  <c r="N132" i="25"/>
  <c r="O132" i="25"/>
  <c r="T132" i="25"/>
  <c r="U132" i="25"/>
  <c r="I133" i="25"/>
  <c r="J133" i="25"/>
  <c r="K133" i="25"/>
  <c r="L133" i="25"/>
  <c r="N133" i="25"/>
  <c r="O133" i="25"/>
  <c r="T133" i="25"/>
  <c r="U133" i="25"/>
  <c r="I134" i="25"/>
  <c r="J134" i="25"/>
  <c r="K134" i="25"/>
  <c r="L134" i="25"/>
  <c r="N134" i="25"/>
  <c r="O134" i="25"/>
  <c r="T134" i="25"/>
  <c r="U134" i="25"/>
  <c r="I135" i="25"/>
  <c r="J135" i="25"/>
  <c r="K135" i="25"/>
  <c r="L135" i="25"/>
  <c r="N135" i="25"/>
  <c r="O135" i="25"/>
  <c r="T135" i="25"/>
  <c r="U135" i="25"/>
  <c r="I136" i="25"/>
  <c r="J136" i="25"/>
  <c r="K136" i="25"/>
  <c r="L136" i="25"/>
  <c r="N136" i="25"/>
  <c r="O136" i="25"/>
  <c r="T136" i="25"/>
  <c r="U136" i="25"/>
  <c r="J120" i="25"/>
  <c r="K120" i="25"/>
  <c r="L120" i="25"/>
  <c r="N120" i="25"/>
  <c r="O120" i="25"/>
  <c r="T120" i="25"/>
  <c r="U120" i="25"/>
  <c r="I120" i="25"/>
  <c r="I115" i="25"/>
  <c r="J115" i="25"/>
  <c r="K115" i="25"/>
  <c r="L115" i="25"/>
  <c r="N115" i="25"/>
  <c r="O115" i="25"/>
  <c r="T115" i="25"/>
  <c r="U115" i="25"/>
  <c r="I116" i="25"/>
  <c r="J116" i="25"/>
  <c r="K116" i="25"/>
  <c r="L116" i="25"/>
  <c r="N116" i="25"/>
  <c r="O116" i="25"/>
  <c r="T116" i="25"/>
  <c r="U116" i="25"/>
  <c r="I117" i="25"/>
  <c r="J117" i="25"/>
  <c r="K117" i="25"/>
  <c r="L117" i="25"/>
  <c r="N117" i="25"/>
  <c r="O117" i="25"/>
  <c r="T117" i="25"/>
  <c r="U117" i="25"/>
  <c r="I118" i="25"/>
  <c r="J118" i="25"/>
  <c r="K118" i="25"/>
  <c r="L118" i="25"/>
  <c r="N118" i="25"/>
  <c r="O118" i="25"/>
  <c r="T118" i="25"/>
  <c r="U118" i="25"/>
  <c r="I119" i="25"/>
  <c r="J119" i="25"/>
  <c r="K119" i="25"/>
  <c r="L119" i="25"/>
  <c r="N119" i="25"/>
  <c r="O119" i="25"/>
  <c r="T119" i="25"/>
  <c r="U119" i="25"/>
  <c r="J114" i="25"/>
  <c r="K114" i="25"/>
  <c r="L114" i="25"/>
  <c r="N114" i="25"/>
  <c r="O114" i="25"/>
  <c r="T114" i="25"/>
  <c r="U114" i="25"/>
  <c r="I114" i="25"/>
  <c r="J3" i="25"/>
  <c r="K3" i="25"/>
  <c r="L3" i="25"/>
  <c r="N3" i="25"/>
  <c r="O3" i="25"/>
  <c r="T3" i="25"/>
  <c r="U3" i="25"/>
  <c r="I3" i="25"/>
  <c r="V42" i="11"/>
  <c r="AC605" i="25" s="1"/>
  <c r="V43" i="11"/>
  <c r="AC606" i="25" s="1"/>
  <c r="V44" i="11"/>
  <c r="AC607" i="25" s="1"/>
  <c r="V45" i="11"/>
  <c r="AC608" i="25" s="1"/>
  <c r="V46" i="11"/>
  <c r="AC609" i="25" s="1"/>
  <c r="V47" i="11"/>
  <c r="AC610" i="25" s="1"/>
  <c r="V48" i="11"/>
  <c r="AC611" i="25" s="1"/>
  <c r="V49" i="11"/>
  <c r="AC612" i="25" s="1"/>
  <c r="V50" i="11"/>
  <c r="AC613" i="25" s="1"/>
  <c r="V51" i="11"/>
  <c r="AC614" i="25" s="1"/>
  <c r="V52" i="11"/>
  <c r="AC615" i="25" s="1"/>
  <c r="V53" i="11"/>
  <c r="AC616" i="25" s="1"/>
  <c r="V54" i="11"/>
  <c r="AC617" i="25" s="1"/>
  <c r="V55" i="11"/>
  <c r="AC618" i="25" s="1"/>
  <c r="V56" i="11"/>
  <c r="AC619" i="25" s="1"/>
  <c r="V57" i="11"/>
  <c r="AC620" i="25" s="1"/>
  <c r="V58" i="11"/>
  <c r="AC621" i="25" s="1"/>
  <c r="V59" i="11"/>
  <c r="AC622" i="25" s="1"/>
  <c r="V60" i="11"/>
  <c r="AC623" i="25" s="1"/>
  <c r="V61" i="11"/>
  <c r="AC624" i="25" s="1"/>
  <c r="V62" i="11"/>
  <c r="AC625" i="25" s="1"/>
  <c r="V63" i="11"/>
  <c r="AC626" i="25" s="1"/>
  <c r="K42" i="11"/>
  <c r="K43" i="11"/>
  <c r="K44" i="11"/>
  <c r="K45" i="11"/>
  <c r="K46" i="11"/>
  <c r="X46" i="11" s="1" a="1"/>
  <c r="X46" i="11" s="1"/>
  <c r="K47" i="11"/>
  <c r="R610" i="25" s="1"/>
  <c r="K48" i="11"/>
  <c r="K49" i="11"/>
  <c r="K50" i="11"/>
  <c r="K51" i="11"/>
  <c r="K52" i="11"/>
  <c r="K53" i="11"/>
  <c r="K54" i="11"/>
  <c r="X54" i="11" s="1" a="1"/>
  <c r="X54" i="11" s="1"/>
  <c r="K55" i="11"/>
  <c r="R618" i="25" s="1"/>
  <c r="K56" i="11"/>
  <c r="X56" i="11" s="1" a="1"/>
  <c r="X56" i="11" s="1"/>
  <c r="K57" i="11"/>
  <c r="K58" i="11"/>
  <c r="K59" i="11"/>
  <c r="K60" i="11"/>
  <c r="K61" i="11"/>
  <c r="K62" i="11"/>
  <c r="X62" i="11" s="1" a="1"/>
  <c r="X62" i="11" s="1"/>
  <c r="K63" i="11"/>
  <c r="R626" i="25" s="1"/>
  <c r="K41" i="11"/>
  <c r="R604" i="25" s="1"/>
  <c r="I42" i="11"/>
  <c r="P605" i="25" s="1"/>
  <c r="I43" i="11"/>
  <c r="I44" i="11"/>
  <c r="P607" i="25" s="1"/>
  <c r="I45" i="11"/>
  <c r="P608" i="25" s="1"/>
  <c r="I46" i="11"/>
  <c r="P609" i="25" s="1"/>
  <c r="I47" i="11"/>
  <c r="P610" i="25" s="1"/>
  <c r="I48" i="11"/>
  <c r="P611" i="25" s="1"/>
  <c r="I49" i="11"/>
  <c r="I50" i="11"/>
  <c r="P613" i="25" s="1"/>
  <c r="I51" i="11"/>
  <c r="I52" i="11"/>
  <c r="P615" i="25" s="1"/>
  <c r="I53" i="11"/>
  <c r="P616" i="25" s="1"/>
  <c r="I54" i="11"/>
  <c r="P617" i="25" s="1"/>
  <c r="I55" i="11"/>
  <c r="P618" i="25" s="1"/>
  <c r="I56" i="11"/>
  <c r="P619" i="25" s="1"/>
  <c r="I57" i="11"/>
  <c r="I58" i="11"/>
  <c r="P621" i="25" s="1"/>
  <c r="I59" i="11"/>
  <c r="I60" i="11"/>
  <c r="P623" i="25" s="1"/>
  <c r="I61" i="11"/>
  <c r="P624" i="25" s="1"/>
  <c r="I62" i="11"/>
  <c r="P625" i="25" s="1"/>
  <c r="I63" i="11"/>
  <c r="P626" i="25" s="1"/>
  <c r="I41" i="11"/>
  <c r="P604" i="25" s="1"/>
  <c r="V41" i="11"/>
  <c r="AC604" i="25" s="1"/>
  <c r="V82" i="11" a="1"/>
  <c r="V82" i="11" s="1"/>
  <c r="AC642" i="25" s="1"/>
  <c r="S82" i="11" a="1"/>
  <c r="S82" i="11" s="1"/>
  <c r="Z642" i="25" s="1"/>
  <c r="R82" i="11" a="1"/>
  <c r="R82" i="11" s="1"/>
  <c r="Y642" i="25" s="1"/>
  <c r="Q82" i="11" a="1"/>
  <c r="Q82" i="11" s="1"/>
  <c r="X642" i="25" s="1"/>
  <c r="P82" i="11" a="1"/>
  <c r="P82" i="11" s="1"/>
  <c r="W642" i="25" s="1"/>
  <c r="O82" i="11"/>
  <c r="V642" i="25" s="1"/>
  <c r="K82" i="11" a="1"/>
  <c r="K82" i="11" s="1"/>
  <c r="R642" i="25" s="1"/>
  <c r="J82" i="11"/>
  <c r="Q642" i="25" s="1"/>
  <c r="I82" i="11" a="1"/>
  <c r="I82" i="11" s="1"/>
  <c r="F82" i="11"/>
  <c r="M642" i="25" s="1"/>
  <c r="V81" i="11" a="1"/>
  <c r="V81" i="11" s="1"/>
  <c r="AC641" i="25" s="1"/>
  <c r="S81" i="11" a="1"/>
  <c r="S81" i="11" s="1"/>
  <c r="Z641" i="25" s="1"/>
  <c r="R81" i="11" a="1"/>
  <c r="R81" i="11" s="1"/>
  <c r="Y641" i="25" s="1"/>
  <c r="Q81" i="11" a="1"/>
  <c r="Q81" i="11" s="1"/>
  <c r="X641" i="25" s="1"/>
  <c r="P81" i="11" a="1"/>
  <c r="P81" i="11" s="1"/>
  <c r="W641" i="25" s="1"/>
  <c r="O81" i="11"/>
  <c r="V641" i="25" s="1"/>
  <c r="K81" i="11" a="1"/>
  <c r="K81" i="11" s="1"/>
  <c r="R641" i="25" s="1"/>
  <c r="J81" i="11"/>
  <c r="Q641" i="25" s="1"/>
  <c r="I81" i="11" a="1"/>
  <c r="I81" i="11" s="1"/>
  <c r="F81" i="11"/>
  <c r="M641" i="25" s="1"/>
  <c r="V80" i="11" a="1"/>
  <c r="V80" i="11" s="1"/>
  <c r="AC640" i="25" s="1"/>
  <c r="S80" i="11" a="1"/>
  <c r="S80" i="11" s="1"/>
  <c r="Z640" i="25" s="1"/>
  <c r="R80" i="11" a="1"/>
  <c r="R80" i="11" s="1"/>
  <c r="Y640" i="25" s="1"/>
  <c r="Q80" i="11" a="1"/>
  <c r="Q80" i="11" s="1"/>
  <c r="X640" i="25" s="1"/>
  <c r="P80" i="11" a="1"/>
  <c r="P80" i="11" s="1"/>
  <c r="W640" i="25" s="1"/>
  <c r="O80" i="11"/>
  <c r="V640" i="25" s="1"/>
  <c r="K80" i="11" a="1"/>
  <c r="K80" i="11" s="1"/>
  <c r="R640" i="25" s="1"/>
  <c r="J80" i="11"/>
  <c r="Q640" i="25" s="1"/>
  <c r="I80" i="11" a="1"/>
  <c r="I80" i="11" s="1"/>
  <c r="F80" i="11"/>
  <c r="M640" i="25" s="1"/>
  <c r="V79" i="11" a="1"/>
  <c r="V79" i="11" s="1"/>
  <c r="AC639" i="25" s="1"/>
  <c r="S79" i="11" a="1"/>
  <c r="S79" i="11" s="1"/>
  <c r="Z639" i="25" s="1"/>
  <c r="R79" i="11" a="1"/>
  <c r="R79" i="11" s="1"/>
  <c r="Y639" i="25" s="1"/>
  <c r="Q79" i="11" a="1"/>
  <c r="Q79" i="11" s="1"/>
  <c r="X639" i="25" s="1"/>
  <c r="P79" i="11" a="1"/>
  <c r="P79" i="11" s="1"/>
  <c r="W639" i="25" s="1"/>
  <c r="O79" i="11"/>
  <c r="V639" i="25" s="1"/>
  <c r="K79" i="11" a="1"/>
  <c r="K79" i="11" s="1"/>
  <c r="R639" i="25" s="1"/>
  <c r="J79" i="11"/>
  <c r="Q639" i="25" s="1"/>
  <c r="I79" i="11" a="1"/>
  <c r="I79" i="11" s="1"/>
  <c r="F79" i="11"/>
  <c r="M639" i="25" s="1"/>
  <c r="V78" i="11" a="1"/>
  <c r="V78" i="11" s="1"/>
  <c r="AC638" i="25" s="1"/>
  <c r="S78" i="11" a="1"/>
  <c r="S78" i="11" s="1"/>
  <c r="Z638" i="25" s="1"/>
  <c r="R78" i="11" a="1"/>
  <c r="R78" i="11" s="1"/>
  <c r="Y638" i="25" s="1"/>
  <c r="Q78" i="11" a="1"/>
  <c r="Q78" i="11" s="1"/>
  <c r="X638" i="25" s="1"/>
  <c r="P78" i="11" a="1"/>
  <c r="P78" i="11" s="1"/>
  <c r="W638" i="25" s="1"/>
  <c r="O78" i="11"/>
  <c r="V638" i="25" s="1"/>
  <c r="K78" i="11" a="1"/>
  <c r="K78" i="11" s="1"/>
  <c r="R638" i="25" s="1"/>
  <c r="J78" i="11"/>
  <c r="Q638" i="25" s="1"/>
  <c r="I78" i="11" a="1"/>
  <c r="I78" i="11" s="1"/>
  <c r="F78" i="11"/>
  <c r="M638" i="25" s="1"/>
  <c r="V77" i="11" a="1"/>
  <c r="V77" i="11" s="1"/>
  <c r="AC637" i="25" s="1"/>
  <c r="S77" i="11" a="1"/>
  <c r="S77" i="11" s="1"/>
  <c r="Z637" i="25" s="1"/>
  <c r="R77" i="11" a="1"/>
  <c r="R77" i="11" s="1"/>
  <c r="Y637" i="25" s="1"/>
  <c r="Q77" i="11" a="1"/>
  <c r="Q77" i="11" s="1"/>
  <c r="X637" i="25" s="1"/>
  <c r="P77" i="11" a="1"/>
  <c r="P77" i="11" s="1"/>
  <c r="W637" i="25" s="1"/>
  <c r="O77" i="11"/>
  <c r="V637" i="25" s="1"/>
  <c r="K77" i="11" a="1"/>
  <c r="K77" i="11" s="1"/>
  <c r="R637" i="25" s="1"/>
  <c r="J77" i="11"/>
  <c r="Q637" i="25" s="1"/>
  <c r="I77" i="11" a="1"/>
  <c r="I77" i="11" s="1"/>
  <c r="F77" i="11"/>
  <c r="M637" i="25" s="1"/>
  <c r="V76" i="11" a="1"/>
  <c r="V76" i="11" s="1"/>
  <c r="AC636" i="25" s="1"/>
  <c r="S76" i="11" a="1"/>
  <c r="S76" i="11" s="1"/>
  <c r="Z636" i="25" s="1"/>
  <c r="R76" i="11" a="1"/>
  <c r="R76" i="11" s="1"/>
  <c r="Y636" i="25" s="1"/>
  <c r="Q76" i="11" a="1"/>
  <c r="Q76" i="11" s="1"/>
  <c r="X636" i="25" s="1"/>
  <c r="P76" i="11" a="1"/>
  <c r="P76" i="11" s="1"/>
  <c r="W636" i="25" s="1"/>
  <c r="O76" i="11"/>
  <c r="V636" i="25" s="1"/>
  <c r="K76" i="11" a="1"/>
  <c r="K76" i="11" s="1"/>
  <c r="R636" i="25" s="1"/>
  <c r="J76" i="11"/>
  <c r="Q636" i="25" s="1"/>
  <c r="I76" i="11" a="1"/>
  <c r="I76" i="11" s="1"/>
  <c r="F76" i="11"/>
  <c r="M636" i="25" s="1"/>
  <c r="V75" i="11" a="1"/>
  <c r="V75" i="11" s="1"/>
  <c r="AC635" i="25" s="1"/>
  <c r="S75" i="11" a="1"/>
  <c r="S75" i="11" s="1"/>
  <c r="Z635" i="25" s="1"/>
  <c r="R75" i="11" a="1"/>
  <c r="R75" i="11" s="1"/>
  <c r="Y635" i="25" s="1"/>
  <c r="Q75" i="11" a="1"/>
  <c r="Q75" i="11" s="1"/>
  <c r="X635" i="25" s="1"/>
  <c r="P75" i="11" a="1"/>
  <c r="P75" i="11" s="1"/>
  <c r="W635" i="25" s="1"/>
  <c r="O75" i="11"/>
  <c r="V635" i="25" s="1"/>
  <c r="K75" i="11" a="1"/>
  <c r="K75" i="11" s="1"/>
  <c r="R635" i="25" s="1"/>
  <c r="J75" i="11"/>
  <c r="Q635" i="25" s="1"/>
  <c r="I75" i="11" a="1"/>
  <c r="I75" i="11" s="1"/>
  <c r="F75" i="11"/>
  <c r="M635" i="25" s="1"/>
  <c r="V74" i="11" a="1"/>
  <c r="V74" i="11" s="1"/>
  <c r="AC634" i="25" s="1"/>
  <c r="S74" i="11" a="1"/>
  <c r="S74" i="11" s="1"/>
  <c r="Z634" i="25" s="1"/>
  <c r="R74" i="11" a="1"/>
  <c r="R74" i="11" s="1"/>
  <c r="Y634" i="25" s="1"/>
  <c r="Q74" i="11" a="1"/>
  <c r="Q74" i="11" s="1"/>
  <c r="X634" i="25" s="1"/>
  <c r="P74" i="11" a="1"/>
  <c r="P74" i="11" s="1"/>
  <c r="W634" i="25" s="1"/>
  <c r="O74" i="11"/>
  <c r="V634" i="25" s="1"/>
  <c r="K74" i="11" a="1"/>
  <c r="K74" i="11" s="1"/>
  <c r="R634" i="25" s="1"/>
  <c r="J74" i="11"/>
  <c r="Q634" i="25" s="1"/>
  <c r="I74" i="11" a="1"/>
  <c r="I74" i="11" s="1"/>
  <c r="F74" i="11"/>
  <c r="M634" i="25" s="1"/>
  <c r="V73" i="11" a="1"/>
  <c r="V73" i="11" s="1"/>
  <c r="AC633" i="25" s="1"/>
  <c r="S73" i="11" a="1"/>
  <c r="S73" i="11" s="1"/>
  <c r="Z633" i="25" s="1"/>
  <c r="R73" i="11" a="1"/>
  <c r="R73" i="11" s="1"/>
  <c r="Y633" i="25" s="1"/>
  <c r="Q73" i="11" a="1"/>
  <c r="Q73" i="11" s="1"/>
  <c r="X633" i="25" s="1"/>
  <c r="P73" i="11" a="1"/>
  <c r="P73" i="11" s="1"/>
  <c r="W633" i="25" s="1"/>
  <c r="O73" i="11"/>
  <c r="V633" i="25" s="1"/>
  <c r="K73" i="11" a="1"/>
  <c r="K73" i="11" s="1"/>
  <c r="R633" i="25" s="1"/>
  <c r="J73" i="11"/>
  <c r="Q633" i="25" s="1"/>
  <c r="I73" i="11" a="1"/>
  <c r="I73" i="11" s="1"/>
  <c r="F73" i="11"/>
  <c r="M633" i="25" s="1"/>
  <c r="V72" i="11" a="1"/>
  <c r="V72" i="11" s="1"/>
  <c r="AC632" i="25" s="1"/>
  <c r="S72" i="11" a="1"/>
  <c r="S72" i="11" s="1"/>
  <c r="Z632" i="25" s="1"/>
  <c r="R72" i="11" a="1"/>
  <c r="R72" i="11" s="1"/>
  <c r="Y632" i="25" s="1"/>
  <c r="Q72" i="11" a="1"/>
  <c r="Q72" i="11" s="1"/>
  <c r="X632" i="25" s="1"/>
  <c r="P72" i="11" a="1"/>
  <c r="P72" i="11" s="1"/>
  <c r="W632" i="25" s="1"/>
  <c r="O72" i="11"/>
  <c r="V632" i="25" s="1"/>
  <c r="K72" i="11" a="1"/>
  <c r="K72" i="11" s="1"/>
  <c r="R632" i="25" s="1"/>
  <c r="J72" i="11"/>
  <c r="Q632" i="25" s="1"/>
  <c r="I72" i="11" a="1"/>
  <c r="I72" i="11" s="1"/>
  <c r="F72" i="11"/>
  <c r="M632" i="25" s="1"/>
  <c r="V71" i="11" a="1"/>
  <c r="V71" i="11" s="1"/>
  <c r="AC631" i="25" s="1"/>
  <c r="S71" i="11" a="1"/>
  <c r="S71" i="11" s="1"/>
  <c r="Z631" i="25" s="1"/>
  <c r="R71" i="11" a="1"/>
  <c r="R71" i="11" s="1"/>
  <c r="Y631" i="25" s="1"/>
  <c r="Q71" i="11" a="1"/>
  <c r="Q71" i="11" s="1"/>
  <c r="X631" i="25" s="1"/>
  <c r="P71" i="11" a="1"/>
  <c r="P71" i="11" s="1"/>
  <c r="W631" i="25" s="1"/>
  <c r="O71" i="11"/>
  <c r="V631" i="25" s="1"/>
  <c r="K71" i="11" a="1"/>
  <c r="K71" i="11" s="1"/>
  <c r="R631" i="25" s="1"/>
  <c r="J71" i="11"/>
  <c r="Q631" i="25" s="1"/>
  <c r="I71" i="11" a="1"/>
  <c r="I71" i="11" s="1"/>
  <c r="F71" i="11"/>
  <c r="M631" i="25" s="1"/>
  <c r="V70" i="11" a="1"/>
  <c r="V70" i="11" s="1"/>
  <c r="AC630" i="25" s="1"/>
  <c r="S70" i="11" a="1"/>
  <c r="S70" i="11" s="1"/>
  <c r="Z630" i="25" s="1"/>
  <c r="R70" i="11" a="1"/>
  <c r="R70" i="11" s="1"/>
  <c r="Y630" i="25" s="1"/>
  <c r="Q70" i="11" a="1"/>
  <c r="Q70" i="11" s="1"/>
  <c r="X630" i="25" s="1"/>
  <c r="P70" i="11" a="1"/>
  <c r="P70" i="11" s="1"/>
  <c r="W630" i="25" s="1"/>
  <c r="O70" i="11"/>
  <c r="V630" i="25" s="1"/>
  <c r="K70" i="11" a="1"/>
  <c r="K70" i="11" s="1"/>
  <c r="R630" i="25" s="1"/>
  <c r="J70" i="11"/>
  <c r="Q630" i="25" s="1"/>
  <c r="I70" i="11" a="1"/>
  <c r="I70" i="11" s="1"/>
  <c r="F70" i="11"/>
  <c r="M630" i="25" s="1"/>
  <c r="V69" i="11" a="1"/>
  <c r="V69" i="11" s="1"/>
  <c r="AC629" i="25" s="1"/>
  <c r="S69" i="11" a="1"/>
  <c r="S69" i="11" s="1"/>
  <c r="Z629" i="25" s="1"/>
  <c r="R69" i="11" a="1"/>
  <c r="R69" i="11" s="1"/>
  <c r="Y629" i="25" s="1"/>
  <c r="Q69" i="11" a="1"/>
  <c r="Q69" i="11" s="1"/>
  <c r="X629" i="25" s="1"/>
  <c r="P69" i="11" a="1"/>
  <c r="P69" i="11" s="1"/>
  <c r="W629" i="25" s="1"/>
  <c r="O69" i="11"/>
  <c r="V629" i="25" s="1"/>
  <c r="K69" i="11" a="1"/>
  <c r="K69" i="11" s="1"/>
  <c r="R629" i="25" s="1"/>
  <c r="J69" i="11"/>
  <c r="Q629" i="25" s="1"/>
  <c r="I69" i="11" a="1"/>
  <c r="I69" i="11" s="1"/>
  <c r="F69" i="11"/>
  <c r="M629" i="25" s="1"/>
  <c r="S68" i="11" a="1"/>
  <c r="S68" i="11" s="1"/>
  <c r="Z628" i="25" s="1"/>
  <c r="K68" i="11" a="1"/>
  <c r="K68" i="11" s="1"/>
  <c r="R628" i="25" s="1"/>
  <c r="J68" i="11"/>
  <c r="Q628" i="25" s="1"/>
  <c r="I68" i="11" a="1"/>
  <c r="I68" i="11" s="1"/>
  <c r="R68" i="11" s="1" a="1"/>
  <c r="R68" i="11" s="1"/>
  <c r="Y628" i="25" s="1"/>
  <c r="F68" i="11"/>
  <c r="M628" i="25" s="1"/>
  <c r="K67" i="11" a="1"/>
  <c r="K67" i="11" s="1"/>
  <c r="R627" i="25" s="1"/>
  <c r="J67" i="11"/>
  <c r="Q627" i="25" s="1"/>
  <c r="I67" i="11" a="1"/>
  <c r="I67" i="11" s="1"/>
  <c r="V67" i="11" s="1" a="1"/>
  <c r="V67" i="11" s="1"/>
  <c r="AC627" i="25" s="1"/>
  <c r="F67" i="11"/>
  <c r="M627" i="25" s="1"/>
  <c r="I36" i="11"/>
  <c r="I17" i="11"/>
  <c r="I18" i="11"/>
  <c r="I19" i="11"/>
  <c r="I20" i="11"/>
  <c r="I21" i="11"/>
  <c r="I22" i="11"/>
  <c r="I23" i="11"/>
  <c r="I24" i="11"/>
  <c r="I25" i="11"/>
  <c r="I26" i="11"/>
  <c r="I27" i="11"/>
  <c r="I28" i="11"/>
  <c r="I29" i="11"/>
  <c r="I30" i="11"/>
  <c r="I31" i="11"/>
  <c r="I32" i="11"/>
  <c r="I33" i="11"/>
  <c r="I34" i="11"/>
  <c r="I35" i="11"/>
  <c r="I16" i="11"/>
  <c r="P583" i="25" s="1"/>
  <c r="Q125" i="5"/>
  <c r="X366" i="25" s="1"/>
  <c r="Q126" i="5"/>
  <c r="X367" i="25" s="1"/>
  <c r="Q127" i="5"/>
  <c r="X368" i="25" s="1"/>
  <c r="Q128" i="5"/>
  <c r="X369" i="25" s="1"/>
  <c r="Q129" i="5"/>
  <c r="X370" i="25" s="1"/>
  <c r="Q130" i="5"/>
  <c r="X371" i="25" s="1"/>
  <c r="Q131" i="5"/>
  <c r="X372" i="25" s="1"/>
  <c r="Q132" i="5"/>
  <c r="X373" i="25" s="1"/>
  <c r="Q133" i="5"/>
  <c r="X374" i="25" s="1"/>
  <c r="Q134" i="5"/>
  <c r="X375" i="25" s="1"/>
  <c r="Q135" i="5"/>
  <c r="X376" i="25" s="1"/>
  <c r="Q136" i="5"/>
  <c r="X377" i="25" s="1"/>
  <c r="Q137" i="5"/>
  <c r="X378" i="25" s="1"/>
  <c r="Q138" i="5"/>
  <c r="X379" i="25" s="1"/>
  <c r="Q139" i="5"/>
  <c r="X380" i="25" s="1"/>
  <c r="Q140" i="5"/>
  <c r="X381" i="25" s="1"/>
  <c r="Q141" i="5"/>
  <c r="X382" i="25" s="1"/>
  <c r="Q142" i="5"/>
  <c r="X383" i="25" s="1"/>
  <c r="Q143" i="5"/>
  <c r="X384" i="25" s="1"/>
  <c r="Q144" i="5"/>
  <c r="X385" i="25" s="1"/>
  <c r="Q145" i="5"/>
  <c r="X386" i="25" s="1"/>
  <c r="Q146" i="5"/>
  <c r="X387" i="25" s="1"/>
  <c r="Q147" i="5"/>
  <c r="X388" i="25" s="1"/>
  <c r="Q148" i="5"/>
  <c r="X389" i="25" s="1"/>
  <c r="Q149" i="5"/>
  <c r="X390" i="25" s="1"/>
  <c r="Q150" i="5"/>
  <c r="X391" i="25" s="1"/>
  <c r="Q151" i="5"/>
  <c r="X392" i="25" s="1"/>
  <c r="Q152" i="5"/>
  <c r="X393" i="25" s="1"/>
  <c r="Q153" i="5"/>
  <c r="X394" i="25" s="1"/>
  <c r="Q154" i="5"/>
  <c r="X395" i="25" s="1"/>
  <c r="Q155" i="5"/>
  <c r="X396" i="25" s="1"/>
  <c r="Q124" i="5"/>
  <c r="X365" i="25" s="1"/>
  <c r="AB365" i="25"/>
  <c r="AA365" i="25"/>
  <c r="K125" i="5"/>
  <c r="R366" i="25" s="1"/>
  <c r="K126" i="5"/>
  <c r="R367" i="25" s="1"/>
  <c r="K127" i="5"/>
  <c r="R368" i="25" s="1"/>
  <c r="K128" i="5"/>
  <c r="R369" i="25" s="1"/>
  <c r="K129" i="5"/>
  <c r="R370" i="25" s="1"/>
  <c r="K130" i="5"/>
  <c r="R371" i="25" s="1"/>
  <c r="K131" i="5"/>
  <c r="R372" i="25" s="1"/>
  <c r="K132" i="5"/>
  <c r="R373" i="25" s="1"/>
  <c r="K133" i="5"/>
  <c r="R374" i="25" s="1"/>
  <c r="K134" i="5"/>
  <c r="R375" i="25" s="1"/>
  <c r="K135" i="5"/>
  <c r="R376" i="25" s="1"/>
  <c r="K136" i="5"/>
  <c r="R377" i="25" s="1"/>
  <c r="K137" i="5"/>
  <c r="R378" i="25" s="1"/>
  <c r="K138" i="5"/>
  <c r="R379" i="25" s="1"/>
  <c r="K139" i="5"/>
  <c r="R380" i="25" s="1"/>
  <c r="K140" i="5"/>
  <c r="R381" i="25" s="1"/>
  <c r="K141" i="5"/>
  <c r="R382" i="25" s="1"/>
  <c r="K142" i="5"/>
  <c r="R383" i="25" s="1"/>
  <c r="K143" i="5"/>
  <c r="R384" i="25" s="1"/>
  <c r="K144" i="5"/>
  <c r="R385" i="25" s="1"/>
  <c r="K145" i="5"/>
  <c r="R386" i="25" s="1"/>
  <c r="K146" i="5"/>
  <c r="R387" i="25" s="1"/>
  <c r="K147" i="5"/>
  <c r="R388" i="25" s="1"/>
  <c r="K148" i="5"/>
  <c r="R389" i="25" s="1"/>
  <c r="K149" i="5"/>
  <c r="R390" i="25" s="1"/>
  <c r="K150" i="5"/>
  <c r="R391" i="25" s="1"/>
  <c r="K151" i="5"/>
  <c r="R392" i="25" s="1"/>
  <c r="K152" i="5"/>
  <c r="R393" i="25" s="1"/>
  <c r="K153" i="5"/>
  <c r="R394" i="25" s="1"/>
  <c r="K154" i="5"/>
  <c r="R395" i="25" s="1"/>
  <c r="K155" i="5"/>
  <c r="R396" i="25" s="1"/>
  <c r="AE396" i="25" s="1"/>
  <c r="K124" i="5"/>
  <c r="R365" i="25" s="1"/>
  <c r="I125" i="5"/>
  <c r="P366" i="25" s="1"/>
  <c r="I126" i="5"/>
  <c r="P367" i="25" s="1"/>
  <c r="I127" i="5"/>
  <c r="P368" i="25" s="1"/>
  <c r="I128" i="5"/>
  <c r="P369" i="25" s="1"/>
  <c r="I129" i="5"/>
  <c r="P370" i="25" s="1"/>
  <c r="I130" i="5"/>
  <c r="P371" i="25" s="1"/>
  <c r="I131" i="5"/>
  <c r="P372" i="25" s="1"/>
  <c r="I132" i="5"/>
  <c r="P373" i="25" s="1"/>
  <c r="I133" i="5"/>
  <c r="P374" i="25" s="1"/>
  <c r="I134" i="5"/>
  <c r="P375" i="25" s="1"/>
  <c r="I135" i="5"/>
  <c r="P376" i="25" s="1"/>
  <c r="I136" i="5"/>
  <c r="P377" i="25" s="1"/>
  <c r="I137" i="5"/>
  <c r="P378" i="25" s="1"/>
  <c r="I138" i="5"/>
  <c r="P379" i="25" s="1"/>
  <c r="I139" i="5"/>
  <c r="P380" i="25" s="1"/>
  <c r="I140" i="5"/>
  <c r="P381" i="25" s="1"/>
  <c r="I141" i="5"/>
  <c r="P382" i="25" s="1"/>
  <c r="I142" i="5"/>
  <c r="P383" i="25" s="1"/>
  <c r="I143" i="5"/>
  <c r="P384" i="25" s="1"/>
  <c r="I144" i="5"/>
  <c r="P385" i="25" s="1"/>
  <c r="I145" i="5"/>
  <c r="P386" i="25" s="1"/>
  <c r="I146" i="5"/>
  <c r="P387" i="25" s="1"/>
  <c r="I147" i="5"/>
  <c r="P388" i="25" s="1"/>
  <c r="I148" i="5"/>
  <c r="P389" i="25" s="1"/>
  <c r="I149" i="5"/>
  <c r="P390" i="25" s="1"/>
  <c r="I150" i="5"/>
  <c r="P391" i="25" s="1"/>
  <c r="I151" i="5"/>
  <c r="P392" i="25" s="1"/>
  <c r="I152" i="5"/>
  <c r="P393" i="25" s="1"/>
  <c r="I153" i="5"/>
  <c r="P394" i="25" s="1"/>
  <c r="I154" i="5"/>
  <c r="P395" i="25" s="1"/>
  <c r="I155" i="5"/>
  <c r="P396" i="25" s="1"/>
  <c r="I124" i="5"/>
  <c r="P365" i="25" s="1"/>
  <c r="U9" i="5"/>
  <c r="AB256" i="25" s="1"/>
  <c r="U10" i="5"/>
  <c r="AB257" i="25" s="1"/>
  <c r="U11" i="5"/>
  <c r="AB258" i="25" s="1"/>
  <c r="U12" i="5"/>
  <c r="AB259" i="25" s="1"/>
  <c r="U13" i="5"/>
  <c r="AB260" i="25" s="1"/>
  <c r="U14" i="5"/>
  <c r="AB261" i="25" s="1"/>
  <c r="U15" i="5"/>
  <c r="AB262" i="25" s="1"/>
  <c r="U16" i="5"/>
  <c r="AB263" i="25" s="1"/>
  <c r="U17" i="5"/>
  <c r="AB264" i="25" s="1"/>
  <c r="U18" i="5"/>
  <c r="AB265" i="25" s="1"/>
  <c r="U19" i="5"/>
  <c r="AB266" i="25" s="1"/>
  <c r="U20" i="5"/>
  <c r="AB267" i="25" s="1"/>
  <c r="U21" i="5"/>
  <c r="AB268" i="25" s="1"/>
  <c r="U22" i="5"/>
  <c r="AB269" i="25" s="1"/>
  <c r="U23" i="5"/>
  <c r="AB270" i="25" s="1"/>
  <c r="U24" i="5"/>
  <c r="AB271" i="25" s="1"/>
  <c r="U25" i="5"/>
  <c r="AB272" i="25" s="1"/>
  <c r="U26" i="5"/>
  <c r="AB273" i="25" s="1"/>
  <c r="U27" i="5"/>
  <c r="AB274" i="25" s="1"/>
  <c r="U28" i="5"/>
  <c r="AB275" i="25" s="1"/>
  <c r="U29" i="5"/>
  <c r="AB276" i="25" s="1"/>
  <c r="U30" i="5"/>
  <c r="AB277" i="25" s="1"/>
  <c r="U31" i="5"/>
  <c r="AB278" i="25" s="1"/>
  <c r="U32" i="5"/>
  <c r="AB279" i="25" s="1"/>
  <c r="U33" i="5"/>
  <c r="AB280" i="25" s="1"/>
  <c r="U34" i="5"/>
  <c r="AB281" i="25" s="1"/>
  <c r="U35" i="5"/>
  <c r="AB282" i="25" s="1"/>
  <c r="U36" i="5"/>
  <c r="AB283" i="25" s="1"/>
  <c r="U37" i="5"/>
  <c r="AB284" i="25" s="1"/>
  <c r="U38" i="5"/>
  <c r="AB285" i="25" s="1"/>
  <c r="U39" i="5"/>
  <c r="AB286" i="25" s="1"/>
  <c r="U40" i="5"/>
  <c r="AB287" i="25" s="1"/>
  <c r="U41" i="5"/>
  <c r="AB288" i="25" s="1"/>
  <c r="U42" i="5"/>
  <c r="AB289" i="25" s="1"/>
  <c r="U43" i="5"/>
  <c r="AB290" i="25" s="1"/>
  <c r="U44" i="5"/>
  <c r="AB291" i="25" s="1"/>
  <c r="U45" i="5"/>
  <c r="AB292" i="25" s="1"/>
  <c r="U46" i="5"/>
  <c r="AB293" i="25" s="1"/>
  <c r="U47" i="5"/>
  <c r="AB294" i="25" s="1"/>
  <c r="U48" i="5"/>
  <c r="AB295" i="25" s="1"/>
  <c r="U49" i="5"/>
  <c r="AB296" i="25" s="1"/>
  <c r="U50" i="5"/>
  <c r="AB297" i="25" s="1"/>
  <c r="U51" i="5"/>
  <c r="AB298" i="25" s="1"/>
  <c r="U52" i="5"/>
  <c r="AB299" i="25" s="1"/>
  <c r="U53" i="5"/>
  <c r="AB300" i="25" s="1"/>
  <c r="U54" i="5"/>
  <c r="AB301" i="25" s="1"/>
  <c r="U55" i="5"/>
  <c r="AB302" i="25" s="1"/>
  <c r="U56" i="5"/>
  <c r="AB303" i="25" s="1"/>
  <c r="U57" i="5"/>
  <c r="AB304" i="25" s="1"/>
  <c r="U58" i="5"/>
  <c r="AB305" i="25" s="1"/>
  <c r="U59" i="5"/>
  <c r="AB306" i="25" s="1"/>
  <c r="U60" i="5"/>
  <c r="AB307" i="25" s="1"/>
  <c r="U61" i="5"/>
  <c r="AB308" i="25" s="1"/>
  <c r="U62" i="5"/>
  <c r="AB309" i="25" s="1"/>
  <c r="U63" i="5"/>
  <c r="AB310" i="25" s="1"/>
  <c r="U64" i="5"/>
  <c r="AB311" i="25" s="1"/>
  <c r="U65" i="5"/>
  <c r="AB312" i="25" s="1"/>
  <c r="U66" i="5"/>
  <c r="AB313" i="25" s="1"/>
  <c r="U67" i="5"/>
  <c r="AB314" i="25" s="1"/>
  <c r="U68" i="5"/>
  <c r="AB315" i="25" s="1"/>
  <c r="U69" i="5"/>
  <c r="AB316" i="25" s="1"/>
  <c r="U70" i="5"/>
  <c r="AB317" i="25" s="1"/>
  <c r="U71" i="5"/>
  <c r="AB318" i="25" s="1"/>
  <c r="U72" i="5"/>
  <c r="AB319" i="25" s="1"/>
  <c r="U73" i="5"/>
  <c r="AB320" i="25" s="1"/>
  <c r="U74" i="5"/>
  <c r="AB321" i="25" s="1"/>
  <c r="U75" i="5"/>
  <c r="AB322" i="25" s="1"/>
  <c r="U76" i="5"/>
  <c r="AB323" i="25" s="1"/>
  <c r="U77" i="5"/>
  <c r="AB324" i="25" s="1"/>
  <c r="U78" i="5"/>
  <c r="AB325" i="25" s="1"/>
  <c r="U79" i="5"/>
  <c r="AB326" i="25" s="1"/>
  <c r="U80" i="5"/>
  <c r="AB327" i="25" s="1"/>
  <c r="U81" i="5"/>
  <c r="AB328" i="25" s="1"/>
  <c r="U82" i="5"/>
  <c r="AB329" i="25" s="1"/>
  <c r="U83" i="5"/>
  <c r="AB330" i="25" s="1"/>
  <c r="U84" i="5"/>
  <c r="AB331" i="25" s="1"/>
  <c r="U85" i="5"/>
  <c r="AB332" i="25" s="1"/>
  <c r="U86" i="5"/>
  <c r="AB333" i="25" s="1"/>
  <c r="U87" i="5"/>
  <c r="AB334" i="25" s="1"/>
  <c r="U88" i="5"/>
  <c r="AB335" i="25" s="1"/>
  <c r="U89" i="5"/>
  <c r="AB336" i="25" s="1"/>
  <c r="U90" i="5"/>
  <c r="AB337" i="25" s="1"/>
  <c r="U91" i="5"/>
  <c r="AB338" i="25" s="1"/>
  <c r="U92" i="5"/>
  <c r="AB339" i="25" s="1"/>
  <c r="U93" i="5"/>
  <c r="AB340" i="25" s="1"/>
  <c r="U94" i="5"/>
  <c r="AB341" i="25" s="1"/>
  <c r="U95" i="5"/>
  <c r="AB342" i="25" s="1"/>
  <c r="U96" i="5"/>
  <c r="AB343" i="25" s="1"/>
  <c r="U97" i="5"/>
  <c r="AB344" i="25" s="1"/>
  <c r="U98" i="5"/>
  <c r="AB345" i="25" s="1"/>
  <c r="U99" i="5"/>
  <c r="AB346" i="25" s="1"/>
  <c r="U100" i="5"/>
  <c r="AB347" i="25" s="1"/>
  <c r="U101" i="5"/>
  <c r="AB348" i="25" s="1"/>
  <c r="U102" i="5"/>
  <c r="AB349" i="25" s="1"/>
  <c r="U103" i="5"/>
  <c r="AB350" i="25" s="1"/>
  <c r="U104" i="5"/>
  <c r="AB351" i="25" s="1"/>
  <c r="U105" i="5"/>
  <c r="AB352" i="25" s="1"/>
  <c r="U106" i="5"/>
  <c r="AB353" i="25" s="1"/>
  <c r="U107" i="5"/>
  <c r="AB354" i="25" s="1"/>
  <c r="U108" i="5"/>
  <c r="AB355" i="25" s="1"/>
  <c r="U109" i="5"/>
  <c r="AB356" i="25" s="1"/>
  <c r="U110" i="5"/>
  <c r="AB357" i="25" s="1"/>
  <c r="U111" i="5"/>
  <c r="AB358" i="25" s="1"/>
  <c r="U112" i="5"/>
  <c r="AB359" i="25" s="1"/>
  <c r="U113" i="5"/>
  <c r="AB360" i="25" s="1"/>
  <c r="U114" i="5"/>
  <c r="AB361" i="25" s="1"/>
  <c r="U115" i="5"/>
  <c r="AB362" i="25" s="1"/>
  <c r="U116" i="5"/>
  <c r="AB363" i="25" s="1"/>
  <c r="U117" i="5"/>
  <c r="AB364" i="25" s="1"/>
  <c r="T9" i="5"/>
  <c r="T10" i="5"/>
  <c r="T11" i="5"/>
  <c r="AA258" i="25" s="1"/>
  <c r="T12" i="5"/>
  <c r="T13" i="5"/>
  <c r="T14" i="5"/>
  <c r="T15" i="5"/>
  <c r="T16" i="5"/>
  <c r="T17" i="5"/>
  <c r="T18" i="5"/>
  <c r="T19" i="5"/>
  <c r="T20" i="5"/>
  <c r="T21" i="5"/>
  <c r="T22" i="5"/>
  <c r="T23" i="5"/>
  <c r="T24" i="5"/>
  <c r="T25" i="5"/>
  <c r="AA272" i="25" s="1"/>
  <c r="T26" i="5"/>
  <c r="T27" i="5"/>
  <c r="T28" i="5"/>
  <c r="T29" i="5"/>
  <c r="T30" i="5"/>
  <c r="T31" i="5"/>
  <c r="T32" i="5"/>
  <c r="T33" i="5"/>
  <c r="T34" i="5"/>
  <c r="T35" i="5"/>
  <c r="T36" i="5"/>
  <c r="T37" i="5"/>
  <c r="T38" i="5"/>
  <c r="T39" i="5"/>
  <c r="T40" i="5"/>
  <c r="T41" i="5"/>
  <c r="T42" i="5"/>
  <c r="T43" i="5"/>
  <c r="T44" i="5"/>
  <c r="T45" i="5"/>
  <c r="T46" i="5"/>
  <c r="T47" i="5"/>
  <c r="T48" i="5"/>
  <c r="T49" i="5"/>
  <c r="T50" i="5"/>
  <c r="T51" i="5"/>
  <c r="T52" i="5"/>
  <c r="T53" i="5"/>
  <c r="T54" i="5"/>
  <c r="T55" i="5"/>
  <c r="T56" i="5"/>
  <c r="T57" i="5"/>
  <c r="T58" i="5"/>
  <c r="T59" i="5"/>
  <c r="T60" i="5"/>
  <c r="T61" i="5"/>
  <c r="T62" i="5"/>
  <c r="T63" i="5"/>
  <c r="AA310" i="25" s="1"/>
  <c r="T64" i="5"/>
  <c r="T65" i="5"/>
  <c r="T66" i="5"/>
  <c r="T67" i="5"/>
  <c r="T68" i="5"/>
  <c r="T69" i="5"/>
  <c r="T70" i="5"/>
  <c r="T71" i="5"/>
  <c r="T72" i="5"/>
  <c r="T73" i="5"/>
  <c r="T74" i="5"/>
  <c r="T75" i="5"/>
  <c r="T76" i="5"/>
  <c r="T77" i="5"/>
  <c r="T78" i="5"/>
  <c r="T79" i="5"/>
  <c r="T80" i="5"/>
  <c r="T81" i="5"/>
  <c r="T82" i="5"/>
  <c r="T83" i="5"/>
  <c r="T84" i="5"/>
  <c r="T85" i="5"/>
  <c r="T86" i="5"/>
  <c r="T87" i="5"/>
  <c r="T88" i="5"/>
  <c r="T89" i="5"/>
  <c r="T90" i="5"/>
  <c r="T91" i="5"/>
  <c r="T92" i="5"/>
  <c r="T93" i="5"/>
  <c r="T94" i="5"/>
  <c r="T95" i="5"/>
  <c r="T96" i="5"/>
  <c r="T97" i="5"/>
  <c r="T98" i="5"/>
  <c r="T99" i="5"/>
  <c r="T100" i="5"/>
  <c r="T101" i="5"/>
  <c r="T102" i="5"/>
  <c r="T103" i="5"/>
  <c r="T104" i="5"/>
  <c r="T105" i="5"/>
  <c r="T106" i="5"/>
  <c r="AA353" i="25" s="1"/>
  <c r="T107" i="5"/>
  <c r="T108" i="5"/>
  <c r="T109" i="5"/>
  <c r="T110" i="5"/>
  <c r="T111" i="5"/>
  <c r="T112" i="5"/>
  <c r="T113" i="5"/>
  <c r="T114" i="5"/>
  <c r="T115" i="5"/>
  <c r="T116" i="5"/>
  <c r="T117" i="5"/>
  <c r="I9" i="5"/>
  <c r="P256" i="25" s="1"/>
  <c r="I10" i="5"/>
  <c r="P257" i="25" s="1"/>
  <c r="I11" i="5"/>
  <c r="I12" i="5"/>
  <c r="P259" i="25" s="1"/>
  <c r="I13" i="5"/>
  <c r="P260" i="25" s="1"/>
  <c r="I14" i="5"/>
  <c r="P261" i="25" s="1"/>
  <c r="I15" i="5"/>
  <c r="P262" i="25" s="1"/>
  <c r="I16" i="5"/>
  <c r="P263" i="25" s="1"/>
  <c r="I17" i="5"/>
  <c r="P264" i="25" s="1"/>
  <c r="I18" i="5"/>
  <c r="P265" i="25" s="1"/>
  <c r="I19" i="5"/>
  <c r="P266" i="25" s="1"/>
  <c r="I20" i="5"/>
  <c r="P267" i="25" s="1"/>
  <c r="I21" i="5"/>
  <c r="P268" i="25" s="1"/>
  <c r="I22" i="5"/>
  <c r="P269" i="25" s="1"/>
  <c r="I23" i="5"/>
  <c r="P270" i="25" s="1"/>
  <c r="I24" i="5"/>
  <c r="P271" i="25" s="1"/>
  <c r="I25" i="5"/>
  <c r="P272" i="25" s="1"/>
  <c r="I26" i="5"/>
  <c r="P273" i="25" s="1"/>
  <c r="I27" i="5"/>
  <c r="P274" i="25" s="1"/>
  <c r="I28" i="5"/>
  <c r="P275" i="25" s="1"/>
  <c r="I29" i="5"/>
  <c r="P276" i="25" s="1"/>
  <c r="I30" i="5"/>
  <c r="P277" i="25" s="1"/>
  <c r="I31" i="5"/>
  <c r="P278" i="25" s="1"/>
  <c r="I32" i="5"/>
  <c r="P279" i="25" s="1"/>
  <c r="I33" i="5"/>
  <c r="P280" i="25" s="1"/>
  <c r="I34" i="5"/>
  <c r="P281" i="25" s="1"/>
  <c r="I35" i="5"/>
  <c r="P282" i="25" s="1"/>
  <c r="I36" i="5"/>
  <c r="P283" i="25" s="1"/>
  <c r="I37" i="5"/>
  <c r="P284" i="25" s="1"/>
  <c r="I38" i="5"/>
  <c r="P285" i="25" s="1"/>
  <c r="I39" i="5"/>
  <c r="P286" i="25" s="1"/>
  <c r="I40" i="5"/>
  <c r="P287" i="25" s="1"/>
  <c r="I41" i="5"/>
  <c r="P288" i="25" s="1"/>
  <c r="I42" i="5"/>
  <c r="P289" i="25" s="1"/>
  <c r="I43" i="5"/>
  <c r="P290" i="25" s="1"/>
  <c r="I44" i="5"/>
  <c r="P291" i="25" s="1"/>
  <c r="I45" i="5"/>
  <c r="P292" i="25" s="1"/>
  <c r="I46" i="5"/>
  <c r="P293" i="25" s="1"/>
  <c r="I47" i="5"/>
  <c r="P294" i="25" s="1"/>
  <c r="I48" i="5"/>
  <c r="P295" i="25" s="1"/>
  <c r="I49" i="5"/>
  <c r="P296" i="25" s="1"/>
  <c r="I50" i="5"/>
  <c r="P297" i="25" s="1"/>
  <c r="I51" i="5"/>
  <c r="P298" i="25" s="1"/>
  <c r="I52" i="5"/>
  <c r="P299" i="25" s="1"/>
  <c r="I53" i="5"/>
  <c r="P300" i="25" s="1"/>
  <c r="I54" i="5"/>
  <c r="P301" i="25" s="1"/>
  <c r="I55" i="5"/>
  <c r="P302" i="25" s="1"/>
  <c r="I56" i="5"/>
  <c r="P303" i="25" s="1"/>
  <c r="I57" i="5"/>
  <c r="P304" i="25" s="1"/>
  <c r="I58" i="5"/>
  <c r="P305" i="25" s="1"/>
  <c r="I59" i="5"/>
  <c r="P306" i="25" s="1"/>
  <c r="I60" i="5"/>
  <c r="P307" i="25" s="1"/>
  <c r="I61" i="5"/>
  <c r="P308" i="25" s="1"/>
  <c r="I62" i="5"/>
  <c r="P309" i="25" s="1"/>
  <c r="I63" i="5"/>
  <c r="I64" i="5"/>
  <c r="P311" i="25" s="1"/>
  <c r="I65" i="5"/>
  <c r="P312" i="25" s="1"/>
  <c r="I66" i="5"/>
  <c r="P313" i="25" s="1"/>
  <c r="I67" i="5"/>
  <c r="P314" i="25" s="1"/>
  <c r="I68" i="5"/>
  <c r="P315" i="25" s="1"/>
  <c r="I69" i="5"/>
  <c r="P316" i="25" s="1"/>
  <c r="I70" i="5"/>
  <c r="P317" i="25" s="1"/>
  <c r="I71" i="5"/>
  <c r="P318" i="25" s="1"/>
  <c r="I72" i="5"/>
  <c r="P319" i="25" s="1"/>
  <c r="I73" i="5"/>
  <c r="P320" i="25" s="1"/>
  <c r="I74" i="5"/>
  <c r="P321" i="25" s="1"/>
  <c r="I75" i="5"/>
  <c r="P322" i="25" s="1"/>
  <c r="I76" i="5"/>
  <c r="P323" i="25" s="1"/>
  <c r="I77" i="5"/>
  <c r="P324" i="25" s="1"/>
  <c r="I78" i="5"/>
  <c r="P325" i="25" s="1"/>
  <c r="I79" i="5"/>
  <c r="P326" i="25" s="1"/>
  <c r="I80" i="5"/>
  <c r="P327" i="25" s="1"/>
  <c r="I81" i="5"/>
  <c r="P328" i="25" s="1"/>
  <c r="I82" i="5"/>
  <c r="P329" i="25" s="1"/>
  <c r="I83" i="5"/>
  <c r="P330" i="25" s="1"/>
  <c r="I84" i="5"/>
  <c r="P331" i="25" s="1"/>
  <c r="I85" i="5"/>
  <c r="P332" i="25" s="1"/>
  <c r="I86" i="5"/>
  <c r="P333" i="25" s="1"/>
  <c r="I87" i="5"/>
  <c r="P334" i="25" s="1"/>
  <c r="I88" i="5"/>
  <c r="P335" i="25" s="1"/>
  <c r="I89" i="5"/>
  <c r="P336" i="25" s="1"/>
  <c r="I90" i="5"/>
  <c r="P337" i="25" s="1"/>
  <c r="I91" i="5"/>
  <c r="P338" i="25" s="1"/>
  <c r="I92" i="5"/>
  <c r="P339" i="25" s="1"/>
  <c r="I93" i="5"/>
  <c r="P340" i="25" s="1"/>
  <c r="I94" i="5"/>
  <c r="P341" i="25" s="1"/>
  <c r="I95" i="5"/>
  <c r="P342" i="25" s="1"/>
  <c r="I96" i="5"/>
  <c r="P343" i="25" s="1"/>
  <c r="I97" i="5"/>
  <c r="P344" i="25" s="1"/>
  <c r="I98" i="5"/>
  <c r="P345" i="25" s="1"/>
  <c r="I99" i="5"/>
  <c r="P346" i="25" s="1"/>
  <c r="I100" i="5"/>
  <c r="P347" i="25" s="1"/>
  <c r="I101" i="5"/>
  <c r="P348" i="25" s="1"/>
  <c r="I102" i="5"/>
  <c r="P349" i="25" s="1"/>
  <c r="I103" i="5"/>
  <c r="P350" i="25" s="1"/>
  <c r="I104" i="5"/>
  <c r="P351" i="25" s="1"/>
  <c r="I105" i="5"/>
  <c r="P352" i="25" s="1"/>
  <c r="I106" i="5"/>
  <c r="I107" i="5"/>
  <c r="P354" i="25" s="1"/>
  <c r="I108" i="5"/>
  <c r="P355" i="25" s="1"/>
  <c r="I109" i="5"/>
  <c r="P356" i="25" s="1"/>
  <c r="I110" i="5"/>
  <c r="P357" i="25" s="1"/>
  <c r="I111" i="5"/>
  <c r="P358" i="25" s="1"/>
  <c r="I112" i="5"/>
  <c r="P359" i="25" s="1"/>
  <c r="I113" i="5"/>
  <c r="P360" i="25" s="1"/>
  <c r="I114" i="5"/>
  <c r="P361" i="25" s="1"/>
  <c r="I115" i="5"/>
  <c r="P362" i="25" s="1"/>
  <c r="I116" i="5"/>
  <c r="P363" i="25" s="1"/>
  <c r="I117" i="5"/>
  <c r="P364" i="25" s="1"/>
  <c r="I8" i="5"/>
  <c r="Z254" i="25"/>
  <c r="Y254" i="25"/>
  <c r="X254" i="25"/>
  <c r="W254" i="25"/>
  <c r="I23" i="24" a="1"/>
  <c r="I23" i="24" s="1"/>
  <c r="P254" i="25" s="1"/>
  <c r="F23" i="24"/>
  <c r="Z253" i="25"/>
  <c r="Y253" i="25"/>
  <c r="X253" i="25"/>
  <c r="W253" i="25"/>
  <c r="I22" i="24" a="1"/>
  <c r="I22" i="24" s="1"/>
  <c r="P253" i="25" s="1"/>
  <c r="F22" i="24"/>
  <c r="Z252" i="25"/>
  <c r="Y252" i="25"/>
  <c r="X252" i="25"/>
  <c r="W252" i="25"/>
  <c r="I21" i="24" a="1"/>
  <c r="I21" i="24" s="1"/>
  <c r="P252" i="25" s="1"/>
  <c r="F21" i="24"/>
  <c r="Z251" i="25"/>
  <c r="Y251" i="25"/>
  <c r="X251" i="25"/>
  <c r="W251" i="25"/>
  <c r="I20" i="24" a="1"/>
  <c r="I20" i="24" s="1"/>
  <c r="P251" i="25" s="1"/>
  <c r="F20" i="24"/>
  <c r="Z250" i="25"/>
  <c r="Y250" i="25"/>
  <c r="X250" i="25"/>
  <c r="W250" i="25"/>
  <c r="I19" i="24" a="1"/>
  <c r="I19" i="24" s="1"/>
  <c r="P250" i="25" s="1"/>
  <c r="F19" i="24"/>
  <c r="Z249" i="25"/>
  <c r="Y249" i="25"/>
  <c r="X249" i="25"/>
  <c r="W249" i="25"/>
  <c r="I18" i="24" a="1"/>
  <c r="I18" i="24" s="1"/>
  <c r="P249" i="25" s="1"/>
  <c r="F18" i="24"/>
  <c r="Z248" i="25"/>
  <c r="Y248" i="25"/>
  <c r="X248" i="25"/>
  <c r="W248" i="25"/>
  <c r="I17" i="24" a="1"/>
  <c r="I17" i="24" s="1"/>
  <c r="P248" i="25" s="1"/>
  <c r="F17" i="24"/>
  <c r="Z247" i="25"/>
  <c r="Y247" i="25"/>
  <c r="X247" i="25"/>
  <c r="W247" i="25"/>
  <c r="I16" i="24" a="1"/>
  <c r="I16" i="24" s="1"/>
  <c r="P247" i="25" s="1"/>
  <c r="F16" i="24"/>
  <c r="Z246" i="25"/>
  <c r="Y246" i="25"/>
  <c r="X246" i="25"/>
  <c r="W246" i="25"/>
  <c r="I15" i="24" a="1"/>
  <c r="I15" i="24" s="1"/>
  <c r="P246" i="25" s="1"/>
  <c r="F15" i="24"/>
  <c r="Z245" i="25"/>
  <c r="Y245" i="25"/>
  <c r="X245" i="25"/>
  <c r="W245" i="25"/>
  <c r="I14" i="24" a="1"/>
  <c r="I14" i="24" s="1"/>
  <c r="P245" i="25" s="1"/>
  <c r="F14" i="24"/>
  <c r="Z244" i="25"/>
  <c r="Y244" i="25"/>
  <c r="X244" i="25"/>
  <c r="W244" i="25"/>
  <c r="I13" i="24" a="1"/>
  <c r="I13" i="24" s="1"/>
  <c r="P244" i="25" s="1"/>
  <c r="F13" i="24"/>
  <c r="Z243" i="25"/>
  <c r="Y243" i="25"/>
  <c r="X243" i="25"/>
  <c r="W243" i="25"/>
  <c r="I12" i="24" a="1"/>
  <c r="I12" i="24" s="1"/>
  <c r="P243" i="25" s="1"/>
  <c r="F12" i="24"/>
  <c r="Z242" i="25"/>
  <c r="Y242" i="25"/>
  <c r="X242" i="25"/>
  <c r="W242" i="25"/>
  <c r="I11" i="24" a="1"/>
  <c r="I11" i="24" s="1"/>
  <c r="P242" i="25" s="1"/>
  <c r="F11" i="24"/>
  <c r="Z241" i="25"/>
  <c r="Y241" i="25"/>
  <c r="X241" i="25"/>
  <c r="W241" i="25"/>
  <c r="I10" i="24" a="1"/>
  <c r="I10" i="24" s="1"/>
  <c r="P241" i="25" s="1"/>
  <c r="F10" i="24"/>
  <c r="Z240" i="25"/>
  <c r="Y240" i="25"/>
  <c r="X240" i="25"/>
  <c r="W240" i="25"/>
  <c r="I9" i="24" a="1"/>
  <c r="I9" i="24" s="1"/>
  <c r="P240" i="25" s="1"/>
  <c r="F9" i="24"/>
  <c r="Z239" i="25"/>
  <c r="Y239" i="25"/>
  <c r="X239" i="25"/>
  <c r="W239" i="25"/>
  <c r="I8" i="24" a="1"/>
  <c r="I8" i="24" s="1"/>
  <c r="P239" i="25" s="1"/>
  <c r="F8" i="24"/>
  <c r="Z238" i="25"/>
  <c r="Y238" i="25"/>
  <c r="X238" i="25"/>
  <c r="Q238" i="25"/>
  <c r="I7" i="24" a="1"/>
  <c r="I7" i="24" s="1"/>
  <c r="F7" i="24"/>
  <c r="M238" i="25" s="1"/>
  <c r="AC176" i="25"/>
  <c r="Z176" i="25"/>
  <c r="Y176" i="25"/>
  <c r="X176" i="25"/>
  <c r="W176" i="25"/>
  <c r="V176" i="25"/>
  <c r="R176" i="25"/>
  <c r="AE176" i="25" s="1"/>
  <c r="J50" i="23"/>
  <c r="Q176" i="25" s="1"/>
  <c r="I50" i="23" a="1"/>
  <c r="I50" i="23" s="1"/>
  <c r="P176" i="25" s="1"/>
  <c r="F50" i="23"/>
  <c r="AC175" i="25"/>
  <c r="Z175" i="25"/>
  <c r="Y175" i="25"/>
  <c r="X175" i="25"/>
  <c r="W175" i="25"/>
  <c r="V175" i="25"/>
  <c r="R175" i="25"/>
  <c r="J49" i="23"/>
  <c r="Q175" i="25" s="1"/>
  <c r="I49" i="23" a="1"/>
  <c r="I49" i="23" s="1"/>
  <c r="P175" i="25" s="1"/>
  <c r="F49" i="23"/>
  <c r="AC174" i="25"/>
  <c r="Z174" i="25"/>
  <c r="Y174" i="25"/>
  <c r="X174" i="25"/>
  <c r="W174" i="25"/>
  <c r="V174" i="25"/>
  <c r="R174" i="25"/>
  <c r="J48" i="23"/>
  <c r="Q174" i="25" s="1"/>
  <c r="I48" i="23" a="1"/>
  <c r="I48" i="23" s="1"/>
  <c r="P174" i="25" s="1"/>
  <c r="F48" i="23"/>
  <c r="AC173" i="25"/>
  <c r="Z173" i="25"/>
  <c r="Y173" i="25"/>
  <c r="X173" i="25"/>
  <c r="W173" i="25"/>
  <c r="V173" i="25"/>
  <c r="R173" i="25"/>
  <c r="J47" i="23"/>
  <c r="Q173" i="25" s="1"/>
  <c r="I47" i="23" a="1"/>
  <c r="I47" i="23" s="1"/>
  <c r="P173" i="25" s="1"/>
  <c r="F47" i="23"/>
  <c r="AC172" i="25"/>
  <c r="Z172" i="25"/>
  <c r="Y172" i="25"/>
  <c r="X172" i="25"/>
  <c r="W172" i="25"/>
  <c r="V172" i="25"/>
  <c r="R172" i="25"/>
  <c r="AE172" i="25" s="1"/>
  <c r="J46" i="23"/>
  <c r="Q172" i="25" s="1"/>
  <c r="I46" i="23" a="1"/>
  <c r="I46" i="23" s="1"/>
  <c r="P172" i="25" s="1"/>
  <c r="F46" i="23"/>
  <c r="AC171" i="25"/>
  <c r="Z171" i="25"/>
  <c r="Y171" i="25"/>
  <c r="X171" i="25"/>
  <c r="W171" i="25"/>
  <c r="V171" i="25"/>
  <c r="R171" i="25"/>
  <c r="J45" i="23"/>
  <c r="Q171" i="25" s="1"/>
  <c r="I45" i="23" a="1"/>
  <c r="I45" i="23" s="1"/>
  <c r="P171" i="25" s="1"/>
  <c r="F45" i="23"/>
  <c r="AC170" i="25"/>
  <c r="Z170" i="25"/>
  <c r="Y170" i="25"/>
  <c r="X170" i="25"/>
  <c r="W170" i="25"/>
  <c r="V170" i="25"/>
  <c r="R170" i="25"/>
  <c r="J44" i="23"/>
  <c r="Q170" i="25" s="1"/>
  <c r="I44" i="23" a="1"/>
  <c r="I44" i="23" s="1"/>
  <c r="P170" i="25" s="1"/>
  <c r="F44" i="23"/>
  <c r="AC169" i="25"/>
  <c r="Z169" i="25"/>
  <c r="Y169" i="25"/>
  <c r="X169" i="25"/>
  <c r="W169" i="25"/>
  <c r="V169" i="25"/>
  <c r="R169" i="25"/>
  <c r="J43" i="23"/>
  <c r="Q169" i="25" s="1"/>
  <c r="I43" i="23" a="1"/>
  <c r="I43" i="23" s="1"/>
  <c r="P169" i="25" s="1"/>
  <c r="F43" i="23"/>
  <c r="AC168" i="25"/>
  <c r="Z168" i="25"/>
  <c r="Y168" i="25"/>
  <c r="X168" i="25"/>
  <c r="W168" i="25"/>
  <c r="V168" i="25"/>
  <c r="R168" i="25"/>
  <c r="AE168" i="25" s="1"/>
  <c r="J42" i="23"/>
  <c r="Q168" i="25" s="1"/>
  <c r="I42" i="23" a="1"/>
  <c r="I42" i="23" s="1"/>
  <c r="P168" i="25" s="1"/>
  <c r="F42" i="23"/>
  <c r="AC167" i="25"/>
  <c r="Z167" i="25"/>
  <c r="Y167" i="25"/>
  <c r="X167" i="25"/>
  <c r="W167" i="25"/>
  <c r="V167" i="25"/>
  <c r="R167" i="25"/>
  <c r="J41" i="23"/>
  <c r="Q167" i="25" s="1"/>
  <c r="I41" i="23" a="1"/>
  <c r="I41" i="23" s="1"/>
  <c r="P167" i="25" s="1"/>
  <c r="F41" i="23"/>
  <c r="Z157" i="25"/>
  <c r="Y157" i="25"/>
  <c r="R157" i="25"/>
  <c r="J31" i="23"/>
  <c r="Q157" i="25" s="1"/>
  <c r="I31" i="23" a="1"/>
  <c r="I31" i="23" s="1"/>
  <c r="P157" i="25" s="1"/>
  <c r="F31" i="23"/>
  <c r="AC156" i="25"/>
  <c r="Z156" i="25"/>
  <c r="Y156" i="25"/>
  <c r="X156" i="25"/>
  <c r="W156" i="25"/>
  <c r="V156" i="25"/>
  <c r="R156" i="25"/>
  <c r="J27" i="23"/>
  <c r="Q156" i="25" s="1"/>
  <c r="I27" i="23" a="1"/>
  <c r="I27" i="23" s="1"/>
  <c r="P156" i="25" s="1"/>
  <c r="F27" i="23"/>
  <c r="AC155" i="25"/>
  <c r="Z155" i="25"/>
  <c r="Y155" i="25"/>
  <c r="X155" i="25"/>
  <c r="W155" i="25"/>
  <c r="V155" i="25"/>
  <c r="R155" i="25"/>
  <c r="J26" i="23"/>
  <c r="Q155" i="25" s="1"/>
  <c r="I26" i="23" a="1"/>
  <c r="I26" i="23" s="1"/>
  <c r="P155" i="25" s="1"/>
  <c r="F26" i="23"/>
  <c r="AC154" i="25"/>
  <c r="Z154" i="25"/>
  <c r="Y154" i="25"/>
  <c r="X154" i="25"/>
  <c r="W154" i="25"/>
  <c r="V154" i="25"/>
  <c r="R154" i="25"/>
  <c r="J25" i="23"/>
  <c r="Q154" i="25" s="1"/>
  <c r="I25" i="23" a="1"/>
  <c r="I25" i="23" s="1"/>
  <c r="P154" i="25" s="1"/>
  <c r="F25" i="23"/>
  <c r="AC153" i="25"/>
  <c r="Z153" i="25"/>
  <c r="Y153" i="25"/>
  <c r="X153" i="25"/>
  <c r="W153" i="25"/>
  <c r="V153" i="25"/>
  <c r="R153" i="25"/>
  <c r="J24" i="23"/>
  <c r="Q153" i="25" s="1"/>
  <c r="I24" i="23" a="1"/>
  <c r="I24" i="23" s="1"/>
  <c r="P153" i="25" s="1"/>
  <c r="F24" i="23"/>
  <c r="AC152" i="25"/>
  <c r="Z152" i="25"/>
  <c r="Y152" i="25"/>
  <c r="X152" i="25"/>
  <c r="W152" i="25"/>
  <c r="V152" i="25"/>
  <c r="R152" i="25"/>
  <c r="I23" i="23" a="1"/>
  <c r="I23" i="23" s="1"/>
  <c r="P152" i="25" s="1"/>
  <c r="AC151" i="25"/>
  <c r="Z151" i="25"/>
  <c r="Y151" i="25"/>
  <c r="X151" i="25"/>
  <c r="W151" i="25"/>
  <c r="V151" i="25"/>
  <c r="R151" i="25"/>
  <c r="J22" i="23"/>
  <c r="Q151" i="25" s="1"/>
  <c r="I22" i="23" a="1"/>
  <c r="I22" i="23" s="1"/>
  <c r="P151" i="25" s="1"/>
  <c r="F22" i="23"/>
  <c r="AC150" i="25"/>
  <c r="Z150" i="25"/>
  <c r="Y150" i="25"/>
  <c r="X150" i="25"/>
  <c r="W150" i="25"/>
  <c r="V150" i="25"/>
  <c r="R150" i="25"/>
  <c r="J21" i="23"/>
  <c r="Q150" i="25" s="1"/>
  <c r="I21" i="23" a="1"/>
  <c r="I21" i="23" s="1"/>
  <c r="P150" i="25" s="1"/>
  <c r="F21" i="23"/>
  <c r="AC149" i="25"/>
  <c r="Z149" i="25"/>
  <c r="Y149" i="25"/>
  <c r="X149" i="25"/>
  <c r="W149" i="25"/>
  <c r="V149" i="25"/>
  <c r="R149" i="25"/>
  <c r="J20" i="23"/>
  <c r="Q149" i="25" s="1"/>
  <c r="I20" i="23" a="1"/>
  <c r="I20" i="23" s="1"/>
  <c r="P149" i="25" s="1"/>
  <c r="F20" i="23"/>
  <c r="AC148" i="25"/>
  <c r="Z148" i="25"/>
  <c r="Y148" i="25"/>
  <c r="X148" i="25"/>
  <c r="W148" i="25"/>
  <c r="V148" i="25"/>
  <c r="R148" i="25"/>
  <c r="J19" i="23"/>
  <c r="Q148" i="25" s="1"/>
  <c r="I19" i="23" a="1"/>
  <c r="I19" i="23" s="1"/>
  <c r="P148" i="25" s="1"/>
  <c r="F19" i="23"/>
  <c r="J18" i="23"/>
  <c r="Q147" i="25" s="1"/>
  <c r="I18" i="23" a="1"/>
  <c r="I18" i="23" s="1"/>
  <c r="P147" i="25" s="1"/>
  <c r="F18" i="23"/>
  <c r="R137" i="25"/>
  <c r="J8" i="23"/>
  <c r="Q137" i="25" s="1"/>
  <c r="I8" i="23" a="1"/>
  <c r="I8" i="23" s="1"/>
  <c r="F8" i="23"/>
  <c r="P137" i="25" l="1"/>
  <c r="Q8" i="23" a="1"/>
  <c r="Q8" i="23" s="1"/>
  <c r="X137" i="25" s="1"/>
  <c r="P8" i="23" a="1"/>
  <c r="P8" i="23" s="1"/>
  <c r="W137" i="25" s="1"/>
  <c r="R8" i="23" a="1"/>
  <c r="R8" i="23" s="1"/>
  <c r="Y137" i="25" s="1"/>
  <c r="O8" i="23" a="1"/>
  <c r="O8" i="23" s="1"/>
  <c r="V137" i="25" s="1"/>
  <c r="V8" i="23" a="1"/>
  <c r="V8" i="23" s="1"/>
  <c r="AC137" i="25" s="1"/>
  <c r="S8" i="23" a="1"/>
  <c r="S8" i="23" s="1"/>
  <c r="Z137" i="25" s="1"/>
  <c r="X61" i="11" a="1"/>
  <c r="X61" i="11" s="1"/>
  <c r="X53" i="11" a="1"/>
  <c r="X53" i="11" s="1"/>
  <c r="X45" i="11" a="1"/>
  <c r="X45" i="11" s="1"/>
  <c r="X59" i="11" a="1"/>
  <c r="X59" i="11" s="1"/>
  <c r="X51" i="11" a="1"/>
  <c r="X51" i="11" s="1"/>
  <c r="X43" i="11" a="1"/>
  <c r="X43" i="11" s="1"/>
  <c r="X58" i="11" a="1"/>
  <c r="X58" i="11" s="1"/>
  <c r="X50" i="11" a="1"/>
  <c r="X50" i="11" s="1"/>
  <c r="X42" i="11" a="1"/>
  <c r="X42" i="11" s="1"/>
  <c r="X57" i="11" a="1"/>
  <c r="X57" i="11" s="1"/>
  <c r="X49" i="11" a="1"/>
  <c r="X49" i="11" s="1"/>
  <c r="X48" i="11" a="1"/>
  <c r="X48" i="11" s="1"/>
  <c r="X41" i="11" a="1"/>
  <c r="X41" i="11" s="1"/>
  <c r="R624" i="25"/>
  <c r="AE624" i="25" s="1"/>
  <c r="R622" i="25"/>
  <c r="R620" i="25"/>
  <c r="AE620" i="25" s="1"/>
  <c r="R616" i="25"/>
  <c r="R614" i="25"/>
  <c r="R612" i="25"/>
  <c r="R608" i="25"/>
  <c r="AE608" i="25" s="1"/>
  <c r="R606" i="25"/>
  <c r="X63" i="11" a="1"/>
  <c r="X63" i="11" s="1"/>
  <c r="X55" i="11" a="1"/>
  <c r="X55" i="11" s="1"/>
  <c r="X47" i="11" a="1"/>
  <c r="X47" i="11" s="1"/>
  <c r="X60" i="11" a="1"/>
  <c r="X60" i="11" s="1"/>
  <c r="X52" i="11" a="1"/>
  <c r="X52" i="11" s="1"/>
  <c r="X44" i="11" a="1"/>
  <c r="X44" i="11" s="1"/>
  <c r="R625" i="25"/>
  <c r="AE625" i="25" s="1"/>
  <c r="R623" i="25"/>
  <c r="R621" i="25"/>
  <c r="AE621" i="25" s="1"/>
  <c r="R619" i="25"/>
  <c r="R617" i="25"/>
  <c r="AE617" i="25" s="1"/>
  <c r="R615" i="25"/>
  <c r="R613" i="25"/>
  <c r="R611" i="25"/>
  <c r="R609" i="25"/>
  <c r="AE609" i="25" s="1"/>
  <c r="R607" i="25"/>
  <c r="R605" i="25"/>
  <c r="AE605" i="25" s="1"/>
  <c r="AE394" i="25"/>
  <c r="AE386" i="25"/>
  <c r="B18" i="25"/>
  <c r="B10" i="25"/>
  <c r="AE378" i="25"/>
  <c r="AE370" i="25"/>
  <c r="AE388" i="25"/>
  <c r="AE380" i="25"/>
  <c r="AE372" i="25"/>
  <c r="U8" i="5"/>
  <c r="AB255" i="25" s="1"/>
  <c r="T8" i="5"/>
  <c r="AA255" i="25" s="1"/>
  <c r="AA328" i="25"/>
  <c r="AA288" i="25"/>
  <c r="AA351" i="25"/>
  <c r="AA311" i="25"/>
  <c r="AA295" i="25"/>
  <c r="AA271" i="25"/>
  <c r="AA358" i="25"/>
  <c r="AA350" i="25"/>
  <c r="AA342" i="25"/>
  <c r="AA334" i="25"/>
  <c r="AA326" i="25"/>
  <c r="AA318" i="25"/>
  <c r="AA302" i="25"/>
  <c r="AA294" i="25"/>
  <c r="AA286" i="25"/>
  <c r="AA278" i="25"/>
  <c r="AA270" i="25"/>
  <c r="AA262" i="25"/>
  <c r="AA352" i="25"/>
  <c r="AA304" i="25"/>
  <c r="AA359" i="25"/>
  <c r="AA343" i="25"/>
  <c r="AA303" i="25"/>
  <c r="AA287" i="25"/>
  <c r="AA279" i="25"/>
  <c r="AA263" i="25"/>
  <c r="AA357" i="25"/>
  <c r="AA349" i="25"/>
  <c r="AA341" i="25"/>
  <c r="AA333" i="25"/>
  <c r="AA325" i="25"/>
  <c r="AA317" i="25"/>
  <c r="AA309" i="25"/>
  <c r="AA301" i="25"/>
  <c r="AA293" i="25"/>
  <c r="AA285" i="25"/>
  <c r="AA277" i="25"/>
  <c r="AA269" i="25"/>
  <c r="AA261" i="25"/>
  <c r="AA344" i="25"/>
  <c r="AA312" i="25"/>
  <c r="AA327" i="25"/>
  <c r="AA356" i="25"/>
  <c r="AA332" i="25"/>
  <c r="AA300" i="25"/>
  <c r="AA276" i="25"/>
  <c r="AA363" i="25"/>
  <c r="AA355" i="25"/>
  <c r="AA347" i="25"/>
  <c r="AA339" i="25"/>
  <c r="AA331" i="25"/>
  <c r="AA323" i="25"/>
  <c r="AA315" i="25"/>
  <c r="AA307" i="25"/>
  <c r="AA299" i="25"/>
  <c r="AA291" i="25"/>
  <c r="AA283" i="25"/>
  <c r="AA275" i="25"/>
  <c r="AA267" i="25"/>
  <c r="AA259" i="25"/>
  <c r="AA336" i="25"/>
  <c r="AA296" i="25"/>
  <c r="AA264" i="25"/>
  <c r="AA319" i="25"/>
  <c r="AA364" i="25"/>
  <c r="AA340" i="25"/>
  <c r="AA316" i="25"/>
  <c r="AA292" i="25"/>
  <c r="AA268" i="25"/>
  <c r="AA362" i="25"/>
  <c r="AA354" i="25"/>
  <c r="AA346" i="25"/>
  <c r="AA338" i="25"/>
  <c r="AA330" i="25"/>
  <c r="AA322" i="25"/>
  <c r="AA314" i="25"/>
  <c r="AA306" i="25"/>
  <c r="AA298" i="25"/>
  <c r="AA290" i="25"/>
  <c r="AA282" i="25"/>
  <c r="AA274" i="25"/>
  <c r="AA266" i="25"/>
  <c r="AA360" i="25"/>
  <c r="AA320" i="25"/>
  <c r="AA280" i="25"/>
  <c r="AA256" i="25"/>
  <c r="AA335" i="25"/>
  <c r="AA348" i="25"/>
  <c r="AA324" i="25"/>
  <c r="AA308" i="25"/>
  <c r="AA284" i="25"/>
  <c r="AA260" i="25"/>
  <c r="AA361" i="25"/>
  <c r="AA345" i="25"/>
  <c r="AA337" i="25"/>
  <c r="AA329" i="25"/>
  <c r="AA321" i="25"/>
  <c r="AA313" i="25"/>
  <c r="AA305" i="25"/>
  <c r="AA297" i="25"/>
  <c r="AA289" i="25"/>
  <c r="AA281" i="25"/>
  <c r="AA273" i="25"/>
  <c r="AA265" i="25"/>
  <c r="AA257" i="25"/>
  <c r="P255" i="25"/>
  <c r="P353" i="25"/>
  <c r="P310" i="25"/>
  <c r="P258" i="25"/>
  <c r="V68" i="11" a="1"/>
  <c r="V68" i="11" s="1"/>
  <c r="AC628" i="25" s="1"/>
  <c r="P68" i="11" a="1"/>
  <c r="P68" i="11" s="1"/>
  <c r="W628" i="25" s="1"/>
  <c r="Q68" i="11" a="1"/>
  <c r="Q68" i="11" s="1"/>
  <c r="X628" i="25" s="1"/>
  <c r="O68" i="11"/>
  <c r="V628" i="25" s="1"/>
  <c r="Q67" i="11" a="1"/>
  <c r="Q67" i="11" s="1"/>
  <c r="X627" i="25" s="1"/>
  <c r="O67" i="11"/>
  <c r="V627" i="25" s="1"/>
  <c r="P67" i="11" a="1"/>
  <c r="P67" i="11" s="1"/>
  <c r="W627" i="25" s="1"/>
  <c r="R67" i="11" a="1"/>
  <c r="R67" i="11" s="1"/>
  <c r="Y627" i="25" s="1"/>
  <c r="S67" i="11" a="1"/>
  <c r="S67" i="11" s="1"/>
  <c r="Z627" i="25" s="1"/>
  <c r="P627" i="25"/>
  <c r="P631" i="25"/>
  <c r="P635" i="25"/>
  <c r="P639" i="25"/>
  <c r="P628" i="25"/>
  <c r="P632" i="25"/>
  <c r="P636" i="25"/>
  <c r="P640" i="25"/>
  <c r="P637" i="25"/>
  <c r="P641" i="25"/>
  <c r="P629" i="25"/>
  <c r="P633" i="25"/>
  <c r="P630" i="25"/>
  <c r="P634" i="25"/>
  <c r="P638" i="25"/>
  <c r="P642" i="25"/>
  <c r="B638" i="25"/>
  <c r="B630" i="25"/>
  <c r="B622" i="25"/>
  <c r="B614" i="25"/>
  <c r="B606" i="25"/>
  <c r="B598" i="25"/>
  <c r="B590" i="25"/>
  <c r="B582" i="25"/>
  <c r="B574" i="25"/>
  <c r="B566" i="25"/>
  <c r="B558" i="25"/>
  <c r="B550" i="25"/>
  <c r="B542" i="25"/>
  <c r="B534" i="25"/>
  <c r="B526" i="25"/>
  <c r="B518" i="25"/>
  <c r="B510" i="25"/>
  <c r="B502" i="25"/>
  <c r="B494" i="25"/>
  <c r="B391" i="25"/>
  <c r="B383" i="25"/>
  <c r="B375" i="25"/>
  <c r="B367" i="25"/>
  <c r="B359" i="25"/>
  <c r="B351" i="25"/>
  <c r="B343" i="25"/>
  <c r="B335" i="25"/>
  <c r="B327" i="25"/>
  <c r="B319" i="25"/>
  <c r="B311" i="25"/>
  <c r="B303" i="25"/>
  <c r="B295" i="25"/>
  <c r="B287" i="25"/>
  <c r="B279" i="25"/>
  <c r="B271" i="25"/>
  <c r="B263" i="25"/>
  <c r="M241" i="25"/>
  <c r="M245" i="25"/>
  <c r="M250" i="25"/>
  <c r="M254" i="25"/>
  <c r="M240" i="25"/>
  <c r="M244" i="25"/>
  <c r="M249" i="25"/>
  <c r="M253" i="25"/>
  <c r="M239" i="25"/>
  <c r="M243" i="25"/>
  <c r="M248" i="25"/>
  <c r="M252" i="25"/>
  <c r="M247" i="25"/>
  <c r="M242" i="25"/>
  <c r="M246" i="25"/>
  <c r="M251" i="25"/>
  <c r="P238" i="25"/>
  <c r="M149" i="25"/>
  <c r="M154" i="25"/>
  <c r="M137" i="25"/>
  <c r="M150" i="25"/>
  <c r="M155" i="25"/>
  <c r="M170" i="25"/>
  <c r="M174" i="25"/>
  <c r="M173" i="25"/>
  <c r="M151" i="25"/>
  <c r="M156" i="25"/>
  <c r="M167" i="25"/>
  <c r="M171" i="25"/>
  <c r="M175" i="25"/>
  <c r="M152" i="25"/>
  <c r="M147" i="25"/>
  <c r="M169" i="25"/>
  <c r="M148" i="25"/>
  <c r="M153" i="25"/>
  <c r="M157" i="25"/>
  <c r="M168" i="25"/>
  <c r="M172" i="25"/>
  <c r="M176" i="25"/>
  <c r="B642" i="25"/>
  <c r="B634" i="25"/>
  <c r="B626" i="25"/>
  <c r="B618" i="25"/>
  <c r="B610" i="25"/>
  <c r="B602" i="25"/>
  <c r="B594" i="25"/>
  <c r="B586" i="25"/>
  <c r="B578" i="25"/>
  <c r="B570" i="25"/>
  <c r="B562" i="25"/>
  <c r="B554" i="25"/>
  <c r="B546" i="25"/>
  <c r="B538" i="25"/>
  <c r="B530" i="25"/>
  <c r="B522" i="25"/>
  <c r="B514" i="25"/>
  <c r="B506" i="25"/>
  <c r="B498" i="25"/>
  <c r="B395" i="25"/>
  <c r="B387" i="25"/>
  <c r="B379" i="25"/>
  <c r="B371" i="25"/>
  <c r="B363" i="25"/>
  <c r="B355" i="25"/>
  <c r="B347" i="25"/>
  <c r="B339" i="25"/>
  <c r="B331" i="25"/>
  <c r="B323" i="25"/>
  <c r="B315" i="25"/>
  <c r="B307" i="25"/>
  <c r="B299" i="25"/>
  <c r="B291" i="25"/>
  <c r="B283" i="25"/>
  <c r="B275" i="25"/>
  <c r="B267" i="25"/>
  <c r="B259" i="25"/>
  <c r="B251" i="25"/>
  <c r="B243" i="25"/>
  <c r="B235" i="25"/>
  <c r="B227" i="25"/>
  <c r="B219" i="25"/>
  <c r="B211" i="25"/>
  <c r="B203" i="25"/>
  <c r="B195" i="25"/>
  <c r="B187" i="25"/>
  <c r="B179" i="25"/>
  <c r="B171" i="25"/>
  <c r="B154" i="25"/>
  <c r="B136" i="25"/>
  <c r="B128" i="25"/>
  <c r="B120" i="25"/>
  <c r="B36" i="25"/>
  <c r="B28" i="25"/>
  <c r="B20" i="25"/>
  <c r="B12" i="25"/>
  <c r="B4" i="25"/>
  <c r="B639" i="25"/>
  <c r="B631" i="25"/>
  <c r="B623" i="25"/>
  <c r="B615" i="25"/>
  <c r="B607" i="25"/>
  <c r="B599" i="25"/>
  <c r="B591" i="25"/>
  <c r="B583" i="25"/>
  <c r="B575" i="25"/>
  <c r="B567" i="25"/>
  <c r="B559" i="25"/>
  <c r="B551" i="25"/>
  <c r="B543" i="25"/>
  <c r="B535" i="25"/>
  <c r="B527" i="25"/>
  <c r="B519" i="25"/>
  <c r="B511" i="25"/>
  <c r="B503" i="25"/>
  <c r="B495" i="25"/>
  <c r="B392" i="25"/>
  <c r="B384" i="25"/>
  <c r="B376" i="25"/>
  <c r="B368" i="25"/>
  <c r="B360" i="25"/>
  <c r="B352" i="25"/>
  <c r="B344" i="25"/>
  <c r="B336" i="25"/>
  <c r="B328" i="25"/>
  <c r="B320" i="25"/>
  <c r="B312" i="25"/>
  <c r="B304" i="25"/>
  <c r="B296" i="25"/>
  <c r="B288" i="25"/>
  <c r="B280" i="25"/>
  <c r="B272" i="25"/>
  <c r="B264" i="25"/>
  <c r="B256" i="25"/>
  <c r="B248" i="25"/>
  <c r="B240" i="25"/>
  <c r="B232" i="25"/>
  <c r="B224" i="25"/>
  <c r="B216" i="25"/>
  <c r="B208" i="25"/>
  <c r="B200" i="25"/>
  <c r="B192" i="25"/>
  <c r="B184" i="25"/>
  <c r="B176" i="25"/>
  <c r="B168" i="25"/>
  <c r="B151" i="25"/>
  <c r="B133" i="25"/>
  <c r="B125" i="25"/>
  <c r="B117" i="25"/>
  <c r="B33" i="25"/>
  <c r="B255" i="25"/>
  <c r="B247" i="25"/>
  <c r="B239" i="25"/>
  <c r="B231" i="25"/>
  <c r="B223" i="25"/>
  <c r="B215" i="25"/>
  <c r="B207" i="25"/>
  <c r="B199" i="25"/>
  <c r="B191" i="25"/>
  <c r="B183" i="25"/>
  <c r="B175" i="25"/>
  <c r="B167" i="25"/>
  <c r="B150" i="25"/>
  <c r="B132" i="25"/>
  <c r="B124" i="25"/>
  <c r="B116" i="25"/>
  <c r="B32" i="25"/>
  <c r="B24" i="25"/>
  <c r="B16" i="25"/>
  <c r="B8" i="25"/>
  <c r="B25" i="25"/>
  <c r="B17" i="25"/>
  <c r="B9" i="25"/>
  <c r="B636" i="25"/>
  <c r="B628" i="25"/>
  <c r="B620" i="25"/>
  <c r="B612" i="25"/>
  <c r="B604" i="25"/>
  <c r="B596" i="25"/>
  <c r="B588" i="25"/>
  <c r="B580" i="25"/>
  <c r="B572" i="25"/>
  <c r="B564" i="25"/>
  <c r="B556" i="25"/>
  <c r="B548" i="25"/>
  <c r="B540" i="25"/>
  <c r="B532" i="25"/>
  <c r="B524" i="25"/>
  <c r="B516" i="25"/>
  <c r="B508" i="25"/>
  <c r="B500" i="25"/>
  <c r="B492" i="25"/>
  <c r="B389" i="25"/>
  <c r="B381" i="25"/>
  <c r="B373" i="25"/>
  <c r="B365" i="25"/>
  <c r="B357" i="25"/>
  <c r="B349" i="25"/>
  <c r="B341" i="25"/>
  <c r="B333" i="25"/>
  <c r="B325" i="25"/>
  <c r="B317" i="25"/>
  <c r="B309" i="25"/>
  <c r="B301" i="25"/>
  <c r="B293" i="25"/>
  <c r="B285" i="25"/>
  <c r="B277" i="25"/>
  <c r="B269" i="25"/>
  <c r="B261" i="25"/>
  <c r="B253" i="25"/>
  <c r="B245" i="25"/>
  <c r="B237" i="25"/>
  <c r="B229" i="25"/>
  <c r="B221" i="25"/>
  <c r="B213" i="25"/>
  <c r="B205" i="25"/>
  <c r="B197" i="25"/>
  <c r="B189" i="25"/>
  <c r="B181" i="25"/>
  <c r="B173" i="25"/>
  <c r="B156" i="25"/>
  <c r="B148" i="25"/>
  <c r="B130" i="25"/>
  <c r="B122" i="25"/>
  <c r="B114" i="25"/>
  <c r="B30" i="25"/>
  <c r="B22" i="25"/>
  <c r="B14" i="25"/>
  <c r="B6" i="25"/>
  <c r="B637" i="25"/>
  <c r="B629" i="25"/>
  <c r="B621" i="25"/>
  <c r="B613" i="25"/>
  <c r="B605" i="25"/>
  <c r="B597" i="25"/>
  <c r="B589" i="25"/>
  <c r="B581" i="25"/>
  <c r="B573" i="25"/>
  <c r="B565" i="25"/>
  <c r="B557" i="25"/>
  <c r="B549" i="25"/>
  <c r="B541" i="25"/>
  <c r="B533" i="25"/>
  <c r="B525" i="25"/>
  <c r="B517" i="25"/>
  <c r="B509" i="25"/>
  <c r="B501" i="25"/>
  <c r="B493" i="25"/>
  <c r="B390" i="25"/>
  <c r="B382" i="25"/>
  <c r="B374" i="25"/>
  <c r="B366" i="25"/>
  <c r="B358" i="25"/>
  <c r="B350" i="25"/>
  <c r="B342" i="25"/>
  <c r="B334" i="25"/>
  <c r="B326" i="25"/>
  <c r="B318" i="25"/>
  <c r="B310" i="25"/>
  <c r="B302" i="25"/>
  <c r="B294" i="25"/>
  <c r="B286" i="25"/>
  <c r="B278" i="25"/>
  <c r="B270" i="25"/>
  <c r="B262" i="25"/>
  <c r="B254" i="25"/>
  <c r="B246" i="25"/>
  <c r="B238" i="25"/>
  <c r="B230" i="25"/>
  <c r="B222" i="25"/>
  <c r="B214" i="25"/>
  <c r="B206" i="25"/>
  <c r="B198" i="25"/>
  <c r="B190" i="25"/>
  <c r="B182" i="25"/>
  <c r="B174" i="25"/>
  <c r="B157" i="25"/>
  <c r="B149" i="25"/>
  <c r="B131" i="25"/>
  <c r="B123" i="25"/>
  <c r="B115" i="25"/>
  <c r="B31" i="25"/>
  <c r="B23" i="25"/>
  <c r="B15" i="25"/>
  <c r="B7" i="25"/>
  <c r="AE319" i="25"/>
  <c r="AE384" i="25"/>
  <c r="AE368" i="25"/>
  <c r="AE392" i="25"/>
  <c r="AE376" i="25"/>
  <c r="AE364" i="25"/>
  <c r="AE363" i="25"/>
  <c r="AE362" i="25"/>
  <c r="AE361" i="25"/>
  <c r="AE360" i="25"/>
  <c r="AE359" i="25"/>
  <c r="AE358" i="25"/>
  <c r="AE357" i="25"/>
  <c r="AE356" i="25"/>
  <c r="AE355" i="25"/>
  <c r="AE354" i="25"/>
  <c r="AE353" i="25"/>
  <c r="AE352" i="25"/>
  <c r="AE351" i="25"/>
  <c r="AE350" i="25"/>
  <c r="AE349" i="25"/>
  <c r="AE348" i="25"/>
  <c r="AE347" i="25"/>
  <c r="AE346" i="25"/>
  <c r="AE345" i="25"/>
  <c r="AE344" i="25"/>
  <c r="AE343" i="25"/>
  <c r="AE342" i="25"/>
  <c r="AE341" i="25"/>
  <c r="AE340" i="25"/>
  <c r="AE339" i="25"/>
  <c r="AE338" i="25"/>
  <c r="AE337" i="25"/>
  <c r="AE336" i="25"/>
  <c r="AE335" i="25"/>
  <c r="AE334" i="25"/>
  <c r="AE333" i="25"/>
  <c r="AE332" i="25"/>
  <c r="AE331" i="25"/>
  <c r="AE330" i="25"/>
  <c r="AE329" i="25"/>
  <c r="AE328" i="25"/>
  <c r="AE327" i="25"/>
  <c r="AE326" i="25"/>
  <c r="AE325" i="25"/>
  <c r="AE324" i="25"/>
  <c r="AE323" i="25"/>
  <c r="AE322" i="25"/>
  <c r="AE321" i="25"/>
  <c r="AE393" i="25"/>
  <c r="AE385" i="25"/>
  <c r="AE377" i="25"/>
  <c r="AE369" i="25"/>
  <c r="AE391" i="25"/>
  <c r="AE383" i="25"/>
  <c r="AE375" i="25"/>
  <c r="AE367" i="25"/>
  <c r="AE390" i="25"/>
  <c r="AE382" i="25"/>
  <c r="AE374" i="25"/>
  <c r="AE366" i="25"/>
  <c r="AF365" i="25"/>
  <c r="AF387" i="25"/>
  <c r="AF386" i="25"/>
  <c r="AF385" i="25"/>
  <c r="AF384" i="25"/>
  <c r="AF383" i="25"/>
  <c r="AF382" i="25"/>
  <c r="AF381" i="25"/>
  <c r="AF380" i="25"/>
  <c r="AF379" i="25"/>
  <c r="AF378" i="25"/>
  <c r="AF377" i="25"/>
  <c r="AF376" i="25"/>
  <c r="AF375" i="25"/>
  <c r="AF374" i="25"/>
  <c r="AF373" i="25"/>
  <c r="AF372" i="25"/>
  <c r="AF371" i="25"/>
  <c r="AF370" i="25"/>
  <c r="AF369" i="25"/>
  <c r="AF368" i="25"/>
  <c r="AF367" i="25"/>
  <c r="AF366" i="25"/>
  <c r="AF396" i="25"/>
  <c r="AF395" i="25"/>
  <c r="AF394" i="25"/>
  <c r="AE365" i="25"/>
  <c r="AE389" i="25"/>
  <c r="AE381" i="25"/>
  <c r="AE373" i="25"/>
  <c r="AE395" i="25"/>
  <c r="AE387" i="25"/>
  <c r="AE379" i="25"/>
  <c r="AE371" i="25"/>
  <c r="AF393" i="25"/>
  <c r="AE320" i="25"/>
  <c r="AE603" i="25"/>
  <c r="AE601" i="25"/>
  <c r="AE599" i="25"/>
  <c r="AE597" i="25"/>
  <c r="AE595" i="25"/>
  <c r="AE593" i="25"/>
  <c r="AE591" i="25"/>
  <c r="AE589" i="25"/>
  <c r="AE587" i="25"/>
  <c r="AE585" i="25"/>
  <c r="AE623" i="25"/>
  <c r="AE619" i="25"/>
  <c r="AE615" i="25"/>
  <c r="AE613" i="25"/>
  <c r="AE611" i="25"/>
  <c r="AE607" i="25"/>
  <c r="AE167" i="25"/>
  <c r="AE171" i="25"/>
  <c r="AE175" i="25"/>
  <c r="AF392" i="25"/>
  <c r="AF391" i="25"/>
  <c r="AF390" i="25"/>
  <c r="AF389" i="25"/>
  <c r="AF388" i="25"/>
  <c r="AE312" i="25"/>
  <c r="AE310" i="25"/>
  <c r="AE308" i="25"/>
  <c r="AE306" i="25"/>
  <c r="AE304" i="25"/>
  <c r="AE302" i="25"/>
  <c r="AE299" i="25"/>
  <c r="AE295" i="25"/>
  <c r="AE292" i="25"/>
  <c r="AE288" i="25"/>
  <c r="AE286" i="25"/>
  <c r="AE283" i="25"/>
  <c r="AE279" i="25"/>
  <c r="AE275" i="25"/>
  <c r="AE273" i="25"/>
  <c r="AE271" i="25"/>
  <c r="AE269" i="25"/>
  <c r="AE266" i="25"/>
  <c r="AE264" i="25"/>
  <c r="AE261" i="25"/>
  <c r="AE257" i="25"/>
  <c r="AE318" i="25"/>
  <c r="AE316" i="25"/>
  <c r="AE314" i="25"/>
  <c r="AE311" i="25"/>
  <c r="AE300" i="25"/>
  <c r="AE298" i="25"/>
  <c r="AE296" i="25"/>
  <c r="AE294" i="25"/>
  <c r="AE290" i="25"/>
  <c r="AE284" i="25"/>
  <c r="AE281" i="25"/>
  <c r="AE277" i="25"/>
  <c r="AE272" i="25"/>
  <c r="AE270" i="25"/>
  <c r="AE268" i="25"/>
  <c r="AE263" i="25"/>
  <c r="AE259" i="25"/>
  <c r="AE256" i="25"/>
  <c r="AE317" i="25"/>
  <c r="AE315" i="25"/>
  <c r="AE313" i="25"/>
  <c r="AE309" i="25"/>
  <c r="AE307" i="25"/>
  <c r="AE305" i="25"/>
  <c r="AE303" i="25"/>
  <c r="AE301" i="25"/>
  <c r="AE297" i="25"/>
  <c r="AE293" i="25"/>
  <c r="AE291" i="25"/>
  <c r="AE289" i="25"/>
  <c r="AE287" i="25"/>
  <c r="AE285" i="25"/>
  <c r="AE282" i="25"/>
  <c r="AE280" i="25"/>
  <c r="AE278" i="25"/>
  <c r="AE276" i="25"/>
  <c r="AE274" i="25"/>
  <c r="AE267" i="25"/>
  <c r="AE265" i="25"/>
  <c r="AE262" i="25"/>
  <c r="AE260" i="25"/>
  <c r="AE258" i="25"/>
  <c r="AE157" i="25"/>
  <c r="AE638" i="25"/>
  <c r="AF603" i="25"/>
  <c r="AF601" i="25"/>
  <c r="AF599" i="25"/>
  <c r="AF597" i="25"/>
  <c r="AF595" i="25"/>
  <c r="AF593" i="25"/>
  <c r="AF591" i="25"/>
  <c r="AF589" i="25"/>
  <c r="AF587" i="25"/>
  <c r="AF585" i="25"/>
  <c r="AF625" i="25"/>
  <c r="AF623" i="25"/>
  <c r="AF621" i="25"/>
  <c r="AF619" i="25"/>
  <c r="AF617" i="25"/>
  <c r="AF615" i="25"/>
  <c r="AF613" i="25"/>
  <c r="AF611" i="25"/>
  <c r="AF609" i="25"/>
  <c r="AF607" i="25"/>
  <c r="AF605" i="25"/>
  <c r="AE247" i="25"/>
  <c r="AE239" i="25"/>
  <c r="AE634" i="25"/>
  <c r="AE254" i="25"/>
  <c r="AE246" i="25"/>
  <c r="AE238" i="25"/>
  <c r="AE631" i="25"/>
  <c r="AE253" i="25"/>
  <c r="AE245" i="25"/>
  <c r="AE630" i="25"/>
  <c r="AE149" i="25"/>
  <c r="AE154" i="25"/>
  <c r="AE173" i="25"/>
  <c r="AE628" i="25"/>
  <c r="AE632" i="25"/>
  <c r="AE636" i="25"/>
  <c r="AE640" i="25"/>
  <c r="AE252" i="25"/>
  <c r="AE244" i="25"/>
  <c r="AE241" i="25"/>
  <c r="AE240" i="25"/>
  <c r="AE627" i="25"/>
  <c r="AE635" i="25"/>
  <c r="AE169" i="25"/>
  <c r="AE255" i="25"/>
  <c r="AE170" i="25"/>
  <c r="AE174" i="25"/>
  <c r="AF602" i="25"/>
  <c r="AF600" i="25"/>
  <c r="AF598" i="25"/>
  <c r="AF596" i="25"/>
  <c r="AF594" i="25"/>
  <c r="AF592" i="25"/>
  <c r="AF590" i="25"/>
  <c r="AF588" i="25"/>
  <c r="AF586" i="25"/>
  <c r="AF584" i="25"/>
  <c r="AF626" i="25"/>
  <c r="AF624" i="25"/>
  <c r="AF622" i="25"/>
  <c r="AF620" i="25"/>
  <c r="AF618" i="25"/>
  <c r="AF616" i="25"/>
  <c r="AF614" i="25"/>
  <c r="AF612" i="25"/>
  <c r="AF610" i="25"/>
  <c r="AF608" i="25"/>
  <c r="AF606" i="25"/>
  <c r="AE251" i="25"/>
  <c r="AE243" i="25"/>
  <c r="AE249" i="25"/>
  <c r="AE642" i="25"/>
  <c r="AE248" i="25"/>
  <c r="AE639" i="25"/>
  <c r="AF604" i="25"/>
  <c r="AE604" i="25"/>
  <c r="AE629" i="25"/>
  <c r="AE633" i="25"/>
  <c r="AE637" i="25"/>
  <c r="AE641" i="25"/>
  <c r="AE602" i="25"/>
  <c r="AE600" i="25"/>
  <c r="AE598" i="25"/>
  <c r="AE596" i="25"/>
  <c r="AE594" i="25"/>
  <c r="AE592" i="25"/>
  <c r="AE590" i="25"/>
  <c r="AE588" i="25"/>
  <c r="AE586" i="25"/>
  <c r="AE584" i="25"/>
  <c r="AE626" i="25"/>
  <c r="AE622" i="25"/>
  <c r="AE618" i="25"/>
  <c r="AE616" i="25"/>
  <c r="AE614" i="25"/>
  <c r="AE612" i="25"/>
  <c r="AE610" i="25"/>
  <c r="AE606" i="25"/>
  <c r="AE250" i="25"/>
  <c r="AE242" i="25"/>
  <c r="AE137" i="25"/>
  <c r="AE150" i="25"/>
  <c r="AE155" i="25"/>
  <c r="AE151" i="25"/>
  <c r="AE152" i="25"/>
  <c r="AE156" i="25"/>
  <c r="AE148" i="25"/>
  <c r="AE153" i="25"/>
  <c r="U62" i="4"/>
  <c r="AA58" i="25" s="1"/>
  <c r="U63" i="4"/>
  <c r="AA59" i="25" s="1"/>
  <c r="V62" i="4"/>
  <c r="AB58" i="25" s="1"/>
  <c r="V63" i="4"/>
  <c r="AB59" i="25" s="1"/>
  <c r="V32" i="4"/>
  <c r="AB28" i="25" s="1"/>
  <c r="V70" i="4"/>
  <c r="AB66" i="25" s="1"/>
  <c r="U78" i="4"/>
  <c r="AA74" i="25" s="1"/>
  <c r="U70" i="4"/>
  <c r="AA66" i="25" s="1"/>
  <c r="F68" i="18"/>
  <c r="F69" i="18"/>
  <c r="U53" i="4"/>
  <c r="AA49" i="25" s="1"/>
  <c r="V78" i="4"/>
  <c r="AB74" i="25" s="1"/>
  <c r="V82" i="4"/>
  <c r="AB78" i="25" s="1"/>
  <c r="U22" i="4"/>
  <c r="AA18" i="25" s="1"/>
  <c r="U32" i="4"/>
  <c r="AA28" i="25" s="1"/>
  <c r="U82" i="4"/>
  <c r="AA78" i="25" s="1"/>
  <c r="V22" i="4"/>
  <c r="AB18" i="25" s="1"/>
  <c r="V53" i="4"/>
  <c r="AB49" i="25" s="1"/>
  <c r="U38" i="4"/>
  <c r="AA34" i="25" s="1"/>
  <c r="V38" i="4"/>
  <c r="AB34" i="25" s="1"/>
  <c r="U23" i="4"/>
  <c r="AA19" i="25" s="1"/>
  <c r="S19" i="25"/>
  <c r="AF19" i="25" s="1"/>
  <c r="U56" i="4"/>
  <c r="AA52" i="25" s="1"/>
  <c r="S52" i="25"/>
  <c r="AF52" i="25" s="1"/>
  <c r="U58" i="4"/>
  <c r="AA54" i="25" s="1"/>
  <c r="S54" i="25"/>
  <c r="AF54" i="25" s="1"/>
  <c r="V33" i="4"/>
  <c r="AB29" i="25" s="1"/>
  <c r="S29" i="25"/>
  <c r="AF29" i="25" s="1"/>
  <c r="U91" i="4"/>
  <c r="S87" i="25"/>
  <c r="AF87" i="25" s="1"/>
  <c r="V30" i="4"/>
  <c r="AB26" i="25" s="1"/>
  <c r="S26" i="25"/>
  <c r="AF26" i="25" s="1"/>
  <c r="U19" i="4"/>
  <c r="AA15" i="25" s="1"/>
  <c r="S15" i="25"/>
  <c r="AF15" i="25" s="1"/>
  <c r="U48" i="4"/>
  <c r="S44" i="25"/>
  <c r="AF44" i="25" s="1"/>
  <c r="V57" i="4"/>
  <c r="AB53" i="25" s="1"/>
  <c r="S53" i="25"/>
  <c r="AF53" i="25" s="1"/>
  <c r="V89" i="4"/>
  <c r="AB85" i="25" s="1"/>
  <c r="S85" i="25"/>
  <c r="AF85" i="25" s="1"/>
  <c r="V21" i="4"/>
  <c r="AB17" i="25" s="1"/>
  <c r="S17" i="25"/>
  <c r="AF17" i="25" s="1"/>
  <c r="U17" i="4"/>
  <c r="AA13" i="25" s="1"/>
  <c r="S13" i="25"/>
  <c r="AF13" i="25" s="1"/>
  <c r="U66" i="4"/>
  <c r="AA62" i="25" s="1"/>
  <c r="S62" i="25"/>
  <c r="AF62" i="25" s="1"/>
  <c r="U46" i="4"/>
  <c r="AA42" i="25" s="1"/>
  <c r="S42" i="25"/>
  <c r="AF42" i="25" s="1"/>
  <c r="V27" i="4"/>
  <c r="AB23" i="25" s="1"/>
  <c r="S23" i="25"/>
  <c r="AF23" i="25" s="1"/>
  <c r="U39" i="4"/>
  <c r="AA35" i="25" s="1"/>
  <c r="S35" i="25"/>
  <c r="AF35" i="25" s="1"/>
  <c r="U44" i="4"/>
  <c r="AA40" i="25" s="1"/>
  <c r="S40" i="25"/>
  <c r="AF40" i="25" s="1"/>
  <c r="U88" i="4"/>
  <c r="AA84" i="25" s="1"/>
  <c r="S84" i="25"/>
  <c r="AF84" i="25" s="1"/>
  <c r="V40" i="4"/>
  <c r="AB36" i="25" s="1"/>
  <c r="S36" i="25"/>
  <c r="AF36" i="25" s="1"/>
  <c r="V24" i="4"/>
  <c r="AB20" i="25" s="1"/>
  <c r="S20" i="25"/>
  <c r="AF20" i="25" s="1"/>
  <c r="V75" i="4"/>
  <c r="AB71" i="25" s="1"/>
  <c r="S71" i="25"/>
  <c r="AF71" i="25" s="1"/>
  <c r="V91" i="4"/>
  <c r="AB87" i="25" s="1"/>
  <c r="U86" i="4"/>
  <c r="AA82" i="25" s="1"/>
  <c r="S82" i="25"/>
  <c r="AF82" i="25" s="1"/>
  <c r="U52" i="4"/>
  <c r="AA48" i="25" s="1"/>
  <c r="S48" i="25"/>
  <c r="AF48" i="25" s="1"/>
  <c r="V90" i="4"/>
  <c r="AB86" i="25" s="1"/>
  <c r="S86" i="25"/>
  <c r="AF86" i="25" s="1"/>
  <c r="U37" i="4"/>
  <c r="AA33" i="25" s="1"/>
  <c r="S33" i="25"/>
  <c r="AF33" i="25" s="1"/>
  <c r="V26" i="4"/>
  <c r="AB22" i="25" s="1"/>
  <c r="S22" i="25"/>
  <c r="AF22" i="25" s="1"/>
  <c r="U45" i="4"/>
  <c r="AA41" i="25" s="1"/>
  <c r="S41" i="25"/>
  <c r="AF41" i="25" s="1"/>
  <c r="V55" i="4"/>
  <c r="AB51" i="25" s="1"/>
  <c r="S51" i="25"/>
  <c r="AF51" i="25" s="1"/>
  <c r="U18" i="4"/>
  <c r="AA14" i="25" s="1"/>
  <c r="S14" i="25"/>
  <c r="AF14" i="25" s="1"/>
  <c r="V49" i="4"/>
  <c r="AB45" i="25" s="1"/>
  <c r="S45" i="25"/>
  <c r="AF45" i="25" s="1"/>
  <c r="V76" i="4"/>
  <c r="AB72" i="25" s="1"/>
  <c r="S72" i="25"/>
  <c r="AF72" i="25" s="1"/>
  <c r="U72" i="4"/>
  <c r="S68" i="25"/>
  <c r="AF68" i="25" s="1"/>
  <c r="U87" i="4"/>
  <c r="AA83" i="25" s="1"/>
  <c r="S83" i="25"/>
  <c r="AF83" i="25" s="1"/>
  <c r="V42" i="4"/>
  <c r="AB38" i="25" s="1"/>
  <c r="S38" i="25"/>
  <c r="AF38" i="25" s="1"/>
  <c r="V16" i="4"/>
  <c r="AB12" i="25" s="1"/>
  <c r="S12" i="25"/>
  <c r="AF12" i="25" s="1"/>
  <c r="U25" i="4"/>
  <c r="AA21" i="25" s="1"/>
  <c r="S21" i="25"/>
  <c r="AF21" i="25" s="1"/>
  <c r="V54" i="4"/>
  <c r="AB50" i="25" s="1"/>
  <c r="S50" i="25"/>
  <c r="AF50" i="25" s="1"/>
  <c r="V50" i="4"/>
  <c r="AB46" i="25" s="1"/>
  <c r="S46" i="25"/>
  <c r="AF46" i="25" s="1"/>
  <c r="V47" i="4"/>
  <c r="AB43" i="25" s="1"/>
  <c r="S43" i="25"/>
  <c r="AF43" i="25" s="1"/>
  <c r="U20" i="4"/>
  <c r="AA16" i="25" s="1"/>
  <c r="S16" i="25"/>
  <c r="AF16" i="25" s="1"/>
  <c r="V29" i="4"/>
  <c r="AB25" i="25" s="1"/>
  <c r="S25" i="25"/>
  <c r="AF25" i="25" s="1"/>
  <c r="V31" i="4"/>
  <c r="AB27" i="25" s="1"/>
  <c r="S27" i="25"/>
  <c r="AF27" i="25" s="1"/>
  <c r="V74" i="4"/>
  <c r="AB70" i="25" s="1"/>
  <c r="S70" i="25"/>
  <c r="AF70" i="25" s="1"/>
  <c r="U69" i="4"/>
  <c r="S65" i="25"/>
  <c r="AF65" i="25" s="1"/>
  <c r="U89" i="4"/>
  <c r="AA85" i="25" s="1"/>
  <c r="U57" i="4"/>
  <c r="AA53" i="25" s="1"/>
  <c r="U24" i="4"/>
  <c r="V39" i="4"/>
  <c r="AB35" i="25" s="1"/>
  <c r="V86" i="4"/>
  <c r="AB82" i="25" s="1"/>
  <c r="V18" i="4"/>
  <c r="AB14" i="25" s="1"/>
  <c r="V72" i="4"/>
  <c r="AB68" i="25" s="1"/>
  <c r="V19" i="4"/>
  <c r="AB15" i="25" s="1"/>
  <c r="U30" i="4"/>
  <c r="U16" i="4"/>
  <c r="AA12" i="25" s="1"/>
  <c r="V66" i="4"/>
  <c r="AB62" i="25" s="1"/>
  <c r="V87" i="4"/>
  <c r="AB83" i="25" s="1"/>
  <c r="U21" i="4"/>
  <c r="V46" i="4"/>
  <c r="AB42" i="25" s="1"/>
  <c r="U54" i="4"/>
  <c r="V17" i="4"/>
  <c r="AB13" i="25" s="1"/>
  <c r="U40" i="4"/>
  <c r="U42" i="4"/>
  <c r="U27" i="4"/>
  <c r="U50" i="4"/>
  <c r="AA46" i="25" s="1"/>
  <c r="U59" i="4"/>
  <c r="AA55" i="25" s="1"/>
  <c r="V59" i="4"/>
  <c r="AB55" i="25" s="1"/>
  <c r="U65" i="4"/>
  <c r="AA61" i="25" s="1"/>
  <c r="V65" i="4"/>
  <c r="AB61" i="25" s="1"/>
  <c r="U67" i="4"/>
  <c r="V67" i="4"/>
  <c r="AB63" i="25" s="1"/>
  <c r="V23" i="4"/>
  <c r="AB19" i="25" s="1"/>
  <c r="V64" i="4"/>
  <c r="AB60" i="25" s="1"/>
  <c r="U64" i="4"/>
  <c r="AA60" i="25" s="1"/>
  <c r="U73" i="4"/>
  <c r="V73" i="4"/>
  <c r="AB69" i="25" s="1"/>
  <c r="V25" i="4"/>
  <c r="AB21" i="25" s="1"/>
  <c r="V71" i="4"/>
  <c r="AB67" i="25" s="1"/>
  <c r="U71" i="4"/>
  <c r="U60" i="4"/>
  <c r="AA56" i="25" s="1"/>
  <c r="V60" i="4"/>
  <c r="AB56" i="25" s="1"/>
  <c r="V80" i="4"/>
  <c r="AB76" i="25" s="1"/>
  <c r="U80" i="4"/>
  <c r="AA76" i="25" s="1"/>
  <c r="V20" i="4"/>
  <c r="AB16" i="25" s="1"/>
  <c r="U83" i="4"/>
  <c r="AA79" i="25" s="1"/>
  <c r="V83" i="4"/>
  <c r="AB79" i="25" s="1"/>
  <c r="U81" i="4"/>
  <c r="AA77" i="25" s="1"/>
  <c r="V81" i="4"/>
  <c r="AB77" i="25" s="1"/>
  <c r="V88" i="4"/>
  <c r="AB84" i="25" s="1"/>
  <c r="U26" i="4"/>
  <c r="U31" i="4"/>
  <c r="AA27" i="25" s="1"/>
  <c r="U68" i="4"/>
  <c r="V68" i="4"/>
  <c r="AB64" i="25" s="1"/>
  <c r="U61" i="4"/>
  <c r="AA57" i="25" s="1"/>
  <c r="V61" i="4"/>
  <c r="AB57" i="25" s="1"/>
  <c r="V79" i="4"/>
  <c r="AB75" i="25" s="1"/>
  <c r="U79" i="4"/>
  <c r="AA75" i="25" s="1"/>
  <c r="U77" i="4"/>
  <c r="AA73" i="25" s="1"/>
  <c r="V77" i="4"/>
  <c r="AB73" i="25" s="1"/>
  <c r="U84" i="4"/>
  <c r="AA80" i="25" s="1"/>
  <c r="V84" i="4"/>
  <c r="AB80" i="25" s="1"/>
  <c r="V58" i="4"/>
  <c r="AB54" i="25" s="1"/>
  <c r="V56" i="4"/>
  <c r="AB52" i="25" s="1"/>
  <c r="U28" i="4"/>
  <c r="AA24" i="25" s="1"/>
  <c r="V28" i="4"/>
  <c r="AB24" i="25" s="1"/>
  <c r="U34" i="4"/>
  <c r="AA30" i="25" s="1"/>
  <c r="V34" i="4"/>
  <c r="AB30" i="25" s="1"/>
  <c r="U36" i="4"/>
  <c r="AA32" i="25" s="1"/>
  <c r="V36" i="4"/>
  <c r="AB32" i="25" s="1"/>
  <c r="U35" i="4"/>
  <c r="AA31" i="25" s="1"/>
  <c r="V35" i="4"/>
  <c r="AB31" i="25" s="1"/>
  <c r="V52" i="4"/>
  <c r="AB48" i="25" s="1"/>
  <c r="U47" i="4"/>
  <c r="AA43" i="25" s="1"/>
  <c r="V48" i="4"/>
  <c r="AB44" i="25" s="1"/>
  <c r="V44" i="4"/>
  <c r="AB40" i="25" s="1"/>
  <c r="U85" i="4"/>
  <c r="V85" i="4"/>
  <c r="AB81" i="25" s="1"/>
  <c r="U41" i="4"/>
  <c r="AA37" i="25" s="1"/>
  <c r="V41" i="4"/>
  <c r="AB37" i="25" s="1"/>
  <c r="U43" i="4"/>
  <c r="AA39" i="25" s="1"/>
  <c r="V43" i="4"/>
  <c r="AB39" i="25" s="1"/>
  <c r="U51" i="4"/>
  <c r="AA47" i="25" s="1"/>
  <c r="V51" i="4"/>
  <c r="AB47" i="25" s="1"/>
  <c r="O7" i="24" a="1"/>
  <c r="O7" i="24" s="1"/>
  <c r="V157" i="25"/>
  <c r="X157" i="25"/>
  <c r="W157" i="25"/>
  <c r="AC157" i="25"/>
  <c r="L22" i="23"/>
  <c r="L19" i="23"/>
  <c r="T19" i="23" s="1"/>
  <c r="AA148" i="25" s="1"/>
  <c r="L46" i="23"/>
  <c r="L48" i="23"/>
  <c r="T48" i="23" s="1"/>
  <c r="L16" i="24"/>
  <c r="L42" i="23"/>
  <c r="L74" i="11"/>
  <c r="L69" i="11"/>
  <c r="S629" i="25" s="1"/>
  <c r="AF629" i="25" s="1"/>
  <c r="L73" i="11"/>
  <c r="T73" i="11" s="1"/>
  <c r="AA633" i="25" s="1"/>
  <c r="L70" i="11"/>
  <c r="L82" i="11"/>
  <c r="L68" i="11"/>
  <c r="L72" i="11"/>
  <c r="L76" i="11"/>
  <c r="L77" i="11"/>
  <c r="L79" i="11"/>
  <c r="L80" i="11"/>
  <c r="L78" i="11"/>
  <c r="L71" i="11"/>
  <c r="S631" i="25" s="1"/>
  <c r="AF631" i="25" s="1"/>
  <c r="L75" i="11"/>
  <c r="S635" i="25" s="1"/>
  <c r="AF635" i="25" s="1"/>
  <c r="L81" i="11"/>
  <c r="S641" i="25" s="1"/>
  <c r="AF641" i="25" s="1"/>
  <c r="L15" i="24"/>
  <c r="L9" i="24"/>
  <c r="L13" i="24"/>
  <c r="L14" i="24"/>
  <c r="L21" i="24"/>
  <c r="L8" i="24"/>
  <c r="U8" i="24" s="1"/>
  <c r="AB239" i="25" s="1"/>
  <c r="L22" i="24"/>
  <c r="L20" i="24"/>
  <c r="L18" i="24"/>
  <c r="L19" i="24"/>
  <c r="L12" i="24"/>
  <c r="U12" i="24" s="1"/>
  <c r="AB243" i="25" s="1"/>
  <c r="L26" i="23"/>
  <c r="S155" i="25" s="1"/>
  <c r="AF155" i="25" s="1"/>
  <c r="L45" i="23"/>
  <c r="L49" i="23"/>
  <c r="L10" i="24"/>
  <c r="L17" i="24"/>
  <c r="L44" i="23"/>
  <c r="T44" i="23" s="1"/>
  <c r="L21" i="23"/>
  <c r="T21" i="23" s="1"/>
  <c r="AA150" i="25" s="1"/>
  <c r="L23" i="23"/>
  <c r="L41" i="23"/>
  <c r="T41" i="23" s="1"/>
  <c r="L50" i="23"/>
  <c r="L11" i="24"/>
  <c r="U11" i="24" s="1"/>
  <c r="AB242" i="25" s="1"/>
  <c r="L23" i="24"/>
  <c r="S254" i="25" s="1"/>
  <c r="AF254" i="25" s="1"/>
  <c r="L18" i="23"/>
  <c r="S147" i="25" s="1"/>
  <c r="AF147" i="25" s="1"/>
  <c r="L25" i="23"/>
  <c r="S154" i="25" s="1"/>
  <c r="AF154" i="25" s="1"/>
  <c r="L8" i="23"/>
  <c r="S137" i="25" s="1"/>
  <c r="AF137" i="25" s="1"/>
  <c r="L43" i="23"/>
  <c r="T43" i="23" s="1"/>
  <c r="L27" i="23"/>
  <c r="S156" i="25" s="1"/>
  <c r="AF156" i="25" s="1"/>
  <c r="L47" i="23"/>
  <c r="T47" i="23" s="1"/>
  <c r="L20" i="23"/>
  <c r="S149" i="25" s="1"/>
  <c r="AF149" i="25" s="1"/>
  <c r="L24" i="23"/>
  <c r="S153" i="25" s="1"/>
  <c r="AF153" i="25" s="1"/>
  <c r="L31" i="23"/>
  <c r="S157" i="25" s="1"/>
  <c r="AF157" i="25" s="1"/>
  <c r="D24" i="18" l="1"/>
  <c r="E24" i="18"/>
  <c r="C24" i="18"/>
  <c r="I24" i="18"/>
  <c r="X40" i="11"/>
  <c r="G39" i="11" s="1"/>
  <c r="D20" i="26" s="1"/>
  <c r="E20" i="26" s="1"/>
  <c r="C70" i="18"/>
  <c r="C71" i="18" s="1"/>
  <c r="I70" i="18"/>
  <c r="D70" i="18"/>
  <c r="D71" i="18" s="1"/>
  <c r="L67" i="11"/>
  <c r="S627" i="25" s="1"/>
  <c r="AF627" i="25" s="1"/>
  <c r="E70" i="18"/>
  <c r="E71" i="18" s="1"/>
  <c r="Y27" i="4" a="1"/>
  <c r="Y27" i="4" s="1"/>
  <c r="Y21" i="4" a="1"/>
  <c r="Y21" i="4" s="1"/>
  <c r="Y34" i="4" a="1"/>
  <c r="Y34" i="4" s="1"/>
  <c r="Y40" i="4" a="1"/>
  <c r="Y40" i="4" s="1"/>
  <c r="Y49" i="4" a="1"/>
  <c r="Y49" i="4" s="1"/>
  <c r="Y42" i="4" a="1"/>
  <c r="Y42" i="4" s="1"/>
  <c r="Y53" i="4" a="1"/>
  <c r="Y53" i="4" s="1"/>
  <c r="Y70" i="4" a="1"/>
  <c r="Y70" i="4" s="1"/>
  <c r="Y87" i="4" a="1"/>
  <c r="Y87" i="4" s="1"/>
  <c r="Y31" i="4" a="1"/>
  <c r="Y31" i="4" s="1"/>
  <c r="Y57" i="4" a="1"/>
  <c r="Y57" i="4" s="1"/>
  <c r="AA81" i="25"/>
  <c r="AA64" i="25"/>
  <c r="Y68" i="4" a="1"/>
  <c r="Y68" i="4" s="1"/>
  <c r="AA50" i="25"/>
  <c r="AA65" i="25"/>
  <c r="Y69" i="4" a="1"/>
  <c r="Y69" i="4" s="1"/>
  <c r="AA68" i="25"/>
  <c r="Y72" i="4" a="1"/>
  <c r="Y72" i="4" s="1"/>
  <c r="Y37" i="4" a="1"/>
  <c r="Y37" i="4" s="1"/>
  <c r="Y41" i="4" a="1"/>
  <c r="Y41" i="4" s="1"/>
  <c r="Y45" i="4" a="1"/>
  <c r="Y45" i="4" s="1"/>
  <c r="Y22" i="4" a="1"/>
  <c r="Y22" i="4" s="1"/>
  <c r="Y38" i="4" a="1"/>
  <c r="Y38" i="4" s="1"/>
  <c r="Y81" i="4" a="1"/>
  <c r="Y81" i="4" s="1"/>
  <c r="Y77" i="4" a="1"/>
  <c r="Y77" i="4" s="1"/>
  <c r="Y51" i="4" a="1"/>
  <c r="Y51" i="4" s="1"/>
  <c r="Y20" i="4" a="1"/>
  <c r="Y20" i="4" s="1"/>
  <c r="AA69" i="25"/>
  <c r="AA44" i="25"/>
  <c r="Y48" i="4" a="1"/>
  <c r="Y48" i="4" s="1"/>
  <c r="Y61" i="4" a="1"/>
  <c r="Y61" i="4" s="1"/>
  <c r="Y65" i="4" a="1"/>
  <c r="Y65" i="4" s="1"/>
  <c r="Y58" i="4" a="1"/>
  <c r="Y58" i="4" s="1"/>
  <c r="Y25" i="4" a="1"/>
  <c r="Y25" i="4" s="1"/>
  <c r="Y44" i="4" a="1"/>
  <c r="Y44" i="4" s="1"/>
  <c r="Y23" i="4" a="1"/>
  <c r="Y23" i="4" s="1"/>
  <c r="AA87" i="25"/>
  <c r="AA22" i="25"/>
  <c r="Y26" i="4" a="1"/>
  <c r="Y26" i="4" s="1"/>
  <c r="AA17" i="25"/>
  <c r="Y78" i="4" a="1"/>
  <c r="Y78" i="4" s="1"/>
  <c r="Y90" i="4" a="1"/>
  <c r="Y90" i="4" s="1"/>
  <c r="Y33" i="4" a="1"/>
  <c r="Y33" i="4" s="1"/>
  <c r="Y29" i="4" a="1"/>
  <c r="Y29" i="4" s="1"/>
  <c r="Y56" i="4" a="1"/>
  <c r="Y56" i="4" s="1"/>
  <c r="Y55" i="4" a="1"/>
  <c r="Y55" i="4" s="1"/>
  <c r="Y66" i="4" a="1"/>
  <c r="Y66" i="4" s="1"/>
  <c r="Y86" i="4" a="1"/>
  <c r="Y86" i="4" s="1"/>
  <c r="Y74" i="4" a="1"/>
  <c r="Y74" i="4" s="1"/>
  <c r="Y84" i="4" a="1"/>
  <c r="Y84" i="4" s="1"/>
  <c r="Y17" i="4" a="1"/>
  <c r="Y17" i="4" s="1"/>
  <c r="Y43" i="4" a="1"/>
  <c r="Y43" i="4" s="1"/>
  <c r="Y80" i="4" a="1"/>
  <c r="Y80" i="4" s="1"/>
  <c r="Y76" i="4" a="1"/>
  <c r="Y76" i="4" s="1"/>
  <c r="Y79" i="4" a="1"/>
  <c r="Y79" i="4" s="1"/>
  <c r="Y28" i="4" a="1"/>
  <c r="Y28" i="4" s="1"/>
  <c r="Y39" i="4" a="1"/>
  <c r="Y39" i="4" s="1"/>
  <c r="Y89" i="4" a="1"/>
  <c r="Y89" i="4" s="1"/>
  <c r="Y91" i="4" a="1"/>
  <c r="Y91" i="4" s="1"/>
  <c r="Y18" i="4" a="1"/>
  <c r="Y18" i="4" s="1"/>
  <c r="Y36" i="4" a="1"/>
  <c r="Y36" i="4" s="1"/>
  <c r="AA23" i="25"/>
  <c r="AA20" i="25"/>
  <c r="Y24" i="4" a="1"/>
  <c r="Y24" i="4" s="1"/>
  <c r="Y83" i="4" a="1"/>
  <c r="Y83" i="4" s="1"/>
  <c r="Y64" i="4" a="1"/>
  <c r="Y64" i="4" s="1"/>
  <c r="Y75" i="4" a="1"/>
  <c r="Y75" i="4" s="1"/>
  <c r="Y32" i="4" a="1"/>
  <c r="Y32" i="4" s="1"/>
  <c r="Y35" i="4" a="1"/>
  <c r="Y35" i="4" s="1"/>
  <c r="Y47" i="4" a="1"/>
  <c r="Y47" i="4" s="1"/>
  <c r="AA67" i="25"/>
  <c r="AA38" i="25"/>
  <c r="Y73" i="4" a="1"/>
  <c r="Y73" i="4" s="1"/>
  <c r="Y60" i="4" a="1"/>
  <c r="Y60" i="4" s="1"/>
  <c r="Y63" i="4" a="1"/>
  <c r="Y63" i="4" s="1"/>
  <c r="Y82" i="4" a="1"/>
  <c r="Y82" i="4" s="1"/>
  <c r="Y88" i="4" a="1"/>
  <c r="Y88" i="4" s="1"/>
  <c r="Y50" i="4" a="1"/>
  <c r="Y50" i="4" s="1"/>
  <c r="AA63" i="25"/>
  <c r="Y67" i="4" a="1"/>
  <c r="Y67" i="4" s="1"/>
  <c r="AA36" i="25"/>
  <c r="AA26" i="25"/>
  <c r="Y30" i="4" a="1"/>
  <c r="Y30" i="4" s="1"/>
  <c r="Y71" i="4" a="1"/>
  <c r="Y71" i="4" s="1"/>
  <c r="Y59" i="4" a="1"/>
  <c r="Y59" i="4" s="1"/>
  <c r="Y19" i="4" a="1"/>
  <c r="Y19" i="4" s="1"/>
  <c r="Y46" i="4" a="1"/>
  <c r="Y46" i="4" s="1"/>
  <c r="Y62" i="4" a="1"/>
  <c r="Y62" i="4" s="1"/>
  <c r="Y85" i="4" a="1"/>
  <c r="Y85" i="4" s="1"/>
  <c r="Y54" i="4" a="1"/>
  <c r="Y54" i="4" s="1"/>
  <c r="Y52" i="4" a="1"/>
  <c r="Y52" i="4" s="1"/>
  <c r="Y16" i="4" a="1"/>
  <c r="Y16" i="4" s="1"/>
  <c r="U42" i="23"/>
  <c r="AB168" i="25" s="1"/>
  <c r="T42" i="23"/>
  <c r="U50" i="23"/>
  <c r="AB176" i="25" s="1"/>
  <c r="T50" i="23"/>
  <c r="AA176" i="25" s="1"/>
  <c r="U45" i="23"/>
  <c r="AB171" i="25" s="1"/>
  <c r="T45" i="23"/>
  <c r="AA171" i="25" s="1"/>
  <c r="U49" i="23"/>
  <c r="AB175" i="25" s="1"/>
  <c r="T49" i="23"/>
  <c r="AA175" i="25" s="1"/>
  <c r="U46" i="23"/>
  <c r="AB172" i="25" s="1"/>
  <c r="T46" i="23"/>
  <c r="S173" i="25"/>
  <c r="AF173" i="25" s="1"/>
  <c r="U47" i="23"/>
  <c r="X47" i="23" s="1" a="1"/>
  <c r="X47" i="23" s="1"/>
  <c r="S167" i="25"/>
  <c r="AF167" i="25" s="1"/>
  <c r="U41" i="23"/>
  <c r="S174" i="25"/>
  <c r="AF174" i="25" s="1"/>
  <c r="U48" i="23"/>
  <c r="S169" i="25"/>
  <c r="AF169" i="25" s="1"/>
  <c r="U43" i="23"/>
  <c r="AB169" i="25" s="1"/>
  <c r="U44" i="23"/>
  <c r="AB170" i="25" s="1"/>
  <c r="V238" i="25"/>
  <c r="C18" i="18"/>
  <c r="L7" i="24"/>
  <c r="AA167" i="25"/>
  <c r="AA174" i="25"/>
  <c r="T21" i="24"/>
  <c r="AA252" i="25" s="1"/>
  <c r="S252" i="25"/>
  <c r="AF252" i="25" s="1"/>
  <c r="U79" i="11"/>
  <c r="AB639" i="25" s="1"/>
  <c r="S639" i="25"/>
  <c r="AF639" i="25" s="1"/>
  <c r="U21" i="24"/>
  <c r="AB252" i="25" s="1"/>
  <c r="T14" i="24"/>
  <c r="AA245" i="25" s="1"/>
  <c r="S245" i="25"/>
  <c r="AF245" i="25" s="1"/>
  <c r="U77" i="11"/>
  <c r="AB637" i="25" s="1"/>
  <c r="S637" i="25"/>
  <c r="AF637" i="25" s="1"/>
  <c r="U74" i="11"/>
  <c r="AB634" i="25" s="1"/>
  <c r="S634" i="25"/>
  <c r="AF634" i="25" s="1"/>
  <c r="S168" i="25"/>
  <c r="AF168" i="25" s="1"/>
  <c r="U19" i="24"/>
  <c r="AB250" i="25" s="1"/>
  <c r="S250" i="25"/>
  <c r="AF250" i="25" s="1"/>
  <c r="T69" i="11"/>
  <c r="U72" i="11"/>
  <c r="AB632" i="25" s="1"/>
  <c r="S632" i="25"/>
  <c r="AF632" i="25" s="1"/>
  <c r="U17" i="24"/>
  <c r="AB248" i="25" s="1"/>
  <c r="S248" i="25"/>
  <c r="AF248" i="25" s="1"/>
  <c r="T18" i="24"/>
  <c r="AA249" i="25" s="1"/>
  <c r="S249" i="25"/>
  <c r="AF249" i="25" s="1"/>
  <c r="U15" i="24"/>
  <c r="AB246" i="25" s="1"/>
  <c r="S246" i="25"/>
  <c r="AF246" i="25" s="1"/>
  <c r="U69" i="11"/>
  <c r="AB629" i="25" s="1"/>
  <c r="U68" i="11"/>
  <c r="AB628" i="25" s="1"/>
  <c r="S628" i="25"/>
  <c r="AF628" i="25" s="1"/>
  <c r="T12" i="24"/>
  <c r="AA243" i="25" s="1"/>
  <c r="S243" i="25"/>
  <c r="AF243" i="25" s="1"/>
  <c r="T13" i="24"/>
  <c r="AA244" i="25" s="1"/>
  <c r="S244" i="25"/>
  <c r="AF244" i="25" s="1"/>
  <c r="U76" i="11"/>
  <c r="AB636" i="25" s="1"/>
  <c r="S636" i="25"/>
  <c r="AF636" i="25" s="1"/>
  <c r="AA170" i="25"/>
  <c r="S170" i="25"/>
  <c r="AF170" i="25" s="1"/>
  <c r="T9" i="24"/>
  <c r="AA240" i="25" s="1"/>
  <c r="S240" i="25"/>
  <c r="AF240" i="25" s="1"/>
  <c r="U16" i="24"/>
  <c r="AB247" i="25" s="1"/>
  <c r="S247" i="25"/>
  <c r="AF247" i="25" s="1"/>
  <c r="T11" i="24"/>
  <c r="AA242" i="25" s="1"/>
  <c r="S242" i="25"/>
  <c r="AF242" i="25" s="1"/>
  <c r="T10" i="24"/>
  <c r="AA241" i="25" s="1"/>
  <c r="S241" i="25"/>
  <c r="AF241" i="25" s="1"/>
  <c r="U20" i="24"/>
  <c r="AB251" i="25" s="1"/>
  <c r="S251" i="25"/>
  <c r="AF251" i="25" s="1"/>
  <c r="T74" i="11"/>
  <c r="AA634" i="25" s="1"/>
  <c r="U82" i="11"/>
  <c r="AB642" i="25" s="1"/>
  <c r="S642" i="25"/>
  <c r="AF642" i="25" s="1"/>
  <c r="S172" i="25"/>
  <c r="AF172" i="25" s="1"/>
  <c r="U78" i="11"/>
  <c r="AB638" i="25" s="1"/>
  <c r="S638" i="25"/>
  <c r="AF638" i="25" s="1"/>
  <c r="U70" i="11"/>
  <c r="AB630" i="25" s="1"/>
  <c r="S630" i="25"/>
  <c r="AF630" i="25" s="1"/>
  <c r="U14" i="24"/>
  <c r="AB245" i="25" s="1"/>
  <c r="S176" i="25"/>
  <c r="AF176" i="25" s="1"/>
  <c r="S175" i="25"/>
  <c r="AF175" i="25" s="1"/>
  <c r="U22" i="24"/>
  <c r="AB253" i="25" s="1"/>
  <c r="S253" i="25"/>
  <c r="AF253" i="25" s="1"/>
  <c r="S171" i="25"/>
  <c r="AF171" i="25" s="1"/>
  <c r="T8" i="24"/>
  <c r="AA239" i="25" s="1"/>
  <c r="S239" i="25"/>
  <c r="AF239" i="25" s="1"/>
  <c r="U80" i="11"/>
  <c r="AB640" i="25" s="1"/>
  <c r="S640" i="25"/>
  <c r="AF640" i="25" s="1"/>
  <c r="U73" i="11"/>
  <c r="AB633" i="25" s="1"/>
  <c r="S633" i="25"/>
  <c r="AF633" i="25" s="1"/>
  <c r="U21" i="23"/>
  <c r="AB150" i="25" s="1"/>
  <c r="S150" i="25"/>
  <c r="AF150" i="25" s="1"/>
  <c r="T26" i="23"/>
  <c r="AA155" i="25" s="1"/>
  <c r="U26" i="23"/>
  <c r="AB155" i="25" s="1"/>
  <c r="U19" i="23"/>
  <c r="AB148" i="25" s="1"/>
  <c r="S148" i="25"/>
  <c r="AF148" i="25" s="1"/>
  <c r="U22" i="23"/>
  <c r="AB151" i="25" s="1"/>
  <c r="S151" i="25"/>
  <c r="AF151" i="25" s="1"/>
  <c r="S152" i="25"/>
  <c r="AF152" i="25" s="1"/>
  <c r="T23" i="23"/>
  <c r="AA152" i="25" s="1"/>
  <c r="U23" i="23"/>
  <c r="AB152" i="25" s="1"/>
  <c r="T22" i="23"/>
  <c r="AA151" i="25" s="1"/>
  <c r="T16" i="24"/>
  <c r="AA247" i="25" s="1"/>
  <c r="U9" i="24"/>
  <c r="AB240" i="25" s="1"/>
  <c r="U13" i="24"/>
  <c r="AB244" i="25" s="1"/>
  <c r="T19" i="24"/>
  <c r="AA250" i="25" s="1"/>
  <c r="T72" i="11"/>
  <c r="AA632" i="25" s="1"/>
  <c r="T70" i="11"/>
  <c r="AA630" i="25" s="1"/>
  <c r="T82" i="11"/>
  <c r="AA642" i="25" s="1"/>
  <c r="T68" i="11"/>
  <c r="AA628" i="25" s="1"/>
  <c r="T78" i="11"/>
  <c r="T79" i="11"/>
  <c r="AA639" i="25" s="1"/>
  <c r="T80" i="11"/>
  <c r="AA640" i="25" s="1"/>
  <c r="T76" i="11"/>
  <c r="T77" i="11"/>
  <c r="AA637" i="25" s="1"/>
  <c r="T15" i="24"/>
  <c r="AA246" i="25" s="1"/>
  <c r="U81" i="11"/>
  <c r="AB641" i="25" s="1"/>
  <c r="T81" i="11"/>
  <c r="AA641" i="25" s="1"/>
  <c r="U75" i="11"/>
  <c r="AB635" i="25" s="1"/>
  <c r="T75" i="11"/>
  <c r="U71" i="11"/>
  <c r="AB631" i="25" s="1"/>
  <c r="T71" i="11"/>
  <c r="AA631" i="25" s="1"/>
  <c r="T17" i="24"/>
  <c r="AA248" i="25" s="1"/>
  <c r="T22" i="24"/>
  <c r="U10" i="24"/>
  <c r="AB241" i="25" s="1"/>
  <c r="U18" i="24"/>
  <c r="AB249" i="25" s="1"/>
  <c r="T20" i="24"/>
  <c r="U23" i="24"/>
  <c r="AB254" i="25" s="1"/>
  <c r="T23" i="24"/>
  <c r="AA173" i="25"/>
  <c r="U24" i="23"/>
  <c r="AB153" i="25" s="1"/>
  <c r="T24" i="23"/>
  <c r="AA153" i="25" s="1"/>
  <c r="T27" i="23"/>
  <c r="AA156" i="25" s="1"/>
  <c r="U27" i="23"/>
  <c r="AB156" i="25" s="1"/>
  <c r="U31" i="23"/>
  <c r="T31" i="23"/>
  <c r="U20" i="23"/>
  <c r="AB149" i="25" s="1"/>
  <c r="T20" i="23"/>
  <c r="AA149" i="25" s="1"/>
  <c r="U25" i="23"/>
  <c r="AB154" i="25" s="1"/>
  <c r="T25" i="23"/>
  <c r="AA154" i="25" s="1"/>
  <c r="AA169" i="25"/>
  <c r="T8" i="23"/>
  <c r="U8" i="23"/>
  <c r="AB137" i="25" s="1"/>
  <c r="U18" i="23"/>
  <c r="AB147" i="25" s="1"/>
  <c r="T18" i="23"/>
  <c r="K17" i="11" a="1"/>
  <c r="K17" i="11" s="1"/>
  <c r="K18" i="11" a="1"/>
  <c r="K18" i="11" s="1"/>
  <c r="K19" i="11" a="1"/>
  <c r="K19" i="11" s="1"/>
  <c r="K20" i="11" a="1"/>
  <c r="K20" i="11" s="1"/>
  <c r="K21" i="11" a="1"/>
  <c r="K21" i="11" s="1"/>
  <c r="K22" i="11" a="1"/>
  <c r="K22" i="11" s="1"/>
  <c r="K23" i="11" a="1"/>
  <c r="K23" i="11" s="1"/>
  <c r="K24" i="11" a="1"/>
  <c r="K24" i="11" s="1"/>
  <c r="K25" i="11" a="1"/>
  <c r="K25" i="11" s="1"/>
  <c r="K26" i="11" a="1"/>
  <c r="K26" i="11" s="1"/>
  <c r="K27" i="11" a="1"/>
  <c r="K27" i="11" s="1"/>
  <c r="K28" i="11" a="1"/>
  <c r="K28" i="11" s="1"/>
  <c r="K29" i="11" a="1"/>
  <c r="K29" i="11" s="1"/>
  <c r="K30" i="11" a="1"/>
  <c r="K30" i="11" s="1"/>
  <c r="K31" i="11" a="1"/>
  <c r="K31" i="11" s="1"/>
  <c r="K32" i="11" a="1"/>
  <c r="K32" i="11" s="1"/>
  <c r="K33" i="11" a="1"/>
  <c r="K33" i="11" s="1"/>
  <c r="K34" i="11" a="1"/>
  <c r="K34" i="11" s="1"/>
  <c r="K35" i="11" a="1"/>
  <c r="K35" i="11" s="1"/>
  <c r="K36" i="11" a="1"/>
  <c r="K36" i="11" s="1"/>
  <c r="K16" i="11" a="1"/>
  <c r="K16" i="11" s="1"/>
  <c r="R583" i="25" s="1"/>
  <c r="AE583" i="25" s="1"/>
  <c r="I8" i="14"/>
  <c r="W124" i="4" a="1"/>
  <c r="W124" i="4" s="1"/>
  <c r="AC117" i="25" s="1"/>
  <c r="W125" i="4" a="1"/>
  <c r="W125" i="4" s="1"/>
  <c r="AC118" i="25" s="1"/>
  <c r="W126" i="4" a="1"/>
  <c r="W126" i="4" s="1"/>
  <c r="AC119" i="25" s="1"/>
  <c r="I13" i="12" a="1"/>
  <c r="I13" i="12" s="1"/>
  <c r="F70" i="18" l="1"/>
  <c r="F71" i="18" s="1"/>
  <c r="U67" i="11"/>
  <c r="H70" i="18" s="1"/>
  <c r="T67" i="11"/>
  <c r="X46" i="23" a="1"/>
  <c r="X46" i="23" s="1"/>
  <c r="X42" i="23" a="1"/>
  <c r="X42" i="23" s="1"/>
  <c r="AA172" i="25"/>
  <c r="X74" i="11" a="1"/>
  <c r="X74" i="11" s="1"/>
  <c r="AA638" i="25"/>
  <c r="X78" i="11" a="1"/>
  <c r="X78" i="11" s="1"/>
  <c r="X77" i="11" a="1"/>
  <c r="X77" i="11" s="1"/>
  <c r="P497" i="25"/>
  <c r="X82" i="11" a="1"/>
  <c r="X82" i="11" s="1"/>
  <c r="X71" i="11" a="1"/>
  <c r="X71" i="11" s="1"/>
  <c r="X68" i="11" a="1"/>
  <c r="X68" i="11" s="1"/>
  <c r="AA629" i="25"/>
  <c r="X69" i="11" a="1"/>
  <c r="X69" i="11" s="1"/>
  <c r="AA636" i="25"/>
  <c r="X76" i="11" a="1"/>
  <c r="X76" i="11" s="1"/>
  <c r="X81" i="11" a="1"/>
  <c r="X81" i="11" s="1"/>
  <c r="X72" i="11" a="1"/>
  <c r="X72" i="11" s="1"/>
  <c r="AA168" i="25"/>
  <c r="X43" i="23" a="1"/>
  <c r="X43" i="23" s="1"/>
  <c r="X73" i="11" a="1"/>
  <c r="X73" i="11" s="1"/>
  <c r="X79" i="11" a="1"/>
  <c r="X79" i="11" s="1"/>
  <c r="AA635" i="25"/>
  <c r="X75" i="11" a="1"/>
  <c r="X75" i="11" s="1"/>
  <c r="X18" i="24" a="1"/>
  <c r="X18" i="24" s="1"/>
  <c r="X70" i="11" a="1"/>
  <c r="X70" i="11" s="1"/>
  <c r="X80" i="11" a="1"/>
  <c r="X80" i="11" s="1"/>
  <c r="X26" i="23" a="1"/>
  <c r="X26" i="23" s="1"/>
  <c r="X21" i="23" a="1"/>
  <c r="X21" i="23" s="1"/>
  <c r="X13" i="24" a="1"/>
  <c r="X13" i="24" s="1"/>
  <c r="X15" i="24" a="1"/>
  <c r="X15" i="24" s="1"/>
  <c r="AA251" i="25"/>
  <c r="X20" i="24" a="1"/>
  <c r="X20" i="24" s="1"/>
  <c r="AA253" i="25"/>
  <c r="X22" i="24" a="1"/>
  <c r="X22" i="24" s="1"/>
  <c r="X8" i="24" a="1"/>
  <c r="X8" i="24" s="1"/>
  <c r="X17" i="24" a="1"/>
  <c r="X17" i="24" s="1"/>
  <c r="X12" i="24" a="1"/>
  <c r="X12" i="24" s="1"/>
  <c r="X9" i="24" a="1"/>
  <c r="X9" i="24" s="1"/>
  <c r="X11" i="24" a="1"/>
  <c r="X11" i="24" s="1"/>
  <c r="X19" i="24" a="1"/>
  <c r="X19" i="24" s="1"/>
  <c r="AA254" i="25"/>
  <c r="X23" i="24" a="1"/>
  <c r="X23" i="24" s="1"/>
  <c r="X16" i="24" a="1"/>
  <c r="X16" i="24" s="1"/>
  <c r="X14" i="24" a="1"/>
  <c r="X14" i="24" s="1"/>
  <c r="X10" i="24" a="1"/>
  <c r="X10" i="24" s="1"/>
  <c r="X21" i="24" a="1"/>
  <c r="X21" i="24" s="1"/>
  <c r="X19" i="23" a="1"/>
  <c r="X19" i="23" s="1"/>
  <c r="X22" i="23" a="1"/>
  <c r="X22" i="23" s="1"/>
  <c r="X50" i="23" a="1"/>
  <c r="X50" i="23" s="1"/>
  <c r="AA147" i="25"/>
  <c r="X18" i="23" a="1"/>
  <c r="X18" i="23" s="1"/>
  <c r="AB173" i="25"/>
  <c r="X44" i="23" a="1"/>
  <c r="X44" i="23" s="1"/>
  <c r="X31" i="23" a="1"/>
  <c r="X31" i="23" s="1"/>
  <c r="X27" i="23" a="1"/>
  <c r="X27" i="23" s="1"/>
  <c r="AA137" i="25"/>
  <c r="X8" i="23" a="1"/>
  <c r="X8" i="23" s="1"/>
  <c r="AB167" i="25"/>
  <c r="X41" i="23" a="1"/>
  <c r="X41" i="23" s="1"/>
  <c r="X25" i="23" a="1"/>
  <c r="X25" i="23" s="1"/>
  <c r="X24" i="23" a="1"/>
  <c r="X24" i="23" s="1"/>
  <c r="X23" i="23" a="1"/>
  <c r="X23" i="23" s="1"/>
  <c r="X49" i="23" a="1"/>
  <c r="X49" i="23" s="1"/>
  <c r="AB174" i="25"/>
  <c r="X48" i="23" a="1"/>
  <c r="X48" i="23" s="1"/>
  <c r="X20" i="23" a="1"/>
  <c r="X20" i="23" s="1"/>
  <c r="X45" i="23" a="1"/>
  <c r="X45" i="23" s="1"/>
  <c r="S238" i="25"/>
  <c r="AF238" i="25" s="1"/>
  <c r="F18" i="18"/>
  <c r="U7" i="24"/>
  <c r="T7" i="24"/>
  <c r="H24" i="18"/>
  <c r="AB157" i="25"/>
  <c r="G24" i="18"/>
  <c r="AA157" i="25"/>
  <c r="V148" i="17"/>
  <c r="R151" i="17"/>
  <c r="V151" i="17" s="1"/>
  <c r="R152" i="17"/>
  <c r="W9" i="5"/>
  <c r="W10" i="5"/>
  <c r="W11" i="5"/>
  <c r="W12" i="5"/>
  <c r="W13" i="5"/>
  <c r="W14" i="5"/>
  <c r="W15" i="5"/>
  <c r="W16" i="5"/>
  <c r="W17" i="5"/>
  <c r="W18" i="5"/>
  <c r="W19" i="5"/>
  <c r="W20" i="5"/>
  <c r="W21" i="5"/>
  <c r="W22" i="5"/>
  <c r="W23" i="5"/>
  <c r="W24" i="5"/>
  <c r="W25" i="5"/>
  <c r="W26" i="5"/>
  <c r="W27" i="5"/>
  <c r="W28" i="5"/>
  <c r="W29" i="5"/>
  <c r="W30" i="5"/>
  <c r="W31" i="5"/>
  <c r="W32" i="5"/>
  <c r="W33" i="5"/>
  <c r="W34" i="5"/>
  <c r="W35" i="5"/>
  <c r="W36" i="5"/>
  <c r="W37" i="5"/>
  <c r="W38" i="5"/>
  <c r="W39" i="5"/>
  <c r="W40" i="5"/>
  <c r="W41" i="5"/>
  <c r="W42" i="5"/>
  <c r="W43" i="5"/>
  <c r="W44" i="5"/>
  <c r="W45" i="5"/>
  <c r="W46" i="5"/>
  <c r="W47" i="5"/>
  <c r="W48" i="5"/>
  <c r="W49" i="5"/>
  <c r="W50" i="5"/>
  <c r="W51" i="5"/>
  <c r="W52" i="5"/>
  <c r="W53" i="5"/>
  <c r="W54" i="5"/>
  <c r="W55" i="5"/>
  <c r="W56" i="5"/>
  <c r="W57" i="5"/>
  <c r="W58" i="5"/>
  <c r="W59" i="5"/>
  <c r="W60" i="5"/>
  <c r="W61" i="5"/>
  <c r="W62" i="5"/>
  <c r="W63" i="5"/>
  <c r="W64" i="5"/>
  <c r="W65" i="5"/>
  <c r="W66" i="5"/>
  <c r="W67" i="5"/>
  <c r="W68" i="5"/>
  <c r="W69" i="5"/>
  <c r="W70" i="5"/>
  <c r="W71" i="5"/>
  <c r="W72" i="5"/>
  <c r="W73" i="5"/>
  <c r="W74" i="5"/>
  <c r="W75" i="5"/>
  <c r="W76" i="5"/>
  <c r="W77" i="5"/>
  <c r="W78" i="5"/>
  <c r="W79" i="5"/>
  <c r="W80" i="5"/>
  <c r="W81" i="5"/>
  <c r="W82" i="5"/>
  <c r="W83" i="5"/>
  <c r="W84" i="5"/>
  <c r="W85" i="5"/>
  <c r="W86" i="5"/>
  <c r="W87" i="5"/>
  <c r="W88" i="5"/>
  <c r="W89" i="5"/>
  <c r="W90" i="5"/>
  <c r="W91" i="5"/>
  <c r="W92" i="5"/>
  <c r="W93" i="5"/>
  <c r="W94" i="5"/>
  <c r="W95" i="5"/>
  <c r="W96" i="5"/>
  <c r="W97" i="5"/>
  <c r="W98" i="5"/>
  <c r="W99" i="5"/>
  <c r="W100" i="5"/>
  <c r="W101" i="5"/>
  <c r="W102" i="5"/>
  <c r="W103" i="5"/>
  <c r="W104" i="5"/>
  <c r="W105" i="5"/>
  <c r="W106" i="5"/>
  <c r="W107" i="5"/>
  <c r="W108" i="5"/>
  <c r="W109" i="5"/>
  <c r="W110" i="5"/>
  <c r="W111" i="5"/>
  <c r="W112" i="5"/>
  <c r="W113" i="5"/>
  <c r="W114" i="5"/>
  <c r="W115" i="5"/>
  <c r="W116" i="5"/>
  <c r="W117" i="5"/>
  <c r="W8" i="5"/>
  <c r="AA627" i="25" l="1"/>
  <c r="G70" i="18"/>
  <c r="AB627" i="25"/>
  <c r="X67" i="11" a="1"/>
  <c r="X67" i="11" s="1"/>
  <c r="X66" i="11" s="1"/>
  <c r="G65" i="11" s="1"/>
  <c r="D21" i="26" s="1"/>
  <c r="E21" i="26" s="1"/>
  <c r="X7" i="24" a="1"/>
  <c r="X7" i="24" s="1"/>
  <c r="X6" i="24" s="1"/>
  <c r="H5" i="24" s="1"/>
  <c r="D13" i="26" s="1"/>
  <c r="E13" i="26" s="1"/>
  <c r="X30" i="23"/>
  <c r="H29" i="23" s="1"/>
  <c r="D8" i="26" s="1"/>
  <c r="E8" i="26" s="1"/>
  <c r="X7" i="23"/>
  <c r="H6" i="23" s="1"/>
  <c r="D7" i="26" s="1"/>
  <c r="E7" i="26" s="1"/>
  <c r="AA238" i="25"/>
  <c r="G18" i="18"/>
  <c r="AB238" i="25"/>
  <c r="H18" i="18"/>
  <c r="X364" i="25"/>
  <c r="W132" i="4" a="1"/>
  <c r="W132" i="4" s="1"/>
  <c r="AC122" i="25" s="1"/>
  <c r="W133" i="4" a="1"/>
  <c r="W133" i="4" s="1"/>
  <c r="AC123" i="25" s="1"/>
  <c r="W134" i="4" a="1"/>
  <c r="W134" i="4" s="1"/>
  <c r="AC124" i="25" s="1"/>
  <c r="W135" i="4" a="1"/>
  <c r="W135" i="4" s="1"/>
  <c r="AC125" i="25" s="1"/>
  <c r="W136" i="4" a="1"/>
  <c r="W136" i="4" s="1"/>
  <c r="AC126" i="25" s="1"/>
  <c r="W137" i="4" a="1"/>
  <c r="W137" i="4" s="1"/>
  <c r="AC127" i="25" s="1"/>
  <c r="W138" i="4" a="1"/>
  <c r="W138" i="4" s="1"/>
  <c r="AC128" i="25" s="1"/>
  <c r="W139" i="4" a="1"/>
  <c r="W139" i="4" s="1"/>
  <c r="AC129" i="25" s="1"/>
  <c r="W140" i="4" a="1"/>
  <c r="W140" i="4" s="1"/>
  <c r="AC130" i="25" s="1"/>
  <c r="W141" i="4" a="1"/>
  <c r="W141" i="4" s="1"/>
  <c r="AC131" i="25" s="1"/>
  <c r="W142" i="4" a="1"/>
  <c r="W142" i="4" s="1"/>
  <c r="AC132" i="25" s="1"/>
  <c r="W143" i="4" a="1"/>
  <c r="W143" i="4" s="1"/>
  <c r="AC133" i="25" s="1"/>
  <c r="W144" i="4" a="1"/>
  <c r="W144" i="4" s="1"/>
  <c r="AC134" i="25" s="1"/>
  <c r="W145" i="4" a="1"/>
  <c r="W145" i="4" s="1"/>
  <c r="AC135" i="25" s="1"/>
  <c r="W146" i="4" a="1"/>
  <c r="W146" i="4" s="1"/>
  <c r="AC136" i="25" s="1"/>
  <c r="K9" i="19" a="1"/>
  <c r="K9" i="19" s="1"/>
  <c r="R178" i="25" s="1"/>
  <c r="AE178" i="25" s="1"/>
  <c r="L19" i="11" l="1"/>
  <c r="L20" i="11"/>
  <c r="L21" i="11"/>
  <c r="L22" i="11"/>
  <c r="L23" i="11"/>
  <c r="L24" i="11"/>
  <c r="L25" i="11"/>
  <c r="L26" i="11"/>
  <c r="L27" i="11"/>
  <c r="L28" i="11"/>
  <c r="L29" i="11"/>
  <c r="L30" i="11"/>
  <c r="L31" i="11"/>
  <c r="L32" i="11"/>
  <c r="L33" i="11"/>
  <c r="L34" i="11"/>
  <c r="L35" i="11"/>
  <c r="L36" i="11"/>
  <c r="L16" i="11"/>
  <c r="S583" i="25" s="1"/>
  <c r="AF583" i="25" s="1"/>
  <c r="L17" i="11"/>
  <c r="L18" i="11"/>
  <c r="W117" i="4" a="1"/>
  <c r="W117" i="4" s="1"/>
  <c r="AC113" i="25" s="1"/>
  <c r="W116" i="4" a="1"/>
  <c r="W116" i="4" s="1"/>
  <c r="AC112" i="25" s="1"/>
  <c r="W115" i="4" a="1"/>
  <c r="W115" i="4" s="1"/>
  <c r="AC111" i="25" s="1"/>
  <c r="W114" i="4" a="1"/>
  <c r="W114" i="4" s="1"/>
  <c r="AC110" i="25" s="1"/>
  <c r="W113" i="4" a="1"/>
  <c r="W113" i="4" s="1"/>
  <c r="AC109" i="25" s="1"/>
  <c r="W112" i="4" a="1"/>
  <c r="W112" i="4" s="1"/>
  <c r="AC108" i="25" s="1"/>
  <c r="W111" i="4" a="1"/>
  <c r="W111" i="4" s="1"/>
  <c r="AC107" i="25" s="1"/>
  <c r="W110" i="4" a="1"/>
  <c r="W110" i="4" s="1"/>
  <c r="AC106" i="25" s="1"/>
  <c r="W109" i="4" a="1"/>
  <c r="W109" i="4" s="1"/>
  <c r="AC105" i="25" s="1"/>
  <c r="W108" i="4" a="1"/>
  <c r="W108" i="4" s="1"/>
  <c r="AC104" i="25" s="1"/>
  <c r="W107" i="4" a="1"/>
  <c r="W107" i="4" s="1"/>
  <c r="AC103" i="25" s="1"/>
  <c r="W106" i="4" a="1"/>
  <c r="W106" i="4" s="1"/>
  <c r="AC102" i="25" s="1"/>
  <c r="W105" i="4" a="1"/>
  <c r="W105" i="4" s="1"/>
  <c r="AC101" i="25" s="1"/>
  <c r="W104" i="4" a="1"/>
  <c r="W104" i="4" s="1"/>
  <c r="AC100" i="25" s="1"/>
  <c r="W103" i="4" a="1"/>
  <c r="W103" i="4" s="1"/>
  <c r="AC99" i="25" s="1"/>
  <c r="W102" i="4" a="1"/>
  <c r="W102" i="4" s="1"/>
  <c r="AC98" i="25" s="1"/>
  <c r="W101" i="4" a="1"/>
  <c r="W101" i="4" s="1"/>
  <c r="AC97" i="25" s="1"/>
  <c r="W100" i="4" a="1"/>
  <c r="W100" i="4" s="1"/>
  <c r="AC96" i="25" s="1"/>
  <c r="W99" i="4" a="1"/>
  <c r="W99" i="4" s="1"/>
  <c r="AC95" i="25" s="1"/>
  <c r="W98" i="4" a="1"/>
  <c r="W98" i="4" s="1"/>
  <c r="AC94" i="25" s="1"/>
  <c r="W97" i="4" a="1"/>
  <c r="W97" i="4" s="1"/>
  <c r="AC93" i="25" s="1"/>
  <c r="W96" i="4" a="1"/>
  <c r="W96" i="4" s="1"/>
  <c r="AC92" i="25" s="1"/>
  <c r="W95" i="4" a="1"/>
  <c r="W95" i="4" s="1"/>
  <c r="AC91" i="25" s="1"/>
  <c r="W94" i="4" a="1"/>
  <c r="W94" i="4" s="1"/>
  <c r="AC90" i="25" s="1"/>
  <c r="W93" i="4" a="1"/>
  <c r="W93" i="4" s="1"/>
  <c r="AC89" i="25" s="1"/>
  <c r="W92" i="4" a="1"/>
  <c r="W92" i="4" s="1"/>
  <c r="AC88" i="25" s="1"/>
  <c r="W15" i="4" a="1"/>
  <c r="W15" i="4" s="1"/>
  <c r="AC11" i="25" s="1"/>
  <c r="U11" i="17"/>
  <c r="T132" i="4" a="1"/>
  <c r="T132" i="4" s="1"/>
  <c r="Z122" i="25" s="1"/>
  <c r="T133" i="4" a="1"/>
  <c r="T133" i="4" s="1"/>
  <c r="Z123" i="25" s="1"/>
  <c r="T134" i="4" a="1"/>
  <c r="T134" i="4" s="1"/>
  <c r="Z124" i="25" s="1"/>
  <c r="T135" i="4" a="1"/>
  <c r="T135" i="4" s="1"/>
  <c r="Z125" i="25" s="1"/>
  <c r="T136" i="4" a="1"/>
  <c r="T136" i="4" s="1"/>
  <c r="Z126" i="25" s="1"/>
  <c r="T137" i="4" a="1"/>
  <c r="T137" i="4" s="1"/>
  <c r="Z127" i="25" s="1"/>
  <c r="T138" i="4" a="1"/>
  <c r="T138" i="4" s="1"/>
  <c r="Z128" i="25" s="1"/>
  <c r="T139" i="4" a="1"/>
  <c r="T139" i="4" s="1"/>
  <c r="Z129" i="25" s="1"/>
  <c r="T140" i="4" a="1"/>
  <c r="T140" i="4" s="1"/>
  <c r="Z130" i="25" s="1"/>
  <c r="T141" i="4" a="1"/>
  <c r="T141" i="4" s="1"/>
  <c r="Z131" i="25" s="1"/>
  <c r="T142" i="4" a="1"/>
  <c r="T142" i="4" s="1"/>
  <c r="Z132" i="25" s="1"/>
  <c r="T143" i="4" a="1"/>
  <c r="T143" i="4" s="1"/>
  <c r="Z133" i="25" s="1"/>
  <c r="T144" i="4" a="1"/>
  <c r="T144" i="4" s="1"/>
  <c r="Z134" i="25" s="1"/>
  <c r="T145" i="4" a="1"/>
  <c r="T145" i="4" s="1"/>
  <c r="Z135" i="25" s="1"/>
  <c r="T146" i="4" a="1"/>
  <c r="T146" i="4" s="1"/>
  <c r="Z136" i="25" s="1"/>
  <c r="S132" i="4" a="1"/>
  <c r="S132" i="4" s="1"/>
  <c r="Y122" i="25" s="1"/>
  <c r="S133" i="4" a="1"/>
  <c r="S133" i="4" s="1"/>
  <c r="Y123" i="25" s="1"/>
  <c r="S134" i="4" a="1"/>
  <c r="S134" i="4" s="1"/>
  <c r="Y124" i="25" s="1"/>
  <c r="S135" i="4" a="1"/>
  <c r="S135" i="4" s="1"/>
  <c r="Y125" i="25" s="1"/>
  <c r="S136" i="4" a="1"/>
  <c r="S136" i="4" s="1"/>
  <c r="Y126" i="25" s="1"/>
  <c r="S137" i="4" a="1"/>
  <c r="S137" i="4" s="1"/>
  <c r="Y127" i="25" s="1"/>
  <c r="S138" i="4" a="1"/>
  <c r="S138" i="4" s="1"/>
  <c r="Y128" i="25" s="1"/>
  <c r="S139" i="4" a="1"/>
  <c r="S139" i="4" s="1"/>
  <c r="Y129" i="25" s="1"/>
  <c r="S140" i="4" a="1"/>
  <c r="S140" i="4" s="1"/>
  <c r="Y130" i="25" s="1"/>
  <c r="S141" i="4" a="1"/>
  <c r="S141" i="4" s="1"/>
  <c r="Y131" i="25" s="1"/>
  <c r="S142" i="4" a="1"/>
  <c r="S142" i="4" s="1"/>
  <c r="Y132" i="25" s="1"/>
  <c r="S143" i="4" a="1"/>
  <c r="S143" i="4" s="1"/>
  <c r="Y133" i="25" s="1"/>
  <c r="S144" i="4" a="1"/>
  <c r="S144" i="4" s="1"/>
  <c r="Y134" i="25" s="1"/>
  <c r="S145" i="4" a="1"/>
  <c r="S145" i="4" s="1"/>
  <c r="Y135" i="25" s="1"/>
  <c r="S146" i="4" a="1"/>
  <c r="S146" i="4" s="1"/>
  <c r="Y136" i="25" s="1"/>
  <c r="R132" i="4" a="1"/>
  <c r="R132" i="4" s="1"/>
  <c r="X122" i="25" s="1"/>
  <c r="R133" i="4" a="1"/>
  <c r="R133" i="4" s="1"/>
  <c r="X123" i="25" s="1"/>
  <c r="R134" i="4" a="1"/>
  <c r="R134" i="4" s="1"/>
  <c r="X124" i="25" s="1"/>
  <c r="R135" i="4" a="1"/>
  <c r="R135" i="4" s="1"/>
  <c r="X125" i="25" s="1"/>
  <c r="R136" i="4" a="1"/>
  <c r="R136" i="4" s="1"/>
  <c r="X126" i="25" s="1"/>
  <c r="R137" i="4" a="1"/>
  <c r="R137" i="4" s="1"/>
  <c r="X127" i="25" s="1"/>
  <c r="R138" i="4" a="1"/>
  <c r="R138" i="4" s="1"/>
  <c r="X128" i="25" s="1"/>
  <c r="R139" i="4" a="1"/>
  <c r="R139" i="4" s="1"/>
  <c r="X129" i="25" s="1"/>
  <c r="R140" i="4" a="1"/>
  <c r="R140" i="4" s="1"/>
  <c r="X130" i="25" s="1"/>
  <c r="R141" i="4" a="1"/>
  <c r="R141" i="4" s="1"/>
  <c r="X131" i="25" s="1"/>
  <c r="R142" i="4" a="1"/>
  <c r="R142" i="4" s="1"/>
  <c r="X132" i="25" s="1"/>
  <c r="R143" i="4" a="1"/>
  <c r="R143" i="4" s="1"/>
  <c r="X133" i="25" s="1"/>
  <c r="R144" i="4" a="1"/>
  <c r="R144" i="4" s="1"/>
  <c r="X134" i="25" s="1"/>
  <c r="R145" i="4" a="1"/>
  <c r="R145" i="4" s="1"/>
  <c r="X135" i="25" s="1"/>
  <c r="R146" i="4" a="1"/>
  <c r="R146" i="4" s="1"/>
  <c r="X136" i="25" s="1"/>
  <c r="Q132" i="4" a="1"/>
  <c r="Q132" i="4" s="1"/>
  <c r="W122" i="25" s="1"/>
  <c r="Q133" i="4" a="1"/>
  <c r="Q133" i="4" s="1"/>
  <c r="W123" i="25" s="1"/>
  <c r="Q134" i="4" a="1"/>
  <c r="Q134" i="4" s="1"/>
  <c r="W124" i="25" s="1"/>
  <c r="Q135" i="4" a="1"/>
  <c r="Q135" i="4" s="1"/>
  <c r="W125" i="25" s="1"/>
  <c r="Q136" i="4" a="1"/>
  <c r="Q136" i="4" s="1"/>
  <c r="W126" i="25" s="1"/>
  <c r="Q137" i="4" a="1"/>
  <c r="Q137" i="4" s="1"/>
  <c r="W127" i="25" s="1"/>
  <c r="Q138" i="4" a="1"/>
  <c r="Q138" i="4" s="1"/>
  <c r="W128" i="25" s="1"/>
  <c r="Q139" i="4" a="1"/>
  <c r="Q139" i="4" s="1"/>
  <c r="W129" i="25" s="1"/>
  <c r="Q140" i="4" a="1"/>
  <c r="Q140" i="4" s="1"/>
  <c r="W130" i="25" s="1"/>
  <c r="Q141" i="4" a="1"/>
  <c r="Q141" i="4" s="1"/>
  <c r="W131" i="25" s="1"/>
  <c r="Q142" i="4" a="1"/>
  <c r="Q142" i="4" s="1"/>
  <c r="W132" i="25" s="1"/>
  <c r="Q143" i="4" a="1"/>
  <c r="Q143" i="4" s="1"/>
  <c r="W133" i="25" s="1"/>
  <c r="Q144" i="4" a="1"/>
  <c r="Q144" i="4" s="1"/>
  <c r="W134" i="25" s="1"/>
  <c r="Q145" i="4" a="1"/>
  <c r="Q145" i="4" s="1"/>
  <c r="W135" i="25" s="1"/>
  <c r="Q146" i="4" a="1"/>
  <c r="Q146" i="4" s="1"/>
  <c r="W136" i="25" s="1"/>
  <c r="P132" i="4" a="1"/>
  <c r="P132" i="4" s="1"/>
  <c r="V122" i="25" s="1"/>
  <c r="P133" i="4" a="1"/>
  <c r="P133" i="4" s="1"/>
  <c r="V123" i="25" s="1"/>
  <c r="P134" i="4" a="1"/>
  <c r="P134" i="4" s="1"/>
  <c r="V124" i="25" s="1"/>
  <c r="P135" i="4" a="1"/>
  <c r="P135" i="4" s="1"/>
  <c r="V125" i="25" s="1"/>
  <c r="P136" i="4" a="1"/>
  <c r="P136" i="4" s="1"/>
  <c r="V126" i="25" s="1"/>
  <c r="P137" i="4" a="1"/>
  <c r="P137" i="4" s="1"/>
  <c r="V127" i="25" s="1"/>
  <c r="P138" i="4" a="1"/>
  <c r="P138" i="4" s="1"/>
  <c r="V128" i="25" s="1"/>
  <c r="P139" i="4" a="1"/>
  <c r="P139" i="4" s="1"/>
  <c r="V129" i="25" s="1"/>
  <c r="P140" i="4" a="1"/>
  <c r="P140" i="4" s="1"/>
  <c r="V130" i="25" s="1"/>
  <c r="P141" i="4" a="1"/>
  <c r="P141" i="4" s="1"/>
  <c r="V131" i="25" s="1"/>
  <c r="P142" i="4" a="1"/>
  <c r="P142" i="4" s="1"/>
  <c r="V132" i="25" s="1"/>
  <c r="P143" i="4" a="1"/>
  <c r="P143" i="4" s="1"/>
  <c r="V133" i="25" s="1"/>
  <c r="P144" i="4" a="1"/>
  <c r="P144" i="4" s="1"/>
  <c r="V134" i="25" s="1"/>
  <c r="P145" i="4" a="1"/>
  <c r="P145" i="4" s="1"/>
  <c r="V135" i="25" s="1"/>
  <c r="P146" i="4" a="1"/>
  <c r="P146" i="4" s="1"/>
  <c r="V136" i="25" s="1"/>
  <c r="L131" i="4" a="1"/>
  <c r="L131" i="4" s="1"/>
  <c r="R121" i="25" s="1"/>
  <c r="AE121" i="25" s="1"/>
  <c r="L132" i="4" a="1"/>
  <c r="L132" i="4" s="1"/>
  <c r="R122" i="25" s="1"/>
  <c r="AE122" i="25" s="1"/>
  <c r="L133" i="4" a="1"/>
  <c r="L133" i="4" s="1"/>
  <c r="R123" i="25" s="1"/>
  <c r="AE123" i="25" s="1"/>
  <c r="L134" i="4" a="1"/>
  <c r="L134" i="4" s="1"/>
  <c r="R124" i="25" s="1"/>
  <c r="AE124" i="25" s="1"/>
  <c r="L135" i="4" a="1"/>
  <c r="L135" i="4" s="1"/>
  <c r="R125" i="25" s="1"/>
  <c r="AE125" i="25" s="1"/>
  <c r="L136" i="4" a="1"/>
  <c r="L136" i="4" s="1"/>
  <c r="R126" i="25" s="1"/>
  <c r="AE126" i="25" s="1"/>
  <c r="L137" i="4" a="1"/>
  <c r="L137" i="4" s="1"/>
  <c r="R127" i="25" s="1"/>
  <c r="AE127" i="25" s="1"/>
  <c r="L138" i="4" a="1"/>
  <c r="L138" i="4" s="1"/>
  <c r="R128" i="25" s="1"/>
  <c r="AE128" i="25" s="1"/>
  <c r="L139" i="4" a="1"/>
  <c r="L139" i="4" s="1"/>
  <c r="R129" i="25" s="1"/>
  <c r="AE129" i="25" s="1"/>
  <c r="L140" i="4" a="1"/>
  <c r="L140" i="4" s="1"/>
  <c r="R130" i="25" s="1"/>
  <c r="AE130" i="25" s="1"/>
  <c r="L141" i="4" a="1"/>
  <c r="L141" i="4" s="1"/>
  <c r="R131" i="25" s="1"/>
  <c r="AE131" i="25" s="1"/>
  <c r="L142" i="4" a="1"/>
  <c r="L142" i="4" s="1"/>
  <c r="R132" i="25" s="1"/>
  <c r="AE132" i="25" s="1"/>
  <c r="L143" i="4" a="1"/>
  <c r="L143" i="4" s="1"/>
  <c r="R133" i="25" s="1"/>
  <c r="AE133" i="25" s="1"/>
  <c r="L144" i="4" a="1"/>
  <c r="L144" i="4" s="1"/>
  <c r="R134" i="25" s="1"/>
  <c r="AE134" i="25" s="1"/>
  <c r="L145" i="4" a="1"/>
  <c r="L145" i="4" s="1"/>
  <c r="R135" i="25" s="1"/>
  <c r="AE135" i="25" s="1"/>
  <c r="L146" i="4" a="1"/>
  <c r="L146" i="4" s="1"/>
  <c r="R136" i="25" s="1"/>
  <c r="AE136" i="25" s="1"/>
  <c r="K130" i="4"/>
  <c r="K131" i="4"/>
  <c r="Q121" i="25" s="1"/>
  <c r="K132" i="4"/>
  <c r="Q122" i="25" s="1"/>
  <c r="K133" i="4"/>
  <c r="Q123" i="25" s="1"/>
  <c r="K134" i="4"/>
  <c r="Q124" i="25" s="1"/>
  <c r="K135" i="4"/>
  <c r="Q125" i="25" s="1"/>
  <c r="K136" i="4"/>
  <c r="Q126" i="25" s="1"/>
  <c r="K137" i="4"/>
  <c r="Q127" i="25" s="1"/>
  <c r="K138" i="4"/>
  <c r="Q128" i="25" s="1"/>
  <c r="K139" i="4"/>
  <c r="Q129" i="25" s="1"/>
  <c r="K140" i="4"/>
  <c r="Q130" i="25" s="1"/>
  <c r="K141" i="4"/>
  <c r="Q131" i="25" s="1"/>
  <c r="K142" i="4"/>
  <c r="Q132" i="25" s="1"/>
  <c r="K143" i="4"/>
  <c r="Q133" i="25" s="1"/>
  <c r="K144" i="4"/>
  <c r="Q134" i="25" s="1"/>
  <c r="K145" i="4"/>
  <c r="Q135" i="25" s="1"/>
  <c r="K146" i="4"/>
  <c r="Q136" i="25" s="1"/>
  <c r="J132" i="4" a="1"/>
  <c r="J132" i="4" s="1"/>
  <c r="P122" i="25" s="1"/>
  <c r="J133" i="4" a="1"/>
  <c r="J133" i="4" s="1"/>
  <c r="P123" i="25" s="1"/>
  <c r="J134" i="4" a="1"/>
  <c r="J134" i="4" s="1"/>
  <c r="P124" i="25" s="1"/>
  <c r="J135" i="4" a="1"/>
  <c r="J135" i="4" s="1"/>
  <c r="P125" i="25" s="1"/>
  <c r="J136" i="4" a="1"/>
  <c r="J136" i="4" s="1"/>
  <c r="P126" i="25" s="1"/>
  <c r="J137" i="4" a="1"/>
  <c r="J137" i="4" s="1"/>
  <c r="P127" i="25" s="1"/>
  <c r="J138" i="4" a="1"/>
  <c r="J138" i="4" s="1"/>
  <c r="P128" i="25" s="1"/>
  <c r="J139" i="4" a="1"/>
  <c r="J139" i="4" s="1"/>
  <c r="P129" i="25" s="1"/>
  <c r="J140" i="4" a="1"/>
  <c r="J140" i="4" s="1"/>
  <c r="P130" i="25" s="1"/>
  <c r="J141" i="4" a="1"/>
  <c r="J141" i="4" s="1"/>
  <c r="P131" i="25" s="1"/>
  <c r="J142" i="4" a="1"/>
  <c r="J142" i="4" s="1"/>
  <c r="P132" i="25" s="1"/>
  <c r="J143" i="4" a="1"/>
  <c r="J143" i="4" s="1"/>
  <c r="P133" i="25" s="1"/>
  <c r="J144" i="4" a="1"/>
  <c r="J144" i="4" s="1"/>
  <c r="P134" i="25" s="1"/>
  <c r="J145" i="4" a="1"/>
  <c r="J145" i="4" s="1"/>
  <c r="P135" i="25" s="1"/>
  <c r="J146" i="4" a="1"/>
  <c r="J146" i="4" s="1"/>
  <c r="P136" i="25" s="1"/>
  <c r="F53" i="12"/>
  <c r="M533" i="25" s="1"/>
  <c r="G56" i="18"/>
  <c r="H56" i="18"/>
  <c r="G57" i="18"/>
  <c r="H57" i="18"/>
  <c r="C155" i="5"/>
  <c r="J396" i="25" s="1"/>
  <c r="B155" i="5"/>
  <c r="C154" i="5"/>
  <c r="J395" i="25" s="1"/>
  <c r="B154" i="5"/>
  <c r="C153" i="5"/>
  <c r="J394" i="25" s="1"/>
  <c r="B153" i="5"/>
  <c r="C152" i="5"/>
  <c r="J393" i="25" s="1"/>
  <c r="B152" i="5"/>
  <c r="C151" i="5"/>
  <c r="J392" i="25" s="1"/>
  <c r="B151" i="5"/>
  <c r="C150" i="5"/>
  <c r="J391" i="25" s="1"/>
  <c r="B150" i="5"/>
  <c r="C149" i="5"/>
  <c r="J390" i="25" s="1"/>
  <c r="B149" i="5"/>
  <c r="C148" i="5"/>
  <c r="J389" i="25" s="1"/>
  <c r="B148" i="5"/>
  <c r="C147" i="5"/>
  <c r="J388" i="25" s="1"/>
  <c r="B147" i="5"/>
  <c r="C146" i="5"/>
  <c r="J387" i="25" s="1"/>
  <c r="B146" i="5"/>
  <c r="C145" i="5"/>
  <c r="J386" i="25" s="1"/>
  <c r="B145" i="5"/>
  <c r="C144" i="5"/>
  <c r="J385" i="25" s="1"/>
  <c r="B144" i="5"/>
  <c r="C143" i="5"/>
  <c r="J384" i="25" s="1"/>
  <c r="B143" i="5"/>
  <c r="C142" i="5"/>
  <c r="J383" i="25" s="1"/>
  <c r="B142" i="5"/>
  <c r="C141" i="5"/>
  <c r="J382" i="25" s="1"/>
  <c r="B141" i="5"/>
  <c r="C140" i="5"/>
  <c r="J381" i="25" s="1"/>
  <c r="B140" i="5"/>
  <c r="C139" i="5"/>
  <c r="J380" i="25" s="1"/>
  <c r="B139" i="5"/>
  <c r="C138" i="5"/>
  <c r="J379" i="25" s="1"/>
  <c r="B138" i="5"/>
  <c r="C137" i="5"/>
  <c r="J378" i="25" s="1"/>
  <c r="B137" i="5"/>
  <c r="C136" i="5"/>
  <c r="J377" i="25" s="1"/>
  <c r="B136" i="5"/>
  <c r="C135" i="5"/>
  <c r="J376" i="25" s="1"/>
  <c r="B135" i="5"/>
  <c r="C134" i="5"/>
  <c r="J375" i="25" s="1"/>
  <c r="B134" i="5"/>
  <c r="C133" i="5"/>
  <c r="J374" i="25" s="1"/>
  <c r="B133" i="5"/>
  <c r="C132" i="5"/>
  <c r="J373" i="25" s="1"/>
  <c r="B132" i="5"/>
  <c r="C131" i="5"/>
  <c r="J372" i="25" s="1"/>
  <c r="B131" i="5"/>
  <c r="C130" i="5"/>
  <c r="J371" i="25" s="1"/>
  <c r="B130" i="5"/>
  <c r="C129" i="5"/>
  <c r="J370" i="25" s="1"/>
  <c r="B129" i="5"/>
  <c r="C128" i="5"/>
  <c r="J369" i="25" s="1"/>
  <c r="B128" i="5"/>
  <c r="C127" i="5"/>
  <c r="J368" i="25" s="1"/>
  <c r="B127" i="5"/>
  <c r="C126" i="5"/>
  <c r="J367" i="25" s="1"/>
  <c r="B126" i="5"/>
  <c r="C125" i="5"/>
  <c r="J366" i="25" s="1"/>
  <c r="B125" i="5"/>
  <c r="C124" i="5"/>
  <c r="J365" i="25" s="1"/>
  <c r="X255" i="25"/>
  <c r="L98" i="5"/>
  <c r="X345" i="25"/>
  <c r="L99" i="5"/>
  <c r="X346" i="25"/>
  <c r="L100" i="5"/>
  <c r="X347" i="25"/>
  <c r="L101" i="5"/>
  <c r="X348" i="25"/>
  <c r="L102" i="5"/>
  <c r="X349" i="25"/>
  <c r="R202" i="17"/>
  <c r="R203" i="17"/>
  <c r="R187" i="17"/>
  <c r="R186" i="17"/>
  <c r="R189" i="17"/>
  <c r="R188" i="17"/>
  <c r="R171" i="17"/>
  <c r="R161" i="17"/>
  <c r="R157" i="17"/>
  <c r="S347" i="25" l="1"/>
  <c r="AF347" i="25" s="1"/>
  <c r="Z100" i="5" a="1"/>
  <c r="Z100" i="5" s="1"/>
  <c r="S348" i="25"/>
  <c r="AF348" i="25" s="1"/>
  <c r="Z101" i="5" a="1"/>
  <c r="Z101" i="5" s="1"/>
  <c r="S346" i="25"/>
  <c r="AF346" i="25" s="1"/>
  <c r="Z99" i="5" a="1"/>
  <c r="Z99" i="5" s="1"/>
  <c r="S349" i="25"/>
  <c r="AF349" i="25" s="1"/>
  <c r="Z102" i="5" a="1"/>
  <c r="Z102" i="5" s="1"/>
  <c r="S345" i="25"/>
  <c r="AF345" i="25" s="1"/>
  <c r="Z98" i="5" a="1"/>
  <c r="Z98" i="5" s="1"/>
  <c r="I375" i="25"/>
  <c r="Z134" i="5" a="1"/>
  <c r="Z134" i="5" s="1"/>
  <c r="I366" i="25"/>
  <c r="Z125" i="5" a="1"/>
  <c r="Z125" i="5" s="1"/>
  <c r="I370" i="25"/>
  <c r="Z129" i="5" a="1"/>
  <c r="Z129" i="5" s="1"/>
  <c r="I374" i="25"/>
  <c r="Z133" i="5" a="1"/>
  <c r="Z133" i="5" s="1"/>
  <c r="I378" i="25"/>
  <c r="Z137" i="5" a="1"/>
  <c r="Z137" i="5" s="1"/>
  <c r="I382" i="25"/>
  <c r="Z141" i="5" a="1"/>
  <c r="Z141" i="5" s="1"/>
  <c r="I386" i="25"/>
  <c r="Z145" i="5" a="1"/>
  <c r="Z145" i="5" s="1"/>
  <c r="I390" i="25"/>
  <c r="Z149" i="5" a="1"/>
  <c r="Z149" i="5" s="1"/>
  <c r="I394" i="25"/>
  <c r="Z153" i="5" a="1"/>
  <c r="Z153" i="5" s="1"/>
  <c r="I371" i="25"/>
  <c r="Z130" i="5" a="1"/>
  <c r="Z130" i="5" s="1"/>
  <c r="I383" i="25"/>
  <c r="Z142" i="5" a="1"/>
  <c r="Z142" i="5" s="1"/>
  <c r="I391" i="25"/>
  <c r="Z150" i="5" a="1"/>
  <c r="Z150" i="5" s="1"/>
  <c r="I395" i="25"/>
  <c r="Z154" i="5" a="1"/>
  <c r="Z154" i="5" s="1"/>
  <c r="I367" i="25"/>
  <c r="Z126" i="5" a="1"/>
  <c r="Z126" i="5" s="1"/>
  <c r="I387" i="25"/>
  <c r="Z146" i="5" a="1"/>
  <c r="Z146" i="5" s="1"/>
  <c r="I368" i="25"/>
  <c r="Z127" i="5" a="1"/>
  <c r="Z127" i="5" s="1"/>
  <c r="I372" i="25"/>
  <c r="Z131" i="5" a="1"/>
  <c r="Z131" i="5" s="1"/>
  <c r="I376" i="25"/>
  <c r="Z135" i="5" a="1"/>
  <c r="Z135" i="5" s="1"/>
  <c r="I380" i="25"/>
  <c r="Z139" i="5" a="1"/>
  <c r="Z139" i="5" s="1"/>
  <c r="I384" i="25"/>
  <c r="Z143" i="5" a="1"/>
  <c r="Z143" i="5" s="1"/>
  <c r="I388" i="25"/>
  <c r="Z147" i="5" a="1"/>
  <c r="Z147" i="5" s="1"/>
  <c r="I392" i="25"/>
  <c r="Z151" i="5" a="1"/>
  <c r="Z151" i="5" s="1"/>
  <c r="I396" i="25"/>
  <c r="Z155" i="5" a="1"/>
  <c r="Z155" i="5" s="1"/>
  <c r="I379" i="25"/>
  <c r="Z138" i="5" a="1"/>
  <c r="Z138" i="5" s="1"/>
  <c r="I365" i="25"/>
  <c r="Z124" i="5" a="1"/>
  <c r="Z124" i="5" s="1"/>
  <c r="I369" i="25"/>
  <c r="Z128" i="5" a="1"/>
  <c r="Z128" i="5" s="1"/>
  <c r="I373" i="25"/>
  <c r="Z132" i="5" a="1"/>
  <c r="Z132" i="5" s="1"/>
  <c r="I377" i="25"/>
  <c r="Z136" i="5" a="1"/>
  <c r="Z136" i="5" s="1"/>
  <c r="I381" i="25"/>
  <c r="Z140" i="5" a="1"/>
  <c r="Z140" i="5" s="1"/>
  <c r="I385" i="25"/>
  <c r="Z144" i="5" a="1"/>
  <c r="Z144" i="5" s="1"/>
  <c r="I389" i="25"/>
  <c r="Z148" i="5" a="1"/>
  <c r="Z148" i="5" s="1"/>
  <c r="I393" i="25"/>
  <c r="Z152" i="5" a="1"/>
  <c r="Z152" i="5" s="1"/>
  <c r="J131" i="4" a="1"/>
  <c r="J131" i="4" s="1"/>
  <c r="P121" i="25" s="1"/>
  <c r="W131" i="4" a="1"/>
  <c r="W131" i="4" s="1"/>
  <c r="AC121" i="25" s="1"/>
  <c r="J130" i="4" a="1"/>
  <c r="J130" i="4" s="1"/>
  <c r="P120" i="25" s="1"/>
  <c r="Q120" i="25"/>
  <c r="F33" i="11"/>
  <c r="T33" i="11"/>
  <c r="U33" i="11"/>
  <c r="V33" i="11"/>
  <c r="F32" i="11"/>
  <c r="V32" i="11"/>
  <c r="T32" i="11"/>
  <c r="U32" i="11"/>
  <c r="F24" i="11"/>
  <c r="V24" i="11"/>
  <c r="T24" i="11"/>
  <c r="U24" i="11"/>
  <c r="F25" i="11"/>
  <c r="T25" i="11"/>
  <c r="U25" i="11"/>
  <c r="V25" i="11"/>
  <c r="F18" i="11"/>
  <c r="T18" i="11"/>
  <c r="V18" i="11"/>
  <c r="U18" i="11"/>
  <c r="F31" i="11"/>
  <c r="U31" i="11"/>
  <c r="V31" i="11"/>
  <c r="T31" i="11"/>
  <c r="F23" i="11"/>
  <c r="U23" i="11"/>
  <c r="T23" i="11"/>
  <c r="V23" i="11"/>
  <c r="F34" i="11"/>
  <c r="T34" i="11"/>
  <c r="V34" i="11"/>
  <c r="U34" i="11"/>
  <c r="F17" i="11"/>
  <c r="T17" i="11"/>
  <c r="U17" i="11"/>
  <c r="V17" i="11"/>
  <c r="F30" i="11"/>
  <c r="T30" i="11"/>
  <c r="U30" i="11"/>
  <c r="V30" i="11"/>
  <c r="F22" i="11"/>
  <c r="T22" i="11"/>
  <c r="U22" i="11"/>
  <c r="V22" i="11"/>
  <c r="F16" i="11"/>
  <c r="V16" i="11"/>
  <c r="U16" i="11"/>
  <c r="T16" i="11"/>
  <c r="G68" i="18" s="1"/>
  <c r="F29" i="11"/>
  <c r="U29" i="11"/>
  <c r="V29" i="11"/>
  <c r="T29" i="11"/>
  <c r="F21" i="11"/>
  <c r="T21" i="11"/>
  <c r="U21" i="11"/>
  <c r="V21" i="11"/>
  <c r="F36" i="11"/>
  <c r="T36" i="11"/>
  <c r="V36" i="11"/>
  <c r="U36" i="11"/>
  <c r="F28" i="11"/>
  <c r="T28" i="11"/>
  <c r="U28" i="11"/>
  <c r="V28" i="11"/>
  <c r="F20" i="11"/>
  <c r="V20" i="11"/>
  <c r="T20" i="11"/>
  <c r="U20" i="11"/>
  <c r="F26" i="11"/>
  <c r="T26" i="11"/>
  <c r="U26" i="11"/>
  <c r="V26" i="11"/>
  <c r="F35" i="11"/>
  <c r="U35" i="11"/>
  <c r="V35" i="11"/>
  <c r="T35" i="11"/>
  <c r="F27" i="11"/>
  <c r="U27" i="11"/>
  <c r="V27" i="11"/>
  <c r="T27" i="11"/>
  <c r="F19" i="11"/>
  <c r="U19" i="11"/>
  <c r="V19" i="11"/>
  <c r="T19" i="11"/>
  <c r="T131" i="4" a="1"/>
  <c r="T131" i="4" s="1"/>
  <c r="Z121" i="25" s="1"/>
  <c r="Q131" i="4" a="1"/>
  <c r="Q131" i="4" s="1"/>
  <c r="W121" i="25" s="1"/>
  <c r="R131" i="4" a="1"/>
  <c r="R131" i="4" s="1"/>
  <c r="X121" i="25" s="1"/>
  <c r="S131" i="4" a="1"/>
  <c r="S131" i="4" s="1"/>
  <c r="Y121" i="25" s="1"/>
  <c r="P131" i="4" a="1"/>
  <c r="P131" i="4" s="1"/>
  <c r="V121" i="25" s="1"/>
  <c r="M141" i="4"/>
  <c r="S131" i="25" s="1"/>
  <c r="AF131" i="25" s="1"/>
  <c r="M133" i="4"/>
  <c r="S123" i="25" s="1"/>
  <c r="AF123" i="25" s="1"/>
  <c r="G50" i="18"/>
  <c r="G52" i="18"/>
  <c r="G48" i="18"/>
  <c r="G45" i="18"/>
  <c r="H58" i="18"/>
  <c r="H45" i="18"/>
  <c r="G58" i="18"/>
  <c r="G51" i="18"/>
  <c r="G49" i="18"/>
  <c r="H60" i="18"/>
  <c r="E61" i="18"/>
  <c r="F61" i="18" s="1"/>
  <c r="G60" i="18"/>
  <c r="H52" i="18"/>
  <c r="H50" i="18"/>
  <c r="H47" i="18"/>
  <c r="H46" i="18"/>
  <c r="G47" i="18"/>
  <c r="G46" i="18"/>
  <c r="H53" i="18"/>
  <c r="H48" i="18"/>
  <c r="G53" i="18"/>
  <c r="H51" i="18"/>
  <c r="H49" i="18"/>
  <c r="M139" i="4"/>
  <c r="S129" i="25" s="1"/>
  <c r="AF129" i="25" s="1"/>
  <c r="M143" i="4"/>
  <c r="S133" i="25" s="1"/>
  <c r="AF133" i="25" s="1"/>
  <c r="M135" i="4"/>
  <c r="S125" i="25" s="1"/>
  <c r="AF125" i="25" s="1"/>
  <c r="W130" i="4" a="1"/>
  <c r="W130" i="4" s="1"/>
  <c r="T130" i="4" a="1"/>
  <c r="T130" i="4" s="1"/>
  <c r="Z120" i="25" s="1"/>
  <c r="Q130" i="4" a="1"/>
  <c r="Q130" i="4" s="1"/>
  <c r="W120" i="25" s="1"/>
  <c r="S130" i="4" a="1"/>
  <c r="S130" i="4" s="1"/>
  <c r="Y120" i="25" s="1"/>
  <c r="M138" i="4"/>
  <c r="S128" i="25" s="1"/>
  <c r="AF128" i="25" s="1"/>
  <c r="M146" i="4"/>
  <c r="S136" i="25" s="1"/>
  <c r="AF136" i="25" s="1"/>
  <c r="M145" i="4"/>
  <c r="S135" i="25" s="1"/>
  <c r="AF135" i="25" s="1"/>
  <c r="M137" i="4"/>
  <c r="S127" i="25" s="1"/>
  <c r="AF127" i="25" s="1"/>
  <c r="M144" i="4"/>
  <c r="S134" i="25" s="1"/>
  <c r="AF134" i="25" s="1"/>
  <c r="M136" i="4"/>
  <c r="S126" i="25" s="1"/>
  <c r="AF126" i="25" s="1"/>
  <c r="M140" i="4"/>
  <c r="S130" i="25" s="1"/>
  <c r="AF130" i="25" s="1"/>
  <c r="M132" i="4"/>
  <c r="S122" i="25" s="1"/>
  <c r="AF122" i="25" s="1"/>
  <c r="M142" i="4"/>
  <c r="S132" i="25" s="1"/>
  <c r="AF132" i="25" s="1"/>
  <c r="M134" i="4"/>
  <c r="S124" i="25" s="1"/>
  <c r="AF124" i="25" s="1"/>
  <c r="H54" i="18"/>
  <c r="G54" i="18"/>
  <c r="V374" i="17"/>
  <c r="V375" i="17"/>
  <c r="V373" i="17"/>
  <c r="B3" i="18"/>
  <c r="E27" i="10"/>
  <c r="Z123" i="5" l="1"/>
  <c r="L122" i="5" s="1"/>
  <c r="D15" i="26" s="1"/>
  <c r="E15" i="26" s="1"/>
  <c r="M583" i="25"/>
  <c r="X16" i="11" a="1"/>
  <c r="X16" i="11" s="1"/>
  <c r="X15" i="11" s="1"/>
  <c r="G14" i="11" s="1"/>
  <c r="D19" i="26" s="1"/>
  <c r="P130" i="4" a="1"/>
  <c r="P130" i="4" s="1"/>
  <c r="V120" i="25" s="1"/>
  <c r="R130" i="4" a="1"/>
  <c r="R130" i="4" s="1"/>
  <c r="X120" i="25" s="1"/>
  <c r="I69" i="18"/>
  <c r="AC583" i="25"/>
  <c r="I68" i="18"/>
  <c r="G69" i="18"/>
  <c r="AA583" i="25"/>
  <c r="H68" i="18"/>
  <c r="AB583" i="25"/>
  <c r="H69" i="18"/>
  <c r="I17" i="18"/>
  <c r="AC120" i="25"/>
  <c r="M131" i="4"/>
  <c r="S121" i="25" s="1"/>
  <c r="AF121" i="25" s="1"/>
  <c r="I85" i="12" a="1"/>
  <c r="I85" i="12" s="1"/>
  <c r="J85" i="12" a="1"/>
  <c r="J85" i="12" s="1"/>
  <c r="Q562" i="25" s="1"/>
  <c r="K85" i="12" a="1"/>
  <c r="K85" i="12" s="1"/>
  <c r="R562" i="25" s="1"/>
  <c r="AE562" i="25" s="1"/>
  <c r="I86" i="12" a="1"/>
  <c r="I86" i="12" s="1"/>
  <c r="J86" i="12" a="1"/>
  <c r="J86" i="12" s="1"/>
  <c r="Q563" i="25" s="1"/>
  <c r="K86" i="12" a="1"/>
  <c r="K86" i="12" s="1"/>
  <c r="R563" i="25" s="1"/>
  <c r="AE563" i="25" s="1"/>
  <c r="I87" i="12" a="1"/>
  <c r="I87" i="12" s="1"/>
  <c r="J87" i="12" a="1"/>
  <c r="J87" i="12" s="1"/>
  <c r="Q564" i="25" s="1"/>
  <c r="K87" i="12" a="1"/>
  <c r="K87" i="12" s="1"/>
  <c r="R564" i="25" s="1"/>
  <c r="AE564" i="25" s="1"/>
  <c r="I88" i="12" a="1"/>
  <c r="I88" i="12" s="1"/>
  <c r="J88" i="12" a="1"/>
  <c r="J88" i="12" s="1"/>
  <c r="Q565" i="25" s="1"/>
  <c r="K88" i="12" a="1"/>
  <c r="K88" i="12" s="1"/>
  <c r="R565" i="25" s="1"/>
  <c r="AE565" i="25" s="1"/>
  <c r="I89" i="12" a="1"/>
  <c r="I89" i="12" s="1"/>
  <c r="J89" i="12" a="1"/>
  <c r="J89" i="12" s="1"/>
  <c r="Q566" i="25" s="1"/>
  <c r="K89" i="12" a="1"/>
  <c r="K89" i="12" s="1"/>
  <c r="R566" i="25" s="1"/>
  <c r="AE566" i="25" s="1"/>
  <c r="I90" i="12" a="1"/>
  <c r="I90" i="12" s="1"/>
  <c r="J90" i="12" a="1"/>
  <c r="J90" i="12" s="1"/>
  <c r="Q567" i="25" s="1"/>
  <c r="K90" i="12" a="1"/>
  <c r="K90" i="12" s="1"/>
  <c r="R567" i="25" s="1"/>
  <c r="AE567" i="25" s="1"/>
  <c r="I91" i="12" a="1"/>
  <c r="I91" i="12" s="1"/>
  <c r="J91" i="12" a="1"/>
  <c r="J91" i="12" s="1"/>
  <c r="Q568" i="25" s="1"/>
  <c r="K91" i="12" a="1"/>
  <c r="K91" i="12" s="1"/>
  <c r="R568" i="25" s="1"/>
  <c r="AE568" i="25" s="1"/>
  <c r="I92" i="12" a="1"/>
  <c r="I92" i="12" s="1"/>
  <c r="J92" i="12" a="1"/>
  <c r="J92" i="12" s="1"/>
  <c r="Q569" i="25" s="1"/>
  <c r="K92" i="12" a="1"/>
  <c r="K92" i="12" s="1"/>
  <c r="R569" i="25" s="1"/>
  <c r="AE569" i="25" s="1"/>
  <c r="I93" i="12" a="1"/>
  <c r="I93" i="12" s="1"/>
  <c r="J93" i="12" a="1"/>
  <c r="J93" i="12" s="1"/>
  <c r="Q570" i="25" s="1"/>
  <c r="K93" i="12" a="1"/>
  <c r="K93" i="12" s="1"/>
  <c r="R570" i="25" s="1"/>
  <c r="AE570" i="25" s="1"/>
  <c r="I94" i="12" a="1"/>
  <c r="I94" i="12" s="1"/>
  <c r="J94" i="12" a="1"/>
  <c r="J94" i="12" s="1"/>
  <c r="Q571" i="25" s="1"/>
  <c r="K94" i="12" a="1"/>
  <c r="K94" i="12" s="1"/>
  <c r="R571" i="25" s="1"/>
  <c r="AE571" i="25" s="1"/>
  <c r="I95" i="12" a="1"/>
  <c r="I95" i="12" s="1"/>
  <c r="J95" i="12" a="1"/>
  <c r="J95" i="12" s="1"/>
  <c r="Q572" i="25" s="1"/>
  <c r="K95" i="12" a="1"/>
  <c r="K95" i="12" s="1"/>
  <c r="R572" i="25" s="1"/>
  <c r="AE572" i="25" s="1"/>
  <c r="I96" i="12" a="1"/>
  <c r="I96" i="12" s="1"/>
  <c r="J96" i="12" a="1"/>
  <c r="J96" i="12" s="1"/>
  <c r="Q573" i="25" s="1"/>
  <c r="K96" i="12" a="1"/>
  <c r="K96" i="12" s="1"/>
  <c r="R573" i="25" s="1"/>
  <c r="AE573" i="25" s="1"/>
  <c r="I97" i="12" a="1"/>
  <c r="I97" i="12" s="1"/>
  <c r="J97" i="12" a="1"/>
  <c r="J97" i="12" s="1"/>
  <c r="Q574" i="25" s="1"/>
  <c r="K97" i="12" a="1"/>
  <c r="K97" i="12" s="1"/>
  <c r="R574" i="25" s="1"/>
  <c r="AE574" i="25" s="1"/>
  <c r="I98" i="12" a="1"/>
  <c r="I98" i="12" s="1"/>
  <c r="J98" i="12" a="1"/>
  <c r="J98" i="12" s="1"/>
  <c r="Q575" i="25" s="1"/>
  <c r="K98" i="12" a="1"/>
  <c r="K98" i="12" s="1"/>
  <c r="R575" i="25" s="1"/>
  <c r="AE575" i="25" s="1"/>
  <c r="I99" i="12" a="1"/>
  <c r="I99" i="12" s="1"/>
  <c r="J99" i="12" a="1"/>
  <c r="J99" i="12" s="1"/>
  <c r="Q576" i="25" s="1"/>
  <c r="K99" i="12" a="1"/>
  <c r="K99" i="12" s="1"/>
  <c r="R576" i="25" s="1"/>
  <c r="AE576" i="25" s="1"/>
  <c r="I100" i="12" a="1"/>
  <c r="I100" i="12" s="1"/>
  <c r="J100" i="12" a="1"/>
  <c r="J100" i="12" s="1"/>
  <c r="Q577" i="25" s="1"/>
  <c r="K100" i="12" a="1"/>
  <c r="K100" i="12" s="1"/>
  <c r="R577" i="25" s="1"/>
  <c r="AE577" i="25" s="1"/>
  <c r="I101" i="12" a="1"/>
  <c r="I101" i="12" s="1"/>
  <c r="J101" i="12" a="1"/>
  <c r="J101" i="12" s="1"/>
  <c r="Q578" i="25" s="1"/>
  <c r="K101" i="12" a="1"/>
  <c r="K101" i="12" s="1"/>
  <c r="R578" i="25" s="1"/>
  <c r="AE578" i="25" s="1"/>
  <c r="I102" i="12" a="1"/>
  <c r="I102" i="12" s="1"/>
  <c r="J102" i="12" a="1"/>
  <c r="J102" i="12" s="1"/>
  <c r="Q579" i="25" s="1"/>
  <c r="K102" i="12" a="1"/>
  <c r="K102" i="12" s="1"/>
  <c r="R579" i="25" s="1"/>
  <c r="AE579" i="25" s="1"/>
  <c r="I103" i="12" a="1"/>
  <c r="I103" i="12" s="1"/>
  <c r="J103" i="12" a="1"/>
  <c r="J103" i="12" s="1"/>
  <c r="Q580" i="25" s="1"/>
  <c r="K103" i="12" a="1"/>
  <c r="K103" i="12" s="1"/>
  <c r="R580" i="25" s="1"/>
  <c r="AE580" i="25" s="1"/>
  <c r="I104" i="12" a="1"/>
  <c r="I104" i="12" s="1"/>
  <c r="J104" i="12" a="1"/>
  <c r="J104" i="12" s="1"/>
  <c r="Q581" i="25" s="1"/>
  <c r="K104" i="12" a="1"/>
  <c r="K104" i="12" s="1"/>
  <c r="R581" i="25" s="1"/>
  <c r="AE581" i="25" s="1"/>
  <c r="I105" i="12" a="1"/>
  <c r="I105" i="12" s="1"/>
  <c r="J105" i="12" a="1"/>
  <c r="J105" i="12" s="1"/>
  <c r="Q582" i="25" s="1"/>
  <c r="K105" i="12" a="1"/>
  <c r="K105" i="12" s="1"/>
  <c r="R582" i="25" s="1"/>
  <c r="AE582" i="25" s="1"/>
  <c r="K84" i="12" a="1"/>
  <c r="K84" i="12" s="1"/>
  <c r="R561" i="25" s="1"/>
  <c r="AE561" i="25" s="1"/>
  <c r="J84" i="12" a="1"/>
  <c r="J84" i="12" s="1"/>
  <c r="Q561" i="25" s="1"/>
  <c r="I84" i="12" a="1"/>
  <c r="I84" i="12" s="1"/>
  <c r="J54" i="12" a="1"/>
  <c r="J54" i="12" s="1"/>
  <c r="Q534" i="25" s="1"/>
  <c r="J55" i="12" a="1"/>
  <c r="J55" i="12" s="1"/>
  <c r="Q535" i="25" s="1"/>
  <c r="I56" i="12" a="1"/>
  <c r="I56" i="12" s="1"/>
  <c r="J56" i="12" a="1"/>
  <c r="J56" i="12" s="1"/>
  <c r="Q536" i="25" s="1"/>
  <c r="K56" i="12" a="1"/>
  <c r="K56" i="12" s="1"/>
  <c r="R536" i="25" s="1"/>
  <c r="AE536" i="25" s="1"/>
  <c r="I57" i="12" a="1"/>
  <c r="I57" i="12" s="1"/>
  <c r="J57" i="12" a="1"/>
  <c r="J57" i="12" s="1"/>
  <c r="Q537" i="25" s="1"/>
  <c r="K57" i="12" a="1"/>
  <c r="K57" i="12" s="1"/>
  <c r="R537" i="25" s="1"/>
  <c r="AE537" i="25" s="1"/>
  <c r="I58" i="12" a="1"/>
  <c r="I58" i="12" s="1"/>
  <c r="J58" i="12" a="1"/>
  <c r="J58" i="12" s="1"/>
  <c r="Q538" i="25" s="1"/>
  <c r="K58" i="12" a="1"/>
  <c r="K58" i="12" s="1"/>
  <c r="R538" i="25" s="1"/>
  <c r="AE538" i="25" s="1"/>
  <c r="I59" i="12" a="1"/>
  <c r="I59" i="12" s="1"/>
  <c r="J59" i="12" a="1"/>
  <c r="J59" i="12" s="1"/>
  <c r="Q539" i="25" s="1"/>
  <c r="K59" i="12" a="1"/>
  <c r="K59" i="12" s="1"/>
  <c r="R539" i="25" s="1"/>
  <c r="AE539" i="25" s="1"/>
  <c r="I60" i="12" a="1"/>
  <c r="I60" i="12" s="1"/>
  <c r="J60" i="12" a="1"/>
  <c r="J60" i="12" s="1"/>
  <c r="Q540" i="25" s="1"/>
  <c r="I61" i="12" a="1"/>
  <c r="I61" i="12" s="1"/>
  <c r="J61" i="12" a="1"/>
  <c r="J61" i="12" s="1"/>
  <c r="Q541" i="25" s="1"/>
  <c r="K61" i="12" a="1"/>
  <c r="K61" i="12" s="1"/>
  <c r="R541" i="25" s="1"/>
  <c r="AE541" i="25" s="1"/>
  <c r="I62" i="12" a="1"/>
  <c r="I62" i="12" s="1"/>
  <c r="J62" i="12" a="1"/>
  <c r="J62" i="12" s="1"/>
  <c r="Q542" i="25" s="1"/>
  <c r="K62" i="12" a="1"/>
  <c r="K62" i="12" s="1"/>
  <c r="R542" i="25" s="1"/>
  <c r="AE542" i="25" s="1"/>
  <c r="I63" i="12" a="1"/>
  <c r="I63" i="12" s="1"/>
  <c r="J63" i="12" a="1"/>
  <c r="J63" i="12" s="1"/>
  <c r="Q543" i="25" s="1"/>
  <c r="K63" i="12" a="1"/>
  <c r="K63" i="12" s="1"/>
  <c r="R543" i="25" s="1"/>
  <c r="AE543" i="25" s="1"/>
  <c r="I64" i="12" a="1"/>
  <c r="I64" i="12" s="1"/>
  <c r="J64" i="12" a="1"/>
  <c r="J64" i="12" s="1"/>
  <c r="Q544" i="25" s="1"/>
  <c r="K64" i="12" a="1"/>
  <c r="K64" i="12" s="1"/>
  <c r="R544" i="25" s="1"/>
  <c r="AE544" i="25" s="1"/>
  <c r="I65" i="12" a="1"/>
  <c r="I65" i="12" s="1"/>
  <c r="J65" i="12" a="1"/>
  <c r="J65" i="12" s="1"/>
  <c r="Q545" i="25" s="1"/>
  <c r="K65" i="12" a="1"/>
  <c r="K65" i="12" s="1"/>
  <c r="R545" i="25" s="1"/>
  <c r="AE545" i="25" s="1"/>
  <c r="I66" i="12" a="1"/>
  <c r="I66" i="12" s="1"/>
  <c r="J66" i="12" a="1"/>
  <c r="J66" i="12" s="1"/>
  <c r="Q546" i="25" s="1"/>
  <c r="K66" i="12" a="1"/>
  <c r="K66" i="12" s="1"/>
  <c r="R546" i="25" s="1"/>
  <c r="AE546" i="25" s="1"/>
  <c r="I67" i="12" a="1"/>
  <c r="I67" i="12" s="1"/>
  <c r="J67" i="12" a="1"/>
  <c r="J67" i="12" s="1"/>
  <c r="Q547" i="25" s="1"/>
  <c r="K67" i="12" a="1"/>
  <c r="K67" i="12" s="1"/>
  <c r="R547" i="25" s="1"/>
  <c r="AE547" i="25" s="1"/>
  <c r="I68" i="12" a="1"/>
  <c r="I68" i="12" s="1"/>
  <c r="J68" i="12" a="1"/>
  <c r="J68" i="12" s="1"/>
  <c r="Q548" i="25" s="1"/>
  <c r="K68" i="12" a="1"/>
  <c r="K68" i="12" s="1"/>
  <c r="R548" i="25" s="1"/>
  <c r="AE548" i="25" s="1"/>
  <c r="I69" i="12" a="1"/>
  <c r="I69" i="12" s="1"/>
  <c r="J69" i="12" a="1"/>
  <c r="J69" i="12" s="1"/>
  <c r="Q549" i="25" s="1"/>
  <c r="K69" i="12" a="1"/>
  <c r="K69" i="12" s="1"/>
  <c r="R549" i="25" s="1"/>
  <c r="AE549" i="25" s="1"/>
  <c r="I70" i="12" a="1"/>
  <c r="I70" i="12" s="1"/>
  <c r="J70" i="12" a="1"/>
  <c r="J70" i="12" s="1"/>
  <c r="Q550" i="25" s="1"/>
  <c r="K70" i="12" a="1"/>
  <c r="K70" i="12" s="1"/>
  <c r="R550" i="25" s="1"/>
  <c r="AE550" i="25" s="1"/>
  <c r="I71" i="12" a="1"/>
  <c r="I71" i="12" s="1"/>
  <c r="J71" i="12" a="1"/>
  <c r="J71" i="12" s="1"/>
  <c r="Q551" i="25" s="1"/>
  <c r="K71" i="12" a="1"/>
  <c r="K71" i="12" s="1"/>
  <c r="R551" i="25" s="1"/>
  <c r="AE551" i="25" s="1"/>
  <c r="I72" i="12" a="1"/>
  <c r="I72" i="12" s="1"/>
  <c r="J72" i="12" a="1"/>
  <c r="J72" i="12" s="1"/>
  <c r="Q552" i="25" s="1"/>
  <c r="K72" i="12" a="1"/>
  <c r="K72" i="12" s="1"/>
  <c r="R552" i="25" s="1"/>
  <c r="AE552" i="25" s="1"/>
  <c r="I73" i="12" a="1"/>
  <c r="I73" i="12" s="1"/>
  <c r="J73" i="12" a="1"/>
  <c r="J73" i="12" s="1"/>
  <c r="Q553" i="25" s="1"/>
  <c r="K73" i="12" a="1"/>
  <c r="K73" i="12" s="1"/>
  <c r="R553" i="25" s="1"/>
  <c r="AE553" i="25" s="1"/>
  <c r="I74" i="12" a="1"/>
  <c r="I74" i="12" s="1"/>
  <c r="J74" i="12" a="1"/>
  <c r="J74" i="12" s="1"/>
  <c r="Q554" i="25" s="1"/>
  <c r="K74" i="12" a="1"/>
  <c r="K74" i="12" s="1"/>
  <c r="R554" i="25" s="1"/>
  <c r="AE554" i="25" s="1"/>
  <c r="I75" i="12" a="1"/>
  <c r="I75" i="12" s="1"/>
  <c r="J75" i="12" a="1"/>
  <c r="J75" i="12" s="1"/>
  <c r="Q555" i="25" s="1"/>
  <c r="K75" i="12" a="1"/>
  <c r="K75" i="12" s="1"/>
  <c r="R555" i="25" s="1"/>
  <c r="AE555" i="25" s="1"/>
  <c r="I76" i="12" a="1"/>
  <c r="I76" i="12" s="1"/>
  <c r="J76" i="12" a="1"/>
  <c r="J76" i="12" s="1"/>
  <c r="Q556" i="25" s="1"/>
  <c r="K76" i="12" a="1"/>
  <c r="K76" i="12" s="1"/>
  <c r="R556" i="25" s="1"/>
  <c r="AE556" i="25" s="1"/>
  <c r="I77" i="12" a="1"/>
  <c r="I77" i="12" s="1"/>
  <c r="J77" i="12" a="1"/>
  <c r="J77" i="12" s="1"/>
  <c r="Q557" i="25" s="1"/>
  <c r="K77" i="12" a="1"/>
  <c r="K77" i="12" s="1"/>
  <c r="R557" i="25" s="1"/>
  <c r="AE557" i="25" s="1"/>
  <c r="I78" i="12" a="1"/>
  <c r="I78" i="12" s="1"/>
  <c r="J78" i="12" a="1"/>
  <c r="J78" i="12" s="1"/>
  <c r="Q558" i="25" s="1"/>
  <c r="K78" i="12" a="1"/>
  <c r="K78" i="12" s="1"/>
  <c r="R558" i="25" s="1"/>
  <c r="AE558" i="25" s="1"/>
  <c r="I79" i="12" a="1"/>
  <c r="I79" i="12" s="1"/>
  <c r="J79" i="12" a="1"/>
  <c r="J79" i="12" s="1"/>
  <c r="Q559" i="25" s="1"/>
  <c r="K79" i="12" a="1"/>
  <c r="K79" i="12" s="1"/>
  <c r="R559" i="25" s="1"/>
  <c r="AE559" i="25" s="1"/>
  <c r="I80" i="12" a="1"/>
  <c r="I80" i="12" s="1"/>
  <c r="J80" i="12" a="1"/>
  <c r="J80" i="12" s="1"/>
  <c r="Q560" i="25" s="1"/>
  <c r="K80" i="12" a="1"/>
  <c r="K80" i="12" s="1"/>
  <c r="R560" i="25" s="1"/>
  <c r="AE560" i="25" s="1"/>
  <c r="J53" i="12" a="1"/>
  <c r="J53" i="12" s="1"/>
  <c r="Q533" i="25" s="1"/>
  <c r="J9" i="12" a="1"/>
  <c r="J9" i="12" s="1"/>
  <c r="K9" i="12" a="1"/>
  <c r="K9" i="12" s="1"/>
  <c r="R493" i="25" s="1"/>
  <c r="AE493" i="25" s="1"/>
  <c r="J10" i="12" a="1"/>
  <c r="J10" i="12" s="1"/>
  <c r="Q494" i="25" s="1"/>
  <c r="K10" i="12" a="1"/>
  <c r="K10" i="12" s="1"/>
  <c r="R494" i="25" s="1"/>
  <c r="AE494" i="25" s="1"/>
  <c r="I11" i="12" a="1"/>
  <c r="I11" i="12" s="1"/>
  <c r="J11" i="12" a="1"/>
  <c r="J11" i="12" s="1"/>
  <c r="Q495" i="25" s="1"/>
  <c r="K11" i="12" a="1"/>
  <c r="K11" i="12" s="1"/>
  <c r="R495" i="25" s="1"/>
  <c r="AE495" i="25" s="1"/>
  <c r="I12" i="12" a="1"/>
  <c r="I12" i="12" s="1"/>
  <c r="J12" i="12" a="1"/>
  <c r="J12" i="12" s="1"/>
  <c r="Q496" i="25" s="1"/>
  <c r="K12" i="12" a="1"/>
  <c r="K12" i="12" s="1"/>
  <c r="R496" i="25" s="1"/>
  <c r="AE496" i="25" s="1"/>
  <c r="J13" i="12" a="1"/>
  <c r="J13" i="12" s="1"/>
  <c r="K13" i="12" a="1"/>
  <c r="K13" i="12" s="1"/>
  <c r="R497" i="25" s="1"/>
  <c r="AE497" i="25" s="1"/>
  <c r="I14" i="12" a="1"/>
  <c r="I14" i="12" s="1"/>
  <c r="J14" i="12" a="1"/>
  <c r="J14" i="12" s="1"/>
  <c r="Q498" i="25" s="1"/>
  <c r="K14" i="12" a="1"/>
  <c r="K14" i="12" s="1"/>
  <c r="R498" i="25" s="1"/>
  <c r="AE498" i="25" s="1"/>
  <c r="I15" i="12" a="1"/>
  <c r="I15" i="12" s="1"/>
  <c r="J15" i="12" a="1"/>
  <c r="J15" i="12" s="1"/>
  <c r="Q499" i="25" s="1"/>
  <c r="K15" i="12" a="1"/>
  <c r="K15" i="12" s="1"/>
  <c r="R499" i="25" s="1"/>
  <c r="AE499" i="25" s="1"/>
  <c r="I16" i="12" a="1"/>
  <c r="I16" i="12" s="1"/>
  <c r="J16" i="12" a="1"/>
  <c r="J16" i="12" s="1"/>
  <c r="Q500" i="25" s="1"/>
  <c r="K16" i="12" a="1"/>
  <c r="K16" i="12" s="1"/>
  <c r="R500" i="25" s="1"/>
  <c r="AE500" i="25" s="1"/>
  <c r="I17" i="12" a="1"/>
  <c r="I17" i="12" s="1"/>
  <c r="J17" i="12" a="1"/>
  <c r="J17" i="12" s="1"/>
  <c r="Q501" i="25" s="1"/>
  <c r="K17" i="12" a="1"/>
  <c r="K17" i="12" s="1"/>
  <c r="R501" i="25" s="1"/>
  <c r="AE501" i="25" s="1"/>
  <c r="I18" i="12" a="1"/>
  <c r="I18" i="12" s="1"/>
  <c r="J18" i="12" a="1"/>
  <c r="J18" i="12" s="1"/>
  <c r="Q502" i="25" s="1"/>
  <c r="K18" i="12" a="1"/>
  <c r="K18" i="12" s="1"/>
  <c r="R502" i="25" s="1"/>
  <c r="AE502" i="25" s="1"/>
  <c r="I19" i="12" a="1"/>
  <c r="I19" i="12" s="1"/>
  <c r="J19" i="12" a="1"/>
  <c r="J19" i="12" s="1"/>
  <c r="Q503" i="25" s="1"/>
  <c r="K19" i="12" a="1"/>
  <c r="K19" i="12" s="1"/>
  <c r="R503" i="25" s="1"/>
  <c r="AE503" i="25" s="1"/>
  <c r="I20" i="12" a="1"/>
  <c r="I20" i="12" s="1"/>
  <c r="J20" i="12" a="1"/>
  <c r="J20" i="12" s="1"/>
  <c r="Q504" i="25" s="1"/>
  <c r="K20" i="12" a="1"/>
  <c r="K20" i="12" s="1"/>
  <c r="R504" i="25" s="1"/>
  <c r="AE504" i="25" s="1"/>
  <c r="I21" i="12" a="1"/>
  <c r="I21" i="12" s="1"/>
  <c r="J21" i="12" a="1"/>
  <c r="J21" i="12" s="1"/>
  <c r="Q505" i="25" s="1"/>
  <c r="K21" i="12" a="1"/>
  <c r="K21" i="12" s="1"/>
  <c r="R505" i="25" s="1"/>
  <c r="AE505" i="25" s="1"/>
  <c r="I22" i="12" a="1"/>
  <c r="I22" i="12" s="1"/>
  <c r="J22" i="12" a="1"/>
  <c r="J22" i="12" s="1"/>
  <c r="Q506" i="25" s="1"/>
  <c r="K22" i="12" a="1"/>
  <c r="K22" i="12" s="1"/>
  <c r="R506" i="25" s="1"/>
  <c r="AE506" i="25" s="1"/>
  <c r="I23" i="12" a="1"/>
  <c r="I23" i="12" s="1"/>
  <c r="J23" i="12" a="1"/>
  <c r="J23" i="12" s="1"/>
  <c r="Q507" i="25" s="1"/>
  <c r="K23" i="12" a="1"/>
  <c r="K23" i="12" s="1"/>
  <c r="R507" i="25" s="1"/>
  <c r="AE507" i="25" s="1"/>
  <c r="I24" i="12" a="1"/>
  <c r="I24" i="12" s="1"/>
  <c r="J24" i="12" a="1"/>
  <c r="J24" i="12" s="1"/>
  <c r="Q508" i="25" s="1"/>
  <c r="K24" i="12" a="1"/>
  <c r="K24" i="12" s="1"/>
  <c r="R508" i="25" s="1"/>
  <c r="AE508" i="25" s="1"/>
  <c r="I25" i="12" a="1"/>
  <c r="I25" i="12" s="1"/>
  <c r="J25" i="12" a="1"/>
  <c r="J25" i="12" s="1"/>
  <c r="Q509" i="25" s="1"/>
  <c r="K25" i="12" a="1"/>
  <c r="K25" i="12" s="1"/>
  <c r="R509" i="25" s="1"/>
  <c r="AE509" i="25" s="1"/>
  <c r="I26" i="12" a="1"/>
  <c r="I26" i="12" s="1"/>
  <c r="J26" i="12" a="1"/>
  <c r="J26" i="12" s="1"/>
  <c r="Q510" i="25" s="1"/>
  <c r="K26" i="12" a="1"/>
  <c r="K26" i="12" s="1"/>
  <c r="R510" i="25" s="1"/>
  <c r="AE510" i="25" s="1"/>
  <c r="I27" i="12" a="1"/>
  <c r="I27" i="12" s="1"/>
  <c r="J27" i="12" a="1"/>
  <c r="J27" i="12" s="1"/>
  <c r="Q511" i="25" s="1"/>
  <c r="K27" i="12" a="1"/>
  <c r="K27" i="12" s="1"/>
  <c r="R511" i="25" s="1"/>
  <c r="AE511" i="25" s="1"/>
  <c r="I28" i="12" a="1"/>
  <c r="I28" i="12" s="1"/>
  <c r="J28" i="12" a="1"/>
  <c r="J28" i="12" s="1"/>
  <c r="Q512" i="25" s="1"/>
  <c r="K28" i="12" a="1"/>
  <c r="K28" i="12" s="1"/>
  <c r="R512" i="25" s="1"/>
  <c r="AE512" i="25" s="1"/>
  <c r="I29" i="12" a="1"/>
  <c r="I29" i="12" s="1"/>
  <c r="J29" i="12" a="1"/>
  <c r="J29" i="12" s="1"/>
  <c r="Q513" i="25" s="1"/>
  <c r="K29" i="12" a="1"/>
  <c r="K29" i="12" s="1"/>
  <c r="R513" i="25" s="1"/>
  <c r="AE513" i="25" s="1"/>
  <c r="I30" i="12" a="1"/>
  <c r="I30" i="12" s="1"/>
  <c r="J30" i="12" a="1"/>
  <c r="J30" i="12" s="1"/>
  <c r="Q514" i="25" s="1"/>
  <c r="K30" i="12" a="1"/>
  <c r="K30" i="12" s="1"/>
  <c r="R514" i="25" s="1"/>
  <c r="AE514" i="25" s="1"/>
  <c r="I31" i="12" a="1"/>
  <c r="I31" i="12" s="1"/>
  <c r="J31" i="12" a="1"/>
  <c r="J31" i="12" s="1"/>
  <c r="Q515" i="25" s="1"/>
  <c r="K31" i="12" a="1"/>
  <c r="K31" i="12" s="1"/>
  <c r="R515" i="25" s="1"/>
  <c r="AE515" i="25" s="1"/>
  <c r="I32" i="12" a="1"/>
  <c r="I32" i="12" s="1"/>
  <c r="J32" i="12" a="1"/>
  <c r="J32" i="12" s="1"/>
  <c r="Q516" i="25" s="1"/>
  <c r="K32" i="12" a="1"/>
  <c r="K32" i="12" s="1"/>
  <c r="R516" i="25" s="1"/>
  <c r="AE516" i="25" s="1"/>
  <c r="I33" i="12" a="1"/>
  <c r="I33" i="12" s="1"/>
  <c r="J33" i="12" a="1"/>
  <c r="J33" i="12" s="1"/>
  <c r="Q517" i="25" s="1"/>
  <c r="K33" i="12" a="1"/>
  <c r="K33" i="12" s="1"/>
  <c r="R517" i="25" s="1"/>
  <c r="AE517" i="25" s="1"/>
  <c r="I34" i="12" a="1"/>
  <c r="I34" i="12" s="1"/>
  <c r="J34" i="12" a="1"/>
  <c r="J34" i="12" s="1"/>
  <c r="Q518" i="25" s="1"/>
  <c r="K34" i="12" a="1"/>
  <c r="K34" i="12" s="1"/>
  <c r="R518" i="25" s="1"/>
  <c r="AE518" i="25" s="1"/>
  <c r="I35" i="12" a="1"/>
  <c r="I35" i="12" s="1"/>
  <c r="J35" i="12" a="1"/>
  <c r="J35" i="12" s="1"/>
  <c r="Q519" i="25" s="1"/>
  <c r="K35" i="12" a="1"/>
  <c r="K35" i="12" s="1"/>
  <c r="R519" i="25" s="1"/>
  <c r="AE519" i="25" s="1"/>
  <c r="I36" i="12" a="1"/>
  <c r="I36" i="12" s="1"/>
  <c r="J36" i="12" a="1"/>
  <c r="J36" i="12" s="1"/>
  <c r="Q520" i="25" s="1"/>
  <c r="K36" i="12" a="1"/>
  <c r="K36" i="12" s="1"/>
  <c r="R520" i="25" s="1"/>
  <c r="AE520" i="25" s="1"/>
  <c r="I37" i="12" a="1"/>
  <c r="I37" i="12" s="1"/>
  <c r="J37" i="12" a="1"/>
  <c r="J37" i="12" s="1"/>
  <c r="Q521" i="25" s="1"/>
  <c r="K37" i="12" a="1"/>
  <c r="K37" i="12" s="1"/>
  <c r="R521" i="25" s="1"/>
  <c r="AE521" i="25" s="1"/>
  <c r="I38" i="12" a="1"/>
  <c r="I38" i="12" s="1"/>
  <c r="J38" i="12" a="1"/>
  <c r="J38" i="12" s="1"/>
  <c r="Q522" i="25" s="1"/>
  <c r="K38" i="12" a="1"/>
  <c r="K38" i="12" s="1"/>
  <c r="R522" i="25" s="1"/>
  <c r="AE522" i="25" s="1"/>
  <c r="I39" i="12" a="1"/>
  <c r="I39" i="12" s="1"/>
  <c r="J39" i="12" a="1"/>
  <c r="J39" i="12" s="1"/>
  <c r="Q523" i="25" s="1"/>
  <c r="K39" i="12" a="1"/>
  <c r="K39" i="12" s="1"/>
  <c r="R523" i="25" s="1"/>
  <c r="AE523" i="25" s="1"/>
  <c r="I40" i="12" a="1"/>
  <c r="I40" i="12" s="1"/>
  <c r="J40" i="12" a="1"/>
  <c r="J40" i="12" s="1"/>
  <c r="Q524" i="25" s="1"/>
  <c r="K40" i="12" a="1"/>
  <c r="K40" i="12" s="1"/>
  <c r="R524" i="25" s="1"/>
  <c r="AE524" i="25" s="1"/>
  <c r="I41" i="12" a="1"/>
  <c r="I41" i="12" s="1"/>
  <c r="J41" i="12" a="1"/>
  <c r="J41" i="12" s="1"/>
  <c r="Q525" i="25" s="1"/>
  <c r="K41" i="12" a="1"/>
  <c r="K41" i="12" s="1"/>
  <c r="R525" i="25" s="1"/>
  <c r="AE525" i="25" s="1"/>
  <c r="I42" i="12" a="1"/>
  <c r="I42" i="12" s="1"/>
  <c r="J42" i="12" a="1"/>
  <c r="J42" i="12" s="1"/>
  <c r="Q526" i="25" s="1"/>
  <c r="K42" i="12" a="1"/>
  <c r="K42" i="12" s="1"/>
  <c r="R526" i="25" s="1"/>
  <c r="AE526" i="25" s="1"/>
  <c r="I43" i="12" a="1"/>
  <c r="I43" i="12" s="1"/>
  <c r="J43" i="12" a="1"/>
  <c r="J43" i="12" s="1"/>
  <c r="Q527" i="25" s="1"/>
  <c r="K43" i="12" a="1"/>
  <c r="K43" i="12" s="1"/>
  <c r="R527" i="25" s="1"/>
  <c r="AE527" i="25" s="1"/>
  <c r="I44" i="12" a="1"/>
  <c r="I44" i="12" s="1"/>
  <c r="J44" i="12" a="1"/>
  <c r="J44" i="12" s="1"/>
  <c r="Q528" i="25" s="1"/>
  <c r="K44" i="12" a="1"/>
  <c r="K44" i="12" s="1"/>
  <c r="R528" i="25" s="1"/>
  <c r="AE528" i="25" s="1"/>
  <c r="I45" i="12" a="1"/>
  <c r="I45" i="12" s="1"/>
  <c r="J45" i="12" a="1"/>
  <c r="J45" i="12" s="1"/>
  <c r="Q529" i="25" s="1"/>
  <c r="K45" i="12" a="1"/>
  <c r="K45" i="12" s="1"/>
  <c r="R529" i="25" s="1"/>
  <c r="AE529" i="25" s="1"/>
  <c r="I46" i="12" a="1"/>
  <c r="I46" i="12" s="1"/>
  <c r="J46" i="12" a="1"/>
  <c r="J46" i="12" s="1"/>
  <c r="Q530" i="25" s="1"/>
  <c r="K46" i="12" a="1"/>
  <c r="K46" i="12" s="1"/>
  <c r="R530" i="25" s="1"/>
  <c r="AE530" i="25" s="1"/>
  <c r="I47" i="12" a="1"/>
  <c r="I47" i="12" s="1"/>
  <c r="J47" i="12" a="1"/>
  <c r="J47" i="12" s="1"/>
  <c r="Q531" i="25" s="1"/>
  <c r="K47" i="12" a="1"/>
  <c r="K47" i="12" s="1"/>
  <c r="R531" i="25" s="1"/>
  <c r="AE531" i="25" s="1"/>
  <c r="I48" i="12" a="1"/>
  <c r="I48" i="12" s="1"/>
  <c r="J48" i="12" a="1"/>
  <c r="J48" i="12" s="1"/>
  <c r="Q532" i="25" s="1"/>
  <c r="K48" i="12" a="1"/>
  <c r="K48" i="12" s="1"/>
  <c r="R532" i="25" s="1"/>
  <c r="AE532" i="25" s="1"/>
  <c r="K8" i="12" a="1"/>
  <c r="K8" i="12" s="1"/>
  <c r="R492" i="25" s="1"/>
  <c r="J8" i="12" a="1"/>
  <c r="J8" i="12" s="1"/>
  <c r="U24" i="17"/>
  <c r="P24" i="17"/>
  <c r="P23" i="17"/>
  <c r="I10" i="12" l="1" a="1"/>
  <c r="I10" i="12" s="1"/>
  <c r="P494" i="25" s="1"/>
  <c r="P509" i="25"/>
  <c r="P550" i="25"/>
  <c r="P529" i="25"/>
  <c r="P531" i="25"/>
  <c r="P523" i="25"/>
  <c r="P515" i="25"/>
  <c r="P507" i="25"/>
  <c r="P499" i="25"/>
  <c r="P496" i="25"/>
  <c r="P556" i="25"/>
  <c r="P548" i="25"/>
  <c r="P537" i="25"/>
  <c r="P575" i="25"/>
  <c r="P567" i="25"/>
  <c r="P525" i="25"/>
  <c r="P501" i="25"/>
  <c r="P558" i="25"/>
  <c r="P577" i="25"/>
  <c r="P569" i="25"/>
  <c r="P522" i="25"/>
  <c r="P528" i="25"/>
  <c r="P520" i="25"/>
  <c r="P512" i="25"/>
  <c r="P504" i="25"/>
  <c r="P553" i="25"/>
  <c r="P545" i="25"/>
  <c r="P580" i="25"/>
  <c r="P572" i="25"/>
  <c r="P564" i="25"/>
  <c r="P506" i="25"/>
  <c r="P555" i="25"/>
  <c r="P547" i="25"/>
  <c r="P582" i="25"/>
  <c r="P519" i="25"/>
  <c r="P511" i="25"/>
  <c r="P503" i="25"/>
  <c r="P560" i="25"/>
  <c r="P552" i="25"/>
  <c r="P544" i="25"/>
  <c r="P579" i="25"/>
  <c r="P571" i="25"/>
  <c r="P563" i="25"/>
  <c r="P542" i="25"/>
  <c r="P514" i="25"/>
  <c r="P495" i="25"/>
  <c r="P536" i="25"/>
  <c r="P574" i="25"/>
  <c r="P532" i="25"/>
  <c r="P524" i="25"/>
  <c r="P516" i="25"/>
  <c r="P508" i="25"/>
  <c r="P500" i="25"/>
  <c r="Q497" i="25"/>
  <c r="P557" i="25"/>
  <c r="P549" i="25"/>
  <c r="P541" i="25"/>
  <c r="P538" i="25"/>
  <c r="P576" i="25"/>
  <c r="P568" i="25"/>
  <c r="P517" i="25"/>
  <c r="P539" i="25"/>
  <c r="P498" i="25"/>
  <c r="P566" i="25"/>
  <c r="P527" i="25"/>
  <c r="P521" i="25"/>
  <c r="P513" i="25"/>
  <c r="P505" i="25"/>
  <c r="P554" i="25"/>
  <c r="P546" i="25"/>
  <c r="P561" i="25"/>
  <c r="P581" i="25"/>
  <c r="P573" i="25"/>
  <c r="P565" i="25"/>
  <c r="P530" i="25"/>
  <c r="P526" i="25"/>
  <c r="P518" i="25"/>
  <c r="P510" i="25"/>
  <c r="P502" i="25"/>
  <c r="P559" i="25"/>
  <c r="P551" i="25"/>
  <c r="P543" i="25"/>
  <c r="P540" i="25"/>
  <c r="P578" i="25"/>
  <c r="P570" i="25"/>
  <c r="P562" i="25"/>
  <c r="AE492" i="25"/>
  <c r="H71" i="18"/>
  <c r="I71" i="18"/>
  <c r="G71" i="18"/>
  <c r="I8" i="12" a="1"/>
  <c r="I8" i="12" s="1"/>
  <c r="Q492" i="25"/>
  <c r="I53" i="12" a="1"/>
  <c r="I53" i="12" s="1"/>
  <c r="V60" i="12" a="1"/>
  <c r="V60" i="12" s="1"/>
  <c r="AC540" i="25" s="1"/>
  <c r="I9" i="12" a="1"/>
  <c r="I9" i="12" s="1"/>
  <c r="Q493" i="25"/>
  <c r="I55" i="12" a="1"/>
  <c r="I55" i="12" s="1"/>
  <c r="I54" i="12" a="1"/>
  <c r="I54" i="12" s="1"/>
  <c r="S99" i="12" a="1"/>
  <c r="S99" i="12" s="1"/>
  <c r="Z576" i="25" s="1"/>
  <c r="Q99" i="12" a="1"/>
  <c r="Q99" i="12" s="1"/>
  <c r="X576" i="25" s="1"/>
  <c r="V99" i="12" a="1"/>
  <c r="V99" i="12" s="1"/>
  <c r="AC576" i="25" s="1"/>
  <c r="R99" i="12" a="1"/>
  <c r="R99" i="12" s="1"/>
  <c r="Y576" i="25" s="1"/>
  <c r="P99" i="12" a="1"/>
  <c r="P99" i="12" s="1"/>
  <c r="W576" i="25" s="1"/>
  <c r="S91" i="12" a="1"/>
  <c r="S91" i="12" s="1"/>
  <c r="Z568" i="25" s="1"/>
  <c r="Q91" i="12" a="1"/>
  <c r="Q91" i="12" s="1"/>
  <c r="X568" i="25" s="1"/>
  <c r="V91" i="12" a="1"/>
  <c r="V91" i="12" s="1"/>
  <c r="AC568" i="25" s="1"/>
  <c r="R91" i="12" a="1"/>
  <c r="R91" i="12" s="1"/>
  <c r="Y568" i="25" s="1"/>
  <c r="P91" i="12" a="1"/>
  <c r="P91" i="12" s="1"/>
  <c r="W568" i="25" s="1"/>
  <c r="V104" i="12" a="1"/>
  <c r="V104" i="12" s="1"/>
  <c r="AC581" i="25" s="1"/>
  <c r="R104" i="12" a="1"/>
  <c r="R104" i="12" s="1"/>
  <c r="Y581" i="25" s="1"/>
  <c r="P104" i="12" a="1"/>
  <c r="P104" i="12" s="1"/>
  <c r="W581" i="25" s="1"/>
  <c r="S104" i="12" a="1"/>
  <c r="S104" i="12" s="1"/>
  <c r="Z581" i="25" s="1"/>
  <c r="Q104" i="12" a="1"/>
  <c r="Q104" i="12" s="1"/>
  <c r="X581" i="25" s="1"/>
  <c r="V96" i="12" a="1"/>
  <c r="V96" i="12" s="1"/>
  <c r="AC573" i="25" s="1"/>
  <c r="R96" i="12" a="1"/>
  <c r="R96" i="12" s="1"/>
  <c r="Y573" i="25" s="1"/>
  <c r="P96" i="12" a="1"/>
  <c r="P96" i="12" s="1"/>
  <c r="W573" i="25" s="1"/>
  <c r="S96" i="12" a="1"/>
  <c r="S96" i="12" s="1"/>
  <c r="Z573" i="25" s="1"/>
  <c r="Q96" i="12" a="1"/>
  <c r="Q96" i="12" s="1"/>
  <c r="X573" i="25" s="1"/>
  <c r="V88" i="12" a="1"/>
  <c r="V88" i="12" s="1"/>
  <c r="AC565" i="25" s="1"/>
  <c r="R88" i="12" a="1"/>
  <c r="R88" i="12" s="1"/>
  <c r="Y565" i="25" s="1"/>
  <c r="P88" i="12" a="1"/>
  <c r="P88" i="12" s="1"/>
  <c r="W565" i="25" s="1"/>
  <c r="S88" i="12" a="1"/>
  <c r="S88" i="12" s="1"/>
  <c r="Z565" i="25" s="1"/>
  <c r="Q88" i="12" a="1"/>
  <c r="Q88" i="12" s="1"/>
  <c r="X565" i="25" s="1"/>
  <c r="S98" i="12" a="1"/>
  <c r="S98" i="12" s="1"/>
  <c r="Z575" i="25" s="1"/>
  <c r="Q98" i="12" a="1"/>
  <c r="Q98" i="12" s="1"/>
  <c r="X575" i="25" s="1"/>
  <c r="V98" i="12" a="1"/>
  <c r="V98" i="12" s="1"/>
  <c r="AC575" i="25" s="1"/>
  <c r="R98" i="12" a="1"/>
  <c r="R98" i="12" s="1"/>
  <c r="Y575" i="25" s="1"/>
  <c r="P98" i="12" a="1"/>
  <c r="P98" i="12" s="1"/>
  <c r="W575" i="25" s="1"/>
  <c r="S90" i="12" a="1"/>
  <c r="S90" i="12" s="1"/>
  <c r="Z567" i="25" s="1"/>
  <c r="Q90" i="12" a="1"/>
  <c r="Q90" i="12" s="1"/>
  <c r="X567" i="25" s="1"/>
  <c r="V90" i="12" a="1"/>
  <c r="V90" i="12" s="1"/>
  <c r="AC567" i="25" s="1"/>
  <c r="R90" i="12" a="1"/>
  <c r="R90" i="12" s="1"/>
  <c r="Y567" i="25" s="1"/>
  <c r="P90" i="12" a="1"/>
  <c r="P90" i="12" s="1"/>
  <c r="W567" i="25" s="1"/>
  <c r="V101" i="12" a="1"/>
  <c r="V101" i="12" s="1"/>
  <c r="AC578" i="25" s="1"/>
  <c r="S101" i="12" a="1"/>
  <c r="S101" i="12" s="1"/>
  <c r="Z578" i="25" s="1"/>
  <c r="Q101" i="12" a="1"/>
  <c r="Q101" i="12" s="1"/>
  <c r="X578" i="25" s="1"/>
  <c r="P101" i="12" a="1"/>
  <c r="P101" i="12" s="1"/>
  <c r="W578" i="25" s="1"/>
  <c r="R101" i="12" a="1"/>
  <c r="R101" i="12" s="1"/>
  <c r="Y578" i="25" s="1"/>
  <c r="V103" i="12" a="1"/>
  <c r="V103" i="12" s="1"/>
  <c r="AC580" i="25" s="1"/>
  <c r="R103" i="12" a="1"/>
  <c r="R103" i="12" s="1"/>
  <c r="Y580" i="25" s="1"/>
  <c r="P103" i="12" a="1"/>
  <c r="P103" i="12" s="1"/>
  <c r="W580" i="25" s="1"/>
  <c r="S103" i="12" a="1"/>
  <c r="S103" i="12" s="1"/>
  <c r="Z580" i="25" s="1"/>
  <c r="Q103" i="12" a="1"/>
  <c r="Q103" i="12" s="1"/>
  <c r="X580" i="25" s="1"/>
  <c r="V95" i="12" a="1"/>
  <c r="V95" i="12" s="1"/>
  <c r="AC572" i="25" s="1"/>
  <c r="R95" i="12" a="1"/>
  <c r="R95" i="12" s="1"/>
  <c r="Y572" i="25" s="1"/>
  <c r="P95" i="12" a="1"/>
  <c r="P95" i="12" s="1"/>
  <c r="W572" i="25" s="1"/>
  <c r="S95" i="12" a="1"/>
  <c r="S95" i="12" s="1"/>
  <c r="Z572" i="25" s="1"/>
  <c r="Q95" i="12" a="1"/>
  <c r="Q95" i="12" s="1"/>
  <c r="X572" i="25" s="1"/>
  <c r="V87" i="12" a="1"/>
  <c r="V87" i="12" s="1"/>
  <c r="AC564" i="25" s="1"/>
  <c r="R87" i="12" a="1"/>
  <c r="R87" i="12" s="1"/>
  <c r="Y564" i="25" s="1"/>
  <c r="P87" i="12" a="1"/>
  <c r="P87" i="12" s="1"/>
  <c r="W564" i="25" s="1"/>
  <c r="S87" i="12" a="1"/>
  <c r="S87" i="12" s="1"/>
  <c r="Z564" i="25" s="1"/>
  <c r="Q87" i="12" a="1"/>
  <c r="Q87" i="12" s="1"/>
  <c r="X564" i="25" s="1"/>
  <c r="V93" i="12" a="1"/>
  <c r="V93" i="12" s="1"/>
  <c r="AC570" i="25" s="1"/>
  <c r="P93" i="12" a="1"/>
  <c r="P93" i="12" s="1"/>
  <c r="W570" i="25" s="1"/>
  <c r="S93" i="12" a="1"/>
  <c r="S93" i="12" s="1"/>
  <c r="Z570" i="25" s="1"/>
  <c r="Q93" i="12" a="1"/>
  <c r="Q93" i="12" s="1"/>
  <c r="X570" i="25" s="1"/>
  <c r="R93" i="12" a="1"/>
  <c r="R93" i="12" s="1"/>
  <c r="Y570" i="25" s="1"/>
  <c r="S100" i="12" a="1"/>
  <c r="S100" i="12" s="1"/>
  <c r="Z577" i="25" s="1"/>
  <c r="Q100" i="12" a="1"/>
  <c r="Q100" i="12" s="1"/>
  <c r="X577" i="25" s="1"/>
  <c r="V100" i="12" a="1"/>
  <c r="V100" i="12" s="1"/>
  <c r="AC577" i="25" s="1"/>
  <c r="R100" i="12" a="1"/>
  <c r="R100" i="12" s="1"/>
  <c r="Y577" i="25" s="1"/>
  <c r="P100" i="12" a="1"/>
  <c r="P100" i="12" s="1"/>
  <c r="W577" i="25" s="1"/>
  <c r="S92" i="12" a="1"/>
  <c r="S92" i="12" s="1"/>
  <c r="Z569" i="25" s="1"/>
  <c r="Q92" i="12" a="1"/>
  <c r="Q92" i="12" s="1"/>
  <c r="X569" i="25" s="1"/>
  <c r="V92" i="12" a="1"/>
  <c r="V92" i="12" s="1"/>
  <c r="AC569" i="25" s="1"/>
  <c r="R92" i="12" a="1"/>
  <c r="R92" i="12" s="1"/>
  <c r="Y569" i="25" s="1"/>
  <c r="P92" i="12" a="1"/>
  <c r="P92" i="12" s="1"/>
  <c r="W569" i="25" s="1"/>
  <c r="Q105" i="12" a="1"/>
  <c r="Q105" i="12" s="1"/>
  <c r="X582" i="25" s="1"/>
  <c r="V105" i="12" a="1"/>
  <c r="V105" i="12" s="1"/>
  <c r="AC582" i="25" s="1"/>
  <c r="R105" i="12" a="1"/>
  <c r="R105" i="12" s="1"/>
  <c r="Y582" i="25" s="1"/>
  <c r="P105" i="12" a="1"/>
  <c r="P105" i="12" s="1"/>
  <c r="W582" i="25" s="1"/>
  <c r="S105" i="12" a="1"/>
  <c r="S105" i="12" s="1"/>
  <c r="Z582" i="25" s="1"/>
  <c r="S97" i="12" a="1"/>
  <c r="S97" i="12" s="1"/>
  <c r="Z574" i="25" s="1"/>
  <c r="V97" i="12" a="1"/>
  <c r="V97" i="12" s="1"/>
  <c r="AC574" i="25" s="1"/>
  <c r="R97" i="12" a="1"/>
  <c r="R97" i="12" s="1"/>
  <c r="Y574" i="25" s="1"/>
  <c r="P97" i="12" a="1"/>
  <c r="P97" i="12" s="1"/>
  <c r="W574" i="25" s="1"/>
  <c r="Q97" i="12" a="1"/>
  <c r="Q97" i="12" s="1"/>
  <c r="X574" i="25" s="1"/>
  <c r="Q89" i="12" a="1"/>
  <c r="Q89" i="12" s="1"/>
  <c r="X566" i="25" s="1"/>
  <c r="V89" i="12" a="1"/>
  <c r="V89" i="12" s="1"/>
  <c r="AC566" i="25" s="1"/>
  <c r="R89" i="12" a="1"/>
  <c r="R89" i="12" s="1"/>
  <c r="Y566" i="25" s="1"/>
  <c r="P89" i="12" a="1"/>
  <c r="P89" i="12" s="1"/>
  <c r="W566" i="25" s="1"/>
  <c r="S89" i="12" a="1"/>
  <c r="S89" i="12" s="1"/>
  <c r="Z566" i="25" s="1"/>
  <c r="V102" i="12" a="1"/>
  <c r="V102" i="12" s="1"/>
  <c r="AC579" i="25" s="1"/>
  <c r="R102" i="12" a="1"/>
  <c r="R102" i="12" s="1"/>
  <c r="Y579" i="25" s="1"/>
  <c r="P102" i="12" a="1"/>
  <c r="P102" i="12" s="1"/>
  <c r="W579" i="25" s="1"/>
  <c r="S102" i="12" a="1"/>
  <c r="S102" i="12" s="1"/>
  <c r="Z579" i="25" s="1"/>
  <c r="Q102" i="12" a="1"/>
  <c r="Q102" i="12" s="1"/>
  <c r="X579" i="25" s="1"/>
  <c r="V94" i="12" a="1"/>
  <c r="V94" i="12" s="1"/>
  <c r="AC571" i="25" s="1"/>
  <c r="R94" i="12" a="1"/>
  <c r="R94" i="12" s="1"/>
  <c r="Y571" i="25" s="1"/>
  <c r="P94" i="12" a="1"/>
  <c r="P94" i="12" s="1"/>
  <c r="W571" i="25" s="1"/>
  <c r="S94" i="12" a="1"/>
  <c r="S94" i="12" s="1"/>
  <c r="Z571" i="25" s="1"/>
  <c r="Q94" i="12" a="1"/>
  <c r="Q94" i="12" s="1"/>
  <c r="X571" i="25" s="1"/>
  <c r="V86" i="12" a="1"/>
  <c r="V86" i="12" s="1"/>
  <c r="AC563" i="25" s="1"/>
  <c r="R86" i="12" a="1"/>
  <c r="R86" i="12" s="1"/>
  <c r="Y563" i="25" s="1"/>
  <c r="P86" i="12" a="1"/>
  <c r="P86" i="12" s="1"/>
  <c r="W563" i="25" s="1"/>
  <c r="S86" i="12" a="1"/>
  <c r="S86" i="12" s="1"/>
  <c r="Z563" i="25" s="1"/>
  <c r="Q86" i="12" a="1"/>
  <c r="Q86" i="12" s="1"/>
  <c r="X563" i="25" s="1"/>
  <c r="V85" i="12" a="1"/>
  <c r="V85" i="12" s="1"/>
  <c r="AC562" i="25" s="1"/>
  <c r="R85" i="12" a="1"/>
  <c r="R85" i="12" s="1"/>
  <c r="Y562" i="25" s="1"/>
  <c r="P85" i="12" a="1"/>
  <c r="P85" i="12" s="1"/>
  <c r="W562" i="25" s="1"/>
  <c r="S85" i="12" a="1"/>
  <c r="S85" i="12" s="1"/>
  <c r="Z562" i="25" s="1"/>
  <c r="Q85" i="12" a="1"/>
  <c r="Q85" i="12" s="1"/>
  <c r="X562" i="25" s="1"/>
  <c r="O78" i="12" a="1"/>
  <c r="O78" i="12" s="1"/>
  <c r="V558" i="25" s="1"/>
  <c r="R78" i="12" a="1"/>
  <c r="R78" i="12" s="1"/>
  <c r="Y558" i="25" s="1"/>
  <c r="P78" i="12" a="1"/>
  <c r="P78" i="12" s="1"/>
  <c r="W558" i="25" s="1"/>
  <c r="S78" i="12" a="1"/>
  <c r="S78" i="12" s="1"/>
  <c r="Z558" i="25" s="1"/>
  <c r="Q78" i="12" a="1"/>
  <c r="Q78" i="12" s="1"/>
  <c r="X558" i="25" s="1"/>
  <c r="V78" i="12" a="1"/>
  <c r="V78" i="12" s="1"/>
  <c r="AC558" i="25" s="1"/>
  <c r="V75" i="12" a="1"/>
  <c r="V75" i="12" s="1"/>
  <c r="AC555" i="25" s="1"/>
  <c r="O75" i="12" a="1"/>
  <c r="O75" i="12" s="1"/>
  <c r="V555" i="25" s="1"/>
  <c r="P75" i="12" a="1"/>
  <c r="P75" i="12" s="1"/>
  <c r="W555" i="25" s="1"/>
  <c r="Q75" i="12" a="1"/>
  <c r="Q75" i="12" s="1"/>
  <c r="X555" i="25" s="1"/>
  <c r="R75" i="12" a="1"/>
  <c r="R75" i="12" s="1"/>
  <c r="Y555" i="25" s="1"/>
  <c r="S75" i="12" a="1"/>
  <c r="S75" i="12" s="1"/>
  <c r="Z555" i="25" s="1"/>
  <c r="R67" i="12" a="1"/>
  <c r="R67" i="12" s="1"/>
  <c r="Y547" i="25" s="1"/>
  <c r="S67" i="12" a="1"/>
  <c r="S67" i="12" s="1"/>
  <c r="Z547" i="25" s="1"/>
  <c r="P67" i="12" a="1"/>
  <c r="P67" i="12" s="1"/>
  <c r="W547" i="25" s="1"/>
  <c r="Q67" i="12" a="1"/>
  <c r="Q67" i="12" s="1"/>
  <c r="X547" i="25" s="1"/>
  <c r="V67" i="12" a="1"/>
  <c r="V67" i="12" s="1"/>
  <c r="AC547" i="25" s="1"/>
  <c r="O67" i="12" a="1"/>
  <c r="O67" i="12" s="1"/>
  <c r="V547" i="25" s="1"/>
  <c r="V59" i="12" a="1"/>
  <c r="V59" i="12" s="1"/>
  <c r="AC539" i="25" s="1"/>
  <c r="R59" i="12" a="1"/>
  <c r="R59" i="12" s="1"/>
  <c r="Y539" i="25" s="1"/>
  <c r="S59" i="12" a="1"/>
  <c r="S59" i="12" s="1"/>
  <c r="Z539" i="25" s="1"/>
  <c r="O59" i="12" a="1"/>
  <c r="O59" i="12" s="1"/>
  <c r="V539" i="25" s="1"/>
  <c r="P59" i="12" a="1"/>
  <c r="P59" i="12" s="1"/>
  <c r="W539" i="25" s="1"/>
  <c r="Q59" i="12" a="1"/>
  <c r="Q59" i="12" s="1"/>
  <c r="X539" i="25" s="1"/>
  <c r="V73" i="12" a="1"/>
  <c r="V73" i="12" s="1"/>
  <c r="AC553" i="25" s="1"/>
  <c r="R73" i="12" a="1"/>
  <c r="R73" i="12" s="1"/>
  <c r="Y553" i="25" s="1"/>
  <c r="S73" i="12" a="1"/>
  <c r="S73" i="12" s="1"/>
  <c r="Z553" i="25" s="1"/>
  <c r="O73" i="12" a="1"/>
  <c r="O73" i="12" s="1"/>
  <c r="V553" i="25" s="1"/>
  <c r="P73" i="12" a="1"/>
  <c r="P73" i="12" s="1"/>
  <c r="W553" i="25" s="1"/>
  <c r="Q73" i="12" a="1"/>
  <c r="Q73" i="12" s="1"/>
  <c r="X553" i="25" s="1"/>
  <c r="P65" i="12" a="1"/>
  <c r="P65" i="12" s="1"/>
  <c r="W545" i="25" s="1"/>
  <c r="V65" i="12" a="1"/>
  <c r="V65" i="12" s="1"/>
  <c r="AC545" i="25" s="1"/>
  <c r="Q65" i="12" a="1"/>
  <c r="Q65" i="12" s="1"/>
  <c r="X545" i="25" s="1"/>
  <c r="S65" i="12" a="1"/>
  <c r="S65" i="12" s="1"/>
  <c r="Z545" i="25" s="1"/>
  <c r="R65" i="12" a="1"/>
  <c r="R65" i="12" s="1"/>
  <c r="Y545" i="25" s="1"/>
  <c r="O65" i="12" a="1"/>
  <c r="O65" i="12" s="1"/>
  <c r="V545" i="25" s="1"/>
  <c r="S57" i="12" a="1"/>
  <c r="S57" i="12" s="1"/>
  <c r="Z537" i="25" s="1"/>
  <c r="O57" i="12" a="1"/>
  <c r="O57" i="12" s="1"/>
  <c r="V537" i="25" s="1"/>
  <c r="R57" i="12" a="1"/>
  <c r="R57" i="12" s="1"/>
  <c r="Y537" i="25" s="1"/>
  <c r="P57" i="12" a="1"/>
  <c r="P57" i="12" s="1"/>
  <c r="W537" i="25" s="1"/>
  <c r="Q57" i="12" a="1"/>
  <c r="Q57" i="12" s="1"/>
  <c r="X537" i="25" s="1"/>
  <c r="V57" i="12" a="1"/>
  <c r="V57" i="12" s="1"/>
  <c r="AC537" i="25" s="1"/>
  <c r="V70" i="12" a="1"/>
  <c r="V70" i="12" s="1"/>
  <c r="AC550" i="25" s="1"/>
  <c r="Q70" i="12" a="1"/>
  <c r="Q70" i="12" s="1"/>
  <c r="X550" i="25" s="1"/>
  <c r="S70" i="12" a="1"/>
  <c r="S70" i="12" s="1"/>
  <c r="Z550" i="25" s="1"/>
  <c r="O70" i="12" a="1"/>
  <c r="O70" i="12" s="1"/>
  <c r="V550" i="25" s="1"/>
  <c r="R70" i="12" a="1"/>
  <c r="R70" i="12" s="1"/>
  <c r="Y550" i="25" s="1"/>
  <c r="P70" i="12" a="1"/>
  <c r="P70" i="12" s="1"/>
  <c r="W550" i="25" s="1"/>
  <c r="P62" i="12" a="1"/>
  <c r="P62" i="12" s="1"/>
  <c r="W542" i="25" s="1"/>
  <c r="R62" i="12" a="1"/>
  <c r="R62" i="12" s="1"/>
  <c r="Y542" i="25" s="1"/>
  <c r="S62" i="12" a="1"/>
  <c r="S62" i="12" s="1"/>
  <c r="Z542" i="25" s="1"/>
  <c r="V62" i="12" a="1"/>
  <c r="V62" i="12" s="1"/>
  <c r="AC542" i="25" s="1"/>
  <c r="O62" i="12" a="1"/>
  <c r="O62" i="12" s="1"/>
  <c r="V542" i="25" s="1"/>
  <c r="Q62" i="12" a="1"/>
  <c r="Q62" i="12" s="1"/>
  <c r="X542" i="25" s="1"/>
  <c r="V80" i="12" a="1"/>
  <c r="V80" i="12" s="1"/>
  <c r="AC560" i="25" s="1"/>
  <c r="O80" i="12" a="1"/>
  <c r="O80" i="12" s="1"/>
  <c r="V560" i="25" s="1"/>
  <c r="S80" i="12" a="1"/>
  <c r="S80" i="12" s="1"/>
  <c r="Z560" i="25" s="1"/>
  <c r="P80" i="12" a="1"/>
  <c r="P80" i="12" s="1"/>
  <c r="W560" i="25" s="1"/>
  <c r="R80" i="12" a="1"/>
  <c r="R80" i="12" s="1"/>
  <c r="Y560" i="25" s="1"/>
  <c r="Q80" i="12" a="1"/>
  <c r="Q80" i="12" s="1"/>
  <c r="X560" i="25" s="1"/>
  <c r="R72" i="12" a="1"/>
  <c r="R72" i="12" s="1"/>
  <c r="Y552" i="25" s="1"/>
  <c r="Q72" i="12" a="1"/>
  <c r="Q72" i="12" s="1"/>
  <c r="X552" i="25" s="1"/>
  <c r="P72" i="12" a="1"/>
  <c r="P72" i="12" s="1"/>
  <c r="W552" i="25" s="1"/>
  <c r="S72" i="12" a="1"/>
  <c r="S72" i="12" s="1"/>
  <c r="Z552" i="25" s="1"/>
  <c r="O72" i="12" a="1"/>
  <c r="O72" i="12" s="1"/>
  <c r="V552" i="25" s="1"/>
  <c r="V72" i="12" a="1"/>
  <c r="V72" i="12" s="1"/>
  <c r="AC552" i="25" s="1"/>
  <c r="V64" i="12" a="1"/>
  <c r="V64" i="12" s="1"/>
  <c r="AC544" i="25" s="1"/>
  <c r="P64" i="12" a="1"/>
  <c r="P64" i="12" s="1"/>
  <c r="W544" i="25" s="1"/>
  <c r="Q64" i="12" a="1"/>
  <c r="Q64" i="12" s="1"/>
  <c r="X544" i="25" s="1"/>
  <c r="R64" i="12" a="1"/>
  <c r="R64" i="12" s="1"/>
  <c r="Y544" i="25" s="1"/>
  <c r="S64" i="12" a="1"/>
  <c r="S64" i="12" s="1"/>
  <c r="Z544" i="25" s="1"/>
  <c r="O64" i="12" a="1"/>
  <c r="O64" i="12" s="1"/>
  <c r="V544" i="25" s="1"/>
  <c r="O56" i="12" a="1"/>
  <c r="O56" i="12" s="1"/>
  <c r="V536" i="25" s="1"/>
  <c r="P56" i="12" a="1"/>
  <c r="P56" i="12" s="1"/>
  <c r="W536" i="25" s="1"/>
  <c r="R56" i="12" a="1"/>
  <c r="R56" i="12" s="1"/>
  <c r="Y536" i="25" s="1"/>
  <c r="V56" i="12" a="1"/>
  <c r="V56" i="12" s="1"/>
  <c r="AC536" i="25" s="1"/>
  <c r="Q56" i="12" a="1"/>
  <c r="Q56" i="12" s="1"/>
  <c r="X536" i="25" s="1"/>
  <c r="S56" i="12" a="1"/>
  <c r="S56" i="12" s="1"/>
  <c r="Z536" i="25" s="1"/>
  <c r="R58" i="12" a="1"/>
  <c r="R58" i="12" s="1"/>
  <c r="Y538" i="25" s="1"/>
  <c r="S58" i="12" a="1"/>
  <c r="S58" i="12" s="1"/>
  <c r="Z538" i="25" s="1"/>
  <c r="O58" i="12" a="1"/>
  <c r="O58" i="12" s="1"/>
  <c r="V538" i="25" s="1"/>
  <c r="Q58" i="12" a="1"/>
  <c r="Q58" i="12" s="1"/>
  <c r="X538" i="25" s="1"/>
  <c r="P58" i="12" a="1"/>
  <c r="P58" i="12" s="1"/>
  <c r="W538" i="25" s="1"/>
  <c r="V58" i="12" a="1"/>
  <c r="V58" i="12" s="1"/>
  <c r="AC538" i="25" s="1"/>
  <c r="O79" i="12" a="1"/>
  <c r="O79" i="12" s="1"/>
  <c r="V559" i="25" s="1"/>
  <c r="P79" i="12" a="1"/>
  <c r="P79" i="12" s="1"/>
  <c r="W559" i="25" s="1"/>
  <c r="Q79" i="12" a="1"/>
  <c r="Q79" i="12" s="1"/>
  <c r="X559" i="25" s="1"/>
  <c r="R79" i="12" a="1"/>
  <c r="R79" i="12" s="1"/>
  <c r="Y559" i="25" s="1"/>
  <c r="V79" i="12" a="1"/>
  <c r="V79" i="12" s="1"/>
  <c r="AC559" i="25" s="1"/>
  <c r="S79" i="12" a="1"/>
  <c r="S79" i="12" s="1"/>
  <c r="Z559" i="25" s="1"/>
  <c r="R71" i="12" a="1"/>
  <c r="R71" i="12" s="1"/>
  <c r="Y551" i="25" s="1"/>
  <c r="S71" i="12" a="1"/>
  <c r="S71" i="12" s="1"/>
  <c r="Z551" i="25" s="1"/>
  <c r="V71" i="12" a="1"/>
  <c r="V71" i="12" s="1"/>
  <c r="AC551" i="25" s="1"/>
  <c r="O71" i="12" a="1"/>
  <c r="O71" i="12" s="1"/>
  <c r="V551" i="25" s="1"/>
  <c r="Q71" i="12" a="1"/>
  <c r="Q71" i="12" s="1"/>
  <c r="X551" i="25" s="1"/>
  <c r="P71" i="12" a="1"/>
  <c r="P71" i="12" s="1"/>
  <c r="W551" i="25" s="1"/>
  <c r="Q63" i="12" a="1"/>
  <c r="Q63" i="12" s="1"/>
  <c r="X543" i="25" s="1"/>
  <c r="R63" i="12" a="1"/>
  <c r="R63" i="12" s="1"/>
  <c r="Y543" i="25" s="1"/>
  <c r="V63" i="12" a="1"/>
  <c r="V63" i="12" s="1"/>
  <c r="AC543" i="25" s="1"/>
  <c r="P63" i="12" a="1"/>
  <c r="P63" i="12" s="1"/>
  <c r="W543" i="25" s="1"/>
  <c r="S63" i="12" a="1"/>
  <c r="S63" i="12" s="1"/>
  <c r="Z543" i="25" s="1"/>
  <c r="O63" i="12" a="1"/>
  <c r="O63" i="12" s="1"/>
  <c r="V543" i="25" s="1"/>
  <c r="S77" i="12" a="1"/>
  <c r="S77" i="12" s="1"/>
  <c r="Z557" i="25" s="1"/>
  <c r="P77" i="12" a="1"/>
  <c r="P77" i="12" s="1"/>
  <c r="W557" i="25" s="1"/>
  <c r="Q77" i="12" a="1"/>
  <c r="Q77" i="12" s="1"/>
  <c r="X557" i="25" s="1"/>
  <c r="V77" i="12" a="1"/>
  <c r="V77" i="12" s="1"/>
  <c r="AC557" i="25" s="1"/>
  <c r="R77" i="12" a="1"/>
  <c r="R77" i="12" s="1"/>
  <c r="Y557" i="25" s="1"/>
  <c r="O77" i="12" a="1"/>
  <c r="O77" i="12" s="1"/>
  <c r="V557" i="25" s="1"/>
  <c r="S69" i="12" a="1"/>
  <c r="S69" i="12" s="1"/>
  <c r="Z549" i="25" s="1"/>
  <c r="V69" i="12" a="1"/>
  <c r="V69" i="12" s="1"/>
  <c r="AC549" i="25" s="1"/>
  <c r="O69" i="12" a="1"/>
  <c r="O69" i="12" s="1"/>
  <c r="V549" i="25" s="1"/>
  <c r="P69" i="12" a="1"/>
  <c r="P69" i="12" s="1"/>
  <c r="W549" i="25" s="1"/>
  <c r="Q69" i="12" a="1"/>
  <c r="Q69" i="12" s="1"/>
  <c r="X549" i="25" s="1"/>
  <c r="R69" i="12" a="1"/>
  <c r="R69" i="12" s="1"/>
  <c r="Y549" i="25" s="1"/>
  <c r="R61" i="12" a="1"/>
  <c r="R61" i="12" s="1"/>
  <c r="Y541" i="25" s="1"/>
  <c r="S61" i="12" a="1"/>
  <c r="S61" i="12" s="1"/>
  <c r="Z541" i="25" s="1"/>
  <c r="Q61" i="12" a="1"/>
  <c r="Q61" i="12" s="1"/>
  <c r="X541" i="25" s="1"/>
  <c r="V61" i="12" a="1"/>
  <c r="V61" i="12" s="1"/>
  <c r="AC541" i="25" s="1"/>
  <c r="O61" i="12" a="1"/>
  <c r="O61" i="12" s="1"/>
  <c r="V541" i="25" s="1"/>
  <c r="P61" i="12" a="1"/>
  <c r="P61" i="12" s="1"/>
  <c r="W541" i="25" s="1"/>
  <c r="Q74" i="12" a="1"/>
  <c r="Q74" i="12" s="1"/>
  <c r="X554" i="25" s="1"/>
  <c r="P74" i="12" a="1"/>
  <c r="P74" i="12" s="1"/>
  <c r="W554" i="25" s="1"/>
  <c r="R74" i="12" a="1"/>
  <c r="R74" i="12" s="1"/>
  <c r="Y554" i="25" s="1"/>
  <c r="V74" i="12" a="1"/>
  <c r="V74" i="12" s="1"/>
  <c r="AC554" i="25" s="1"/>
  <c r="S74" i="12" a="1"/>
  <c r="S74" i="12" s="1"/>
  <c r="Z554" i="25" s="1"/>
  <c r="O74" i="12" a="1"/>
  <c r="O74" i="12" s="1"/>
  <c r="V554" i="25" s="1"/>
  <c r="P66" i="12" a="1"/>
  <c r="P66" i="12" s="1"/>
  <c r="W546" i="25" s="1"/>
  <c r="V66" i="12" a="1"/>
  <c r="V66" i="12" s="1"/>
  <c r="AC546" i="25" s="1"/>
  <c r="Q66" i="12" a="1"/>
  <c r="Q66" i="12" s="1"/>
  <c r="X546" i="25" s="1"/>
  <c r="S66" i="12" a="1"/>
  <c r="S66" i="12" s="1"/>
  <c r="Z546" i="25" s="1"/>
  <c r="O66" i="12" a="1"/>
  <c r="O66" i="12" s="1"/>
  <c r="V546" i="25" s="1"/>
  <c r="R66" i="12" a="1"/>
  <c r="R66" i="12" s="1"/>
  <c r="Y546" i="25" s="1"/>
  <c r="P76" i="12" a="1"/>
  <c r="P76" i="12" s="1"/>
  <c r="W556" i="25" s="1"/>
  <c r="V76" i="12" a="1"/>
  <c r="V76" i="12" s="1"/>
  <c r="AC556" i="25" s="1"/>
  <c r="Q76" i="12" a="1"/>
  <c r="Q76" i="12" s="1"/>
  <c r="X556" i="25" s="1"/>
  <c r="S76" i="12" a="1"/>
  <c r="S76" i="12" s="1"/>
  <c r="Z556" i="25" s="1"/>
  <c r="O76" i="12" a="1"/>
  <c r="O76" i="12" s="1"/>
  <c r="V556" i="25" s="1"/>
  <c r="R76" i="12" a="1"/>
  <c r="R76" i="12" s="1"/>
  <c r="Y556" i="25" s="1"/>
  <c r="O68" i="12" a="1"/>
  <c r="O68" i="12" s="1"/>
  <c r="V548" i="25" s="1"/>
  <c r="V68" i="12" a="1"/>
  <c r="V68" i="12" s="1"/>
  <c r="AC548" i="25" s="1"/>
  <c r="S68" i="12" a="1"/>
  <c r="S68" i="12" s="1"/>
  <c r="Z548" i="25" s="1"/>
  <c r="P68" i="12" a="1"/>
  <c r="P68" i="12" s="1"/>
  <c r="W548" i="25" s="1"/>
  <c r="Q68" i="12" a="1"/>
  <c r="Q68" i="12" s="1"/>
  <c r="X548" i="25" s="1"/>
  <c r="R68" i="12" a="1"/>
  <c r="R68" i="12" s="1"/>
  <c r="Y548" i="25" s="1"/>
  <c r="V84" i="12" a="1"/>
  <c r="V84" i="12" s="1"/>
  <c r="AC561" i="25" s="1"/>
  <c r="O84" i="12" a="1"/>
  <c r="O84" i="12" s="1"/>
  <c r="V561" i="25" s="1"/>
  <c r="O89" i="12" a="1"/>
  <c r="O89" i="12" s="1"/>
  <c r="V566" i="25" s="1"/>
  <c r="O98" i="12" a="1"/>
  <c r="O98" i="12" s="1"/>
  <c r="V575" i="25" s="1"/>
  <c r="Q84" i="12" a="1"/>
  <c r="Q84" i="12" s="1"/>
  <c r="X561" i="25" s="1"/>
  <c r="O99" i="12" a="1"/>
  <c r="O99" i="12" s="1"/>
  <c r="V576" i="25" s="1"/>
  <c r="O91" i="12" a="1"/>
  <c r="O91" i="12" s="1"/>
  <c r="V568" i="25" s="1"/>
  <c r="O96" i="12" a="1"/>
  <c r="O96" i="12" s="1"/>
  <c r="V573" i="25" s="1"/>
  <c r="O102" i="12" a="1"/>
  <c r="O102" i="12" s="1"/>
  <c r="V579" i="25" s="1"/>
  <c r="O85" i="12" a="1"/>
  <c r="O85" i="12" s="1"/>
  <c r="V562" i="25" s="1"/>
  <c r="O94" i="12" a="1"/>
  <c r="O94" i="12" s="1"/>
  <c r="V571" i="25" s="1"/>
  <c r="O103" i="12" a="1"/>
  <c r="O103" i="12" s="1"/>
  <c r="V580" i="25" s="1"/>
  <c r="O90" i="12" a="1"/>
  <c r="O90" i="12" s="1"/>
  <c r="V567" i="25" s="1"/>
  <c r="R84" i="12" a="1"/>
  <c r="R84" i="12" s="1"/>
  <c r="Y561" i="25" s="1"/>
  <c r="O100" i="12" a="1"/>
  <c r="O100" i="12" s="1"/>
  <c r="V577" i="25" s="1"/>
  <c r="P84" i="12" a="1"/>
  <c r="P84" i="12" s="1"/>
  <c r="W561" i="25" s="1"/>
  <c r="O104" i="12" a="1"/>
  <c r="O104" i="12" s="1"/>
  <c r="V581" i="25" s="1"/>
  <c r="O101" i="12" a="1"/>
  <c r="O101" i="12" s="1"/>
  <c r="V578" i="25" s="1"/>
  <c r="O88" i="12" a="1"/>
  <c r="O88" i="12" s="1"/>
  <c r="V565" i="25" s="1"/>
  <c r="O86" i="12" a="1"/>
  <c r="O86" i="12" s="1"/>
  <c r="V563" i="25" s="1"/>
  <c r="O95" i="12" a="1"/>
  <c r="O95" i="12" s="1"/>
  <c r="V572" i="25" s="1"/>
  <c r="O105" i="12" a="1"/>
  <c r="O105" i="12" s="1"/>
  <c r="V582" i="25" s="1"/>
  <c r="O87" i="12" a="1"/>
  <c r="O87" i="12" s="1"/>
  <c r="V564" i="25" s="1"/>
  <c r="S84" i="12" a="1"/>
  <c r="S84" i="12" s="1"/>
  <c r="Z561" i="25" s="1"/>
  <c r="O92" i="12" a="1"/>
  <c r="O92" i="12" s="1"/>
  <c r="V569" i="25" s="1"/>
  <c r="O97" i="12" a="1"/>
  <c r="O97" i="12" s="1"/>
  <c r="V574" i="25" s="1"/>
  <c r="O93" i="12" a="1"/>
  <c r="O93" i="12" s="1"/>
  <c r="V570" i="25" s="1"/>
  <c r="R60" i="12" a="1"/>
  <c r="R60" i="12" s="1"/>
  <c r="Y540" i="25" s="1"/>
  <c r="S60" i="12" a="1"/>
  <c r="S60" i="12" s="1"/>
  <c r="Z540" i="25" s="1"/>
  <c r="O60" i="12" a="1"/>
  <c r="O60" i="12" s="1"/>
  <c r="V540" i="25" s="1"/>
  <c r="P60" i="12" a="1"/>
  <c r="P60" i="12" s="1"/>
  <c r="W540" i="25" s="1"/>
  <c r="Q60" i="12" a="1"/>
  <c r="Q60" i="12" s="1"/>
  <c r="X540" i="25" s="1"/>
  <c r="L34" i="12"/>
  <c r="S518" i="25" s="1"/>
  <c r="AF518" i="25" s="1"/>
  <c r="V34" i="12" a="1"/>
  <c r="V34" i="12" s="1"/>
  <c r="AC518" i="25" s="1"/>
  <c r="P34" i="12" a="1"/>
  <c r="P34" i="12" s="1"/>
  <c r="W518" i="25" s="1"/>
  <c r="Q34" i="12" a="1"/>
  <c r="Q34" i="12" s="1"/>
  <c r="X518" i="25" s="1"/>
  <c r="S34" i="12" a="1"/>
  <c r="S34" i="12" s="1"/>
  <c r="Z518" i="25" s="1"/>
  <c r="O34" i="12" a="1"/>
  <c r="O34" i="12" s="1"/>
  <c r="V518" i="25" s="1"/>
  <c r="R34" i="12" a="1"/>
  <c r="R34" i="12" s="1"/>
  <c r="Y518" i="25" s="1"/>
  <c r="L18" i="12"/>
  <c r="S502" i="25" s="1"/>
  <c r="AF502" i="25" s="1"/>
  <c r="R18" i="12" a="1"/>
  <c r="R18" i="12" s="1"/>
  <c r="Y502" i="25" s="1"/>
  <c r="O18" i="12" a="1"/>
  <c r="O18" i="12" s="1"/>
  <c r="V502" i="25" s="1"/>
  <c r="V18" i="12" a="1"/>
  <c r="V18" i="12" s="1"/>
  <c r="AC502" i="25" s="1"/>
  <c r="S18" i="12" a="1"/>
  <c r="S18" i="12" s="1"/>
  <c r="Z502" i="25" s="1"/>
  <c r="Q18" i="12" a="1"/>
  <c r="Q18" i="12" s="1"/>
  <c r="X502" i="25" s="1"/>
  <c r="P18" i="12" a="1"/>
  <c r="P18" i="12" s="1"/>
  <c r="W502" i="25" s="1"/>
  <c r="L46" i="12"/>
  <c r="S530" i="25" s="1"/>
  <c r="AF530" i="25" s="1"/>
  <c r="O46" i="12" a="1"/>
  <c r="O46" i="12" s="1"/>
  <c r="V530" i="25" s="1"/>
  <c r="P46" i="12" a="1"/>
  <c r="P46" i="12" s="1"/>
  <c r="W530" i="25" s="1"/>
  <c r="V46" i="12" a="1"/>
  <c r="V46" i="12" s="1"/>
  <c r="AC530" i="25" s="1"/>
  <c r="R46" i="12" a="1"/>
  <c r="R46" i="12" s="1"/>
  <c r="Y530" i="25" s="1"/>
  <c r="Q46" i="12" a="1"/>
  <c r="Q46" i="12" s="1"/>
  <c r="X530" i="25" s="1"/>
  <c r="S46" i="12" a="1"/>
  <c r="S46" i="12" s="1"/>
  <c r="Z530" i="25" s="1"/>
  <c r="L30" i="12"/>
  <c r="S514" i="25" s="1"/>
  <c r="AF514" i="25" s="1"/>
  <c r="Q30" i="12" a="1"/>
  <c r="Q30" i="12" s="1"/>
  <c r="X514" i="25" s="1"/>
  <c r="S30" i="12" a="1"/>
  <c r="S30" i="12" s="1"/>
  <c r="Z514" i="25" s="1"/>
  <c r="V30" i="12" a="1"/>
  <c r="V30" i="12" s="1"/>
  <c r="AC514" i="25" s="1"/>
  <c r="R30" i="12" a="1"/>
  <c r="R30" i="12" s="1"/>
  <c r="Y514" i="25" s="1"/>
  <c r="P30" i="12" a="1"/>
  <c r="P30" i="12" s="1"/>
  <c r="W514" i="25" s="1"/>
  <c r="O30" i="12" a="1"/>
  <c r="O30" i="12" s="1"/>
  <c r="V514" i="25" s="1"/>
  <c r="L22" i="12"/>
  <c r="S506" i="25" s="1"/>
  <c r="AF506" i="25" s="1"/>
  <c r="P22" i="12" a="1"/>
  <c r="P22" i="12" s="1"/>
  <c r="W506" i="25" s="1"/>
  <c r="V22" i="12" a="1"/>
  <c r="V22" i="12" s="1"/>
  <c r="AC506" i="25" s="1"/>
  <c r="Q22" i="12" a="1"/>
  <c r="Q22" i="12" s="1"/>
  <c r="X506" i="25" s="1"/>
  <c r="O22" i="12" a="1"/>
  <c r="O22" i="12" s="1"/>
  <c r="V506" i="25" s="1"/>
  <c r="R22" i="12" a="1"/>
  <c r="R22" i="12" s="1"/>
  <c r="Y506" i="25" s="1"/>
  <c r="S22" i="12" a="1"/>
  <c r="S22" i="12" s="1"/>
  <c r="Z506" i="25" s="1"/>
  <c r="L14" i="12"/>
  <c r="S498" i="25" s="1"/>
  <c r="AF498" i="25" s="1"/>
  <c r="O14" i="12" a="1"/>
  <c r="O14" i="12" s="1"/>
  <c r="V498" i="25" s="1"/>
  <c r="V14" i="12" a="1"/>
  <c r="V14" i="12" s="1"/>
  <c r="AC498" i="25" s="1"/>
  <c r="P14" i="12" a="1"/>
  <c r="P14" i="12" s="1"/>
  <c r="W498" i="25" s="1"/>
  <c r="R14" i="12" a="1"/>
  <c r="R14" i="12" s="1"/>
  <c r="Y498" i="25" s="1"/>
  <c r="S14" i="12" a="1"/>
  <c r="S14" i="12" s="1"/>
  <c r="Z498" i="25" s="1"/>
  <c r="Q14" i="12" a="1"/>
  <c r="Q14" i="12" s="1"/>
  <c r="X498" i="25" s="1"/>
  <c r="L43" i="12"/>
  <c r="S527" i="25" s="1"/>
  <c r="AF527" i="25" s="1"/>
  <c r="P43" i="12" a="1"/>
  <c r="P43" i="12" s="1"/>
  <c r="W527" i="25" s="1"/>
  <c r="V43" i="12" a="1"/>
  <c r="V43" i="12" s="1"/>
  <c r="AC527" i="25" s="1"/>
  <c r="R43" i="12" a="1"/>
  <c r="R43" i="12" s="1"/>
  <c r="Y527" i="25" s="1"/>
  <c r="Q43" i="12" a="1"/>
  <c r="Q43" i="12" s="1"/>
  <c r="X527" i="25" s="1"/>
  <c r="O43" i="12" a="1"/>
  <c r="O43" i="12" s="1"/>
  <c r="V527" i="25" s="1"/>
  <c r="S43" i="12" a="1"/>
  <c r="S43" i="12" s="1"/>
  <c r="Z527" i="25" s="1"/>
  <c r="L35" i="12"/>
  <c r="S519" i="25" s="1"/>
  <c r="AF519" i="25" s="1"/>
  <c r="O35" i="12" a="1"/>
  <c r="O35" i="12" s="1"/>
  <c r="V519" i="25" s="1"/>
  <c r="V35" i="12" a="1"/>
  <c r="V35" i="12" s="1"/>
  <c r="AC519" i="25" s="1"/>
  <c r="P35" i="12" a="1"/>
  <c r="P35" i="12" s="1"/>
  <c r="W519" i="25" s="1"/>
  <c r="S35" i="12" a="1"/>
  <c r="S35" i="12" s="1"/>
  <c r="Z519" i="25" s="1"/>
  <c r="R35" i="12" a="1"/>
  <c r="R35" i="12" s="1"/>
  <c r="Y519" i="25" s="1"/>
  <c r="Q35" i="12" a="1"/>
  <c r="Q35" i="12" s="1"/>
  <c r="X519" i="25" s="1"/>
  <c r="L27" i="12"/>
  <c r="S511" i="25" s="1"/>
  <c r="AF511" i="25" s="1"/>
  <c r="V27" i="12" a="1"/>
  <c r="V27" i="12" s="1"/>
  <c r="AC511" i="25" s="1"/>
  <c r="S27" i="12" a="1"/>
  <c r="S27" i="12" s="1"/>
  <c r="Z511" i="25" s="1"/>
  <c r="O27" i="12" a="1"/>
  <c r="O27" i="12" s="1"/>
  <c r="V511" i="25" s="1"/>
  <c r="Q27" i="12" a="1"/>
  <c r="Q27" i="12" s="1"/>
  <c r="X511" i="25" s="1"/>
  <c r="R27" i="12" a="1"/>
  <c r="R27" i="12" s="1"/>
  <c r="Y511" i="25" s="1"/>
  <c r="P27" i="12" a="1"/>
  <c r="P27" i="12" s="1"/>
  <c r="W511" i="25" s="1"/>
  <c r="L19" i="12"/>
  <c r="S503" i="25" s="1"/>
  <c r="AF503" i="25" s="1"/>
  <c r="Q19" i="12" a="1"/>
  <c r="Q19" i="12" s="1"/>
  <c r="X503" i="25" s="1"/>
  <c r="S19" i="12" a="1"/>
  <c r="S19" i="12" s="1"/>
  <c r="Z503" i="25" s="1"/>
  <c r="R19" i="12" a="1"/>
  <c r="R19" i="12" s="1"/>
  <c r="Y503" i="25" s="1"/>
  <c r="V19" i="12" a="1"/>
  <c r="V19" i="12" s="1"/>
  <c r="AC503" i="25" s="1"/>
  <c r="P19" i="12" a="1"/>
  <c r="P19" i="12" s="1"/>
  <c r="W503" i="25" s="1"/>
  <c r="O19" i="12" a="1"/>
  <c r="O19" i="12" s="1"/>
  <c r="V503" i="25" s="1"/>
  <c r="L11" i="12"/>
  <c r="S495" i="25" s="1"/>
  <c r="AF495" i="25" s="1"/>
  <c r="P11" i="12" a="1"/>
  <c r="P11" i="12" s="1"/>
  <c r="W495" i="25" s="1"/>
  <c r="V11" i="12" a="1"/>
  <c r="V11" i="12" s="1"/>
  <c r="AC495" i="25" s="1"/>
  <c r="R11" i="12" a="1"/>
  <c r="R11" i="12" s="1"/>
  <c r="Y495" i="25" s="1"/>
  <c r="Q11" i="12" a="1"/>
  <c r="Q11" i="12" s="1"/>
  <c r="X495" i="25" s="1"/>
  <c r="O11" i="12" a="1"/>
  <c r="O11" i="12" s="1"/>
  <c r="V495" i="25" s="1"/>
  <c r="S11" i="12" a="1"/>
  <c r="S11" i="12" s="1"/>
  <c r="Z495" i="25" s="1"/>
  <c r="L42" i="12"/>
  <c r="S526" i="25" s="1"/>
  <c r="AF526" i="25" s="1"/>
  <c r="R42" i="12" a="1"/>
  <c r="R42" i="12" s="1"/>
  <c r="Y526" i="25" s="1"/>
  <c r="Q42" i="12" a="1"/>
  <c r="Q42" i="12" s="1"/>
  <c r="X526" i="25" s="1"/>
  <c r="V42" i="12" a="1"/>
  <c r="V42" i="12" s="1"/>
  <c r="AC526" i="25" s="1"/>
  <c r="P42" i="12" a="1"/>
  <c r="P42" i="12" s="1"/>
  <c r="W526" i="25" s="1"/>
  <c r="O42" i="12" a="1"/>
  <c r="O42" i="12" s="1"/>
  <c r="V526" i="25" s="1"/>
  <c r="S42" i="12" a="1"/>
  <c r="S42" i="12" s="1"/>
  <c r="Z526" i="25" s="1"/>
  <c r="L47" i="12"/>
  <c r="S531" i="25" s="1"/>
  <c r="AF531" i="25" s="1"/>
  <c r="V47" i="12" a="1"/>
  <c r="V47" i="12" s="1"/>
  <c r="AC531" i="25" s="1"/>
  <c r="S47" i="12" a="1"/>
  <c r="S47" i="12" s="1"/>
  <c r="Z531" i="25" s="1"/>
  <c r="O47" i="12" a="1"/>
  <c r="O47" i="12" s="1"/>
  <c r="V531" i="25" s="1"/>
  <c r="P47" i="12" a="1"/>
  <c r="P47" i="12" s="1"/>
  <c r="W531" i="25" s="1"/>
  <c r="R47" i="12" a="1"/>
  <c r="R47" i="12" s="1"/>
  <c r="Y531" i="25" s="1"/>
  <c r="Q47" i="12" a="1"/>
  <c r="Q47" i="12" s="1"/>
  <c r="X531" i="25" s="1"/>
  <c r="L38" i="12"/>
  <c r="S522" i="25" s="1"/>
  <c r="AF522" i="25" s="1"/>
  <c r="V38" i="12" a="1"/>
  <c r="V38" i="12" s="1"/>
  <c r="AC522" i="25" s="1"/>
  <c r="R38" i="12" a="1"/>
  <c r="R38" i="12" s="1"/>
  <c r="Y522" i="25" s="1"/>
  <c r="S38" i="12" a="1"/>
  <c r="S38" i="12" s="1"/>
  <c r="Z522" i="25" s="1"/>
  <c r="O38" i="12" a="1"/>
  <c r="O38" i="12" s="1"/>
  <c r="V522" i="25" s="1"/>
  <c r="Q38" i="12" a="1"/>
  <c r="Q38" i="12" s="1"/>
  <c r="X522" i="25" s="1"/>
  <c r="P38" i="12" a="1"/>
  <c r="P38" i="12" s="1"/>
  <c r="W522" i="25" s="1"/>
  <c r="L48" i="12"/>
  <c r="S532" i="25" s="1"/>
  <c r="AF532" i="25" s="1"/>
  <c r="S48" i="12" a="1"/>
  <c r="S48" i="12" s="1"/>
  <c r="Z532" i="25" s="1"/>
  <c r="V48" i="12" a="1"/>
  <c r="V48" i="12" s="1"/>
  <c r="AC532" i="25" s="1"/>
  <c r="O48" i="12" a="1"/>
  <c r="O48" i="12" s="1"/>
  <c r="V532" i="25" s="1"/>
  <c r="P48" i="12" a="1"/>
  <c r="P48" i="12" s="1"/>
  <c r="W532" i="25" s="1"/>
  <c r="Q48" i="12" a="1"/>
  <c r="Q48" i="12" s="1"/>
  <c r="X532" i="25" s="1"/>
  <c r="R48" i="12" a="1"/>
  <c r="R48" i="12" s="1"/>
  <c r="Y532" i="25" s="1"/>
  <c r="L40" i="12"/>
  <c r="S524" i="25" s="1"/>
  <c r="AF524" i="25" s="1"/>
  <c r="R40" i="12" a="1"/>
  <c r="R40" i="12" s="1"/>
  <c r="Y524" i="25" s="1"/>
  <c r="S40" i="12" a="1"/>
  <c r="S40" i="12" s="1"/>
  <c r="Z524" i="25" s="1"/>
  <c r="P40" i="12" a="1"/>
  <c r="P40" i="12" s="1"/>
  <c r="W524" i="25" s="1"/>
  <c r="Q40" i="12" a="1"/>
  <c r="Q40" i="12" s="1"/>
  <c r="X524" i="25" s="1"/>
  <c r="V40" i="12" a="1"/>
  <c r="V40" i="12" s="1"/>
  <c r="AC524" i="25" s="1"/>
  <c r="O40" i="12" a="1"/>
  <c r="O40" i="12" s="1"/>
  <c r="V524" i="25" s="1"/>
  <c r="L32" i="12"/>
  <c r="S516" i="25" s="1"/>
  <c r="AF516" i="25" s="1"/>
  <c r="P32" i="12" a="1"/>
  <c r="P32" i="12" s="1"/>
  <c r="W516" i="25" s="1"/>
  <c r="Q32" i="12" a="1"/>
  <c r="Q32" i="12" s="1"/>
  <c r="X516" i="25" s="1"/>
  <c r="R32" i="12" a="1"/>
  <c r="R32" i="12" s="1"/>
  <c r="Y516" i="25" s="1"/>
  <c r="V32" i="12" a="1"/>
  <c r="V32" i="12" s="1"/>
  <c r="AC516" i="25" s="1"/>
  <c r="O32" i="12" a="1"/>
  <c r="O32" i="12" s="1"/>
  <c r="V516" i="25" s="1"/>
  <c r="S32" i="12" a="1"/>
  <c r="S32" i="12" s="1"/>
  <c r="Z516" i="25" s="1"/>
  <c r="L24" i="12"/>
  <c r="S508" i="25" s="1"/>
  <c r="AF508" i="25" s="1"/>
  <c r="O24" i="12" a="1"/>
  <c r="O24" i="12" s="1"/>
  <c r="V508" i="25" s="1"/>
  <c r="Q24" i="12" a="1"/>
  <c r="Q24" i="12" s="1"/>
  <c r="X508" i="25" s="1"/>
  <c r="P24" i="12" a="1"/>
  <c r="P24" i="12" s="1"/>
  <c r="W508" i="25" s="1"/>
  <c r="V24" i="12" a="1"/>
  <c r="V24" i="12" s="1"/>
  <c r="AC508" i="25" s="1"/>
  <c r="S24" i="12" a="1"/>
  <c r="S24" i="12" s="1"/>
  <c r="Z508" i="25" s="1"/>
  <c r="R24" i="12" a="1"/>
  <c r="R24" i="12" s="1"/>
  <c r="Y508" i="25" s="1"/>
  <c r="L16" i="12"/>
  <c r="S500" i="25" s="1"/>
  <c r="AF500" i="25" s="1"/>
  <c r="S16" i="12" a="1"/>
  <c r="S16" i="12" s="1"/>
  <c r="Z500" i="25" s="1"/>
  <c r="O16" i="12" a="1"/>
  <c r="O16" i="12" s="1"/>
  <c r="V500" i="25" s="1"/>
  <c r="V16" i="12" a="1"/>
  <c r="V16" i="12" s="1"/>
  <c r="AC500" i="25" s="1"/>
  <c r="R16" i="12" a="1"/>
  <c r="R16" i="12" s="1"/>
  <c r="Y500" i="25" s="1"/>
  <c r="P16" i="12" a="1"/>
  <c r="P16" i="12" s="1"/>
  <c r="W500" i="25" s="1"/>
  <c r="Q16" i="12" a="1"/>
  <c r="Q16" i="12" s="1"/>
  <c r="X500" i="25" s="1"/>
  <c r="L45" i="12"/>
  <c r="S529" i="25" s="1"/>
  <c r="AF529" i="25" s="1"/>
  <c r="O45" i="12" a="1"/>
  <c r="O45" i="12" s="1"/>
  <c r="V529" i="25" s="1"/>
  <c r="P45" i="12" a="1"/>
  <c r="P45" i="12" s="1"/>
  <c r="W529" i="25" s="1"/>
  <c r="Q45" i="12" a="1"/>
  <c r="Q45" i="12" s="1"/>
  <c r="X529" i="25" s="1"/>
  <c r="R45" i="12" a="1"/>
  <c r="R45" i="12" s="1"/>
  <c r="Y529" i="25" s="1"/>
  <c r="S45" i="12" a="1"/>
  <c r="S45" i="12" s="1"/>
  <c r="Z529" i="25" s="1"/>
  <c r="V45" i="12" a="1"/>
  <c r="V45" i="12" s="1"/>
  <c r="AC529" i="25" s="1"/>
  <c r="L37" i="12"/>
  <c r="S521" i="25" s="1"/>
  <c r="AF521" i="25" s="1"/>
  <c r="S37" i="12" a="1"/>
  <c r="S37" i="12" s="1"/>
  <c r="Z521" i="25" s="1"/>
  <c r="P37" i="12" a="1"/>
  <c r="P37" i="12" s="1"/>
  <c r="W521" i="25" s="1"/>
  <c r="O37" i="12" a="1"/>
  <c r="O37" i="12" s="1"/>
  <c r="V521" i="25" s="1"/>
  <c r="R37" i="12" a="1"/>
  <c r="R37" i="12" s="1"/>
  <c r="Y521" i="25" s="1"/>
  <c r="V37" i="12" a="1"/>
  <c r="V37" i="12" s="1"/>
  <c r="AC521" i="25" s="1"/>
  <c r="Q37" i="12" a="1"/>
  <c r="Q37" i="12" s="1"/>
  <c r="X521" i="25" s="1"/>
  <c r="L29" i="12"/>
  <c r="S513" i="25" s="1"/>
  <c r="AF513" i="25" s="1"/>
  <c r="V29" i="12" a="1"/>
  <c r="V29" i="12" s="1"/>
  <c r="AC513" i="25" s="1"/>
  <c r="S29" i="12" a="1"/>
  <c r="S29" i="12" s="1"/>
  <c r="Z513" i="25" s="1"/>
  <c r="R29" i="12" a="1"/>
  <c r="R29" i="12" s="1"/>
  <c r="Y513" i="25" s="1"/>
  <c r="Q29" i="12" a="1"/>
  <c r="Q29" i="12" s="1"/>
  <c r="X513" i="25" s="1"/>
  <c r="P29" i="12" a="1"/>
  <c r="P29" i="12" s="1"/>
  <c r="W513" i="25" s="1"/>
  <c r="O29" i="12" a="1"/>
  <c r="O29" i="12" s="1"/>
  <c r="V513" i="25" s="1"/>
  <c r="L21" i="12"/>
  <c r="S505" i="25" s="1"/>
  <c r="AF505" i="25" s="1"/>
  <c r="V21" i="12" a="1"/>
  <c r="V21" i="12" s="1"/>
  <c r="AC505" i="25" s="1"/>
  <c r="Q21" i="12" a="1"/>
  <c r="Q21" i="12" s="1"/>
  <c r="X505" i="25" s="1"/>
  <c r="R21" i="12" a="1"/>
  <c r="R21" i="12" s="1"/>
  <c r="Y505" i="25" s="1"/>
  <c r="O21" i="12" a="1"/>
  <c r="O21" i="12" s="1"/>
  <c r="V505" i="25" s="1"/>
  <c r="P21" i="12" a="1"/>
  <c r="P21" i="12" s="1"/>
  <c r="W505" i="25" s="1"/>
  <c r="S21" i="12" a="1"/>
  <c r="S21" i="12" s="1"/>
  <c r="Z505" i="25" s="1"/>
  <c r="L13" i="12"/>
  <c r="S497" i="25" s="1"/>
  <c r="AF497" i="25" s="1"/>
  <c r="V13" i="12" a="1"/>
  <c r="V13" i="12" s="1"/>
  <c r="AC497" i="25" s="1"/>
  <c r="O13" i="12" a="1"/>
  <c r="O13" i="12" s="1"/>
  <c r="V497" i="25" s="1"/>
  <c r="Q13" i="12" a="1"/>
  <c r="Q13" i="12" s="1"/>
  <c r="X497" i="25" s="1"/>
  <c r="P13" i="12" a="1"/>
  <c r="P13" i="12" s="1"/>
  <c r="W497" i="25" s="1"/>
  <c r="S13" i="12" a="1"/>
  <c r="S13" i="12" s="1"/>
  <c r="Z497" i="25" s="1"/>
  <c r="R13" i="12" a="1"/>
  <c r="R13" i="12" s="1"/>
  <c r="Y497" i="25" s="1"/>
  <c r="L26" i="12"/>
  <c r="S510" i="25" s="1"/>
  <c r="AF510" i="25" s="1"/>
  <c r="S26" i="12" a="1"/>
  <c r="S26" i="12" s="1"/>
  <c r="Z510" i="25" s="1"/>
  <c r="P26" i="12" a="1"/>
  <c r="P26" i="12" s="1"/>
  <c r="W510" i="25" s="1"/>
  <c r="O26" i="12" a="1"/>
  <c r="O26" i="12" s="1"/>
  <c r="V510" i="25" s="1"/>
  <c r="V26" i="12" a="1"/>
  <c r="V26" i="12" s="1"/>
  <c r="AC510" i="25" s="1"/>
  <c r="R26" i="12" a="1"/>
  <c r="R26" i="12" s="1"/>
  <c r="Y510" i="25" s="1"/>
  <c r="Q26" i="12" a="1"/>
  <c r="Q26" i="12" s="1"/>
  <c r="X510" i="25" s="1"/>
  <c r="L44" i="12"/>
  <c r="S528" i="25" s="1"/>
  <c r="AF528" i="25" s="1"/>
  <c r="P44" i="12" a="1"/>
  <c r="P44" i="12" s="1"/>
  <c r="W528" i="25" s="1"/>
  <c r="V44" i="12" a="1"/>
  <c r="V44" i="12" s="1"/>
  <c r="AC528" i="25" s="1"/>
  <c r="Q44" i="12" a="1"/>
  <c r="Q44" i="12" s="1"/>
  <c r="X528" i="25" s="1"/>
  <c r="S44" i="12" a="1"/>
  <c r="S44" i="12" s="1"/>
  <c r="Z528" i="25" s="1"/>
  <c r="O44" i="12" a="1"/>
  <c r="O44" i="12" s="1"/>
  <c r="V528" i="25" s="1"/>
  <c r="R44" i="12" a="1"/>
  <c r="R44" i="12" s="1"/>
  <c r="Y528" i="25" s="1"/>
  <c r="L36" i="12"/>
  <c r="S520" i="25" s="1"/>
  <c r="AF520" i="25" s="1"/>
  <c r="S36" i="12" a="1"/>
  <c r="S36" i="12" s="1"/>
  <c r="Z520" i="25" s="1"/>
  <c r="P36" i="12" a="1"/>
  <c r="P36" i="12" s="1"/>
  <c r="W520" i="25" s="1"/>
  <c r="O36" i="12" a="1"/>
  <c r="O36" i="12" s="1"/>
  <c r="V520" i="25" s="1"/>
  <c r="R36" i="12" a="1"/>
  <c r="R36" i="12" s="1"/>
  <c r="Y520" i="25" s="1"/>
  <c r="V36" i="12" a="1"/>
  <c r="V36" i="12" s="1"/>
  <c r="AC520" i="25" s="1"/>
  <c r="Q36" i="12" a="1"/>
  <c r="Q36" i="12" s="1"/>
  <c r="X520" i="25" s="1"/>
  <c r="L28" i="12"/>
  <c r="S512" i="25" s="1"/>
  <c r="AF512" i="25" s="1"/>
  <c r="R28" i="12" a="1"/>
  <c r="R28" i="12" s="1"/>
  <c r="Y512" i="25" s="1"/>
  <c r="O28" i="12" a="1"/>
  <c r="O28" i="12" s="1"/>
  <c r="V512" i="25" s="1"/>
  <c r="S28" i="12" a="1"/>
  <c r="S28" i="12" s="1"/>
  <c r="Z512" i="25" s="1"/>
  <c r="V28" i="12" a="1"/>
  <c r="V28" i="12" s="1"/>
  <c r="AC512" i="25" s="1"/>
  <c r="Q28" i="12" a="1"/>
  <c r="Q28" i="12" s="1"/>
  <c r="X512" i="25" s="1"/>
  <c r="P28" i="12" a="1"/>
  <c r="P28" i="12" s="1"/>
  <c r="W512" i="25" s="1"/>
  <c r="L20" i="12"/>
  <c r="S504" i="25" s="1"/>
  <c r="AF504" i="25" s="1"/>
  <c r="Q20" i="12" a="1"/>
  <c r="Q20" i="12" s="1"/>
  <c r="X504" i="25" s="1"/>
  <c r="R20" i="12" a="1"/>
  <c r="R20" i="12" s="1"/>
  <c r="Y504" i="25" s="1"/>
  <c r="V20" i="12" a="1"/>
  <c r="V20" i="12" s="1"/>
  <c r="AC504" i="25" s="1"/>
  <c r="P20" i="12" a="1"/>
  <c r="P20" i="12" s="1"/>
  <c r="W504" i="25" s="1"/>
  <c r="S20" i="12" a="1"/>
  <c r="S20" i="12" s="1"/>
  <c r="Z504" i="25" s="1"/>
  <c r="O20" i="12" a="1"/>
  <c r="O20" i="12" s="1"/>
  <c r="V504" i="25" s="1"/>
  <c r="L12" i="12"/>
  <c r="S496" i="25" s="1"/>
  <c r="AF496" i="25" s="1"/>
  <c r="P12" i="12" a="1"/>
  <c r="P12" i="12" s="1"/>
  <c r="W496" i="25" s="1"/>
  <c r="Q12" i="12" a="1"/>
  <c r="Q12" i="12" s="1"/>
  <c r="X496" i="25" s="1"/>
  <c r="V12" i="12" a="1"/>
  <c r="V12" i="12" s="1"/>
  <c r="AC496" i="25" s="1"/>
  <c r="S12" i="12" a="1"/>
  <c r="S12" i="12" s="1"/>
  <c r="Z496" i="25" s="1"/>
  <c r="O12" i="12" a="1"/>
  <c r="O12" i="12" s="1"/>
  <c r="V496" i="25" s="1"/>
  <c r="R12" i="12" a="1"/>
  <c r="R12" i="12" s="1"/>
  <c r="Y496" i="25" s="1"/>
  <c r="L39" i="12"/>
  <c r="S523" i="25" s="1"/>
  <c r="AF523" i="25" s="1"/>
  <c r="R39" i="12" a="1"/>
  <c r="R39" i="12" s="1"/>
  <c r="Y523" i="25" s="1"/>
  <c r="O39" i="12" a="1"/>
  <c r="O39" i="12" s="1"/>
  <c r="V523" i="25" s="1"/>
  <c r="V39" i="12" a="1"/>
  <c r="V39" i="12" s="1"/>
  <c r="AC523" i="25" s="1"/>
  <c r="S39" i="12" a="1"/>
  <c r="S39" i="12" s="1"/>
  <c r="Z523" i="25" s="1"/>
  <c r="Q39" i="12" a="1"/>
  <c r="Q39" i="12" s="1"/>
  <c r="X523" i="25" s="1"/>
  <c r="P39" i="12" a="1"/>
  <c r="P39" i="12" s="1"/>
  <c r="W523" i="25" s="1"/>
  <c r="L31" i="12"/>
  <c r="S515" i="25" s="1"/>
  <c r="AF515" i="25" s="1"/>
  <c r="Q31" i="12" a="1"/>
  <c r="Q31" i="12" s="1"/>
  <c r="X515" i="25" s="1"/>
  <c r="R31" i="12" a="1"/>
  <c r="R31" i="12" s="1"/>
  <c r="Y515" i="25" s="1"/>
  <c r="V31" i="12" a="1"/>
  <c r="V31" i="12" s="1"/>
  <c r="AC515" i="25" s="1"/>
  <c r="P31" i="12" a="1"/>
  <c r="P31" i="12" s="1"/>
  <c r="W515" i="25" s="1"/>
  <c r="O31" i="12" a="1"/>
  <c r="O31" i="12" s="1"/>
  <c r="V515" i="25" s="1"/>
  <c r="S31" i="12" a="1"/>
  <c r="S31" i="12" s="1"/>
  <c r="Z515" i="25" s="1"/>
  <c r="L23" i="12"/>
  <c r="S507" i="25" s="1"/>
  <c r="AF507" i="25" s="1"/>
  <c r="Q23" i="12" a="1"/>
  <c r="Q23" i="12" s="1"/>
  <c r="X507" i="25" s="1"/>
  <c r="P23" i="12" a="1"/>
  <c r="P23" i="12" s="1"/>
  <c r="W507" i="25" s="1"/>
  <c r="S23" i="12" a="1"/>
  <c r="S23" i="12" s="1"/>
  <c r="Z507" i="25" s="1"/>
  <c r="O23" i="12" a="1"/>
  <c r="O23" i="12" s="1"/>
  <c r="V507" i="25" s="1"/>
  <c r="V23" i="12" a="1"/>
  <c r="V23" i="12" s="1"/>
  <c r="AC507" i="25" s="1"/>
  <c r="R23" i="12" a="1"/>
  <c r="R23" i="12" s="1"/>
  <c r="Y507" i="25" s="1"/>
  <c r="L15" i="12"/>
  <c r="S499" i="25" s="1"/>
  <c r="AF499" i="25" s="1"/>
  <c r="S15" i="12" a="1"/>
  <c r="S15" i="12" s="1"/>
  <c r="Z499" i="25" s="1"/>
  <c r="O15" i="12" a="1"/>
  <c r="O15" i="12" s="1"/>
  <c r="V499" i="25" s="1"/>
  <c r="P15" i="12" a="1"/>
  <c r="P15" i="12" s="1"/>
  <c r="W499" i="25" s="1"/>
  <c r="V15" i="12" a="1"/>
  <c r="V15" i="12" s="1"/>
  <c r="AC499" i="25" s="1"/>
  <c r="R15" i="12" a="1"/>
  <c r="R15" i="12" s="1"/>
  <c r="Y499" i="25" s="1"/>
  <c r="Q15" i="12" a="1"/>
  <c r="Q15" i="12" s="1"/>
  <c r="X499" i="25" s="1"/>
  <c r="L41" i="12"/>
  <c r="S525" i="25" s="1"/>
  <c r="AF525" i="25" s="1"/>
  <c r="Q41" i="12" a="1"/>
  <c r="Q41" i="12" s="1"/>
  <c r="X525" i="25" s="1"/>
  <c r="R41" i="12" a="1"/>
  <c r="R41" i="12" s="1"/>
  <c r="Y525" i="25" s="1"/>
  <c r="V41" i="12" a="1"/>
  <c r="V41" i="12" s="1"/>
  <c r="AC525" i="25" s="1"/>
  <c r="P41" i="12" a="1"/>
  <c r="P41" i="12" s="1"/>
  <c r="W525" i="25" s="1"/>
  <c r="O41" i="12" a="1"/>
  <c r="O41" i="12" s="1"/>
  <c r="V525" i="25" s="1"/>
  <c r="S41" i="12" a="1"/>
  <c r="S41" i="12" s="1"/>
  <c r="Z525" i="25" s="1"/>
  <c r="L33" i="12"/>
  <c r="S517" i="25" s="1"/>
  <c r="AF517" i="25" s="1"/>
  <c r="V33" i="12" a="1"/>
  <c r="V33" i="12" s="1"/>
  <c r="AC517" i="25" s="1"/>
  <c r="P33" i="12" a="1"/>
  <c r="P33" i="12" s="1"/>
  <c r="W517" i="25" s="1"/>
  <c r="Q33" i="12" a="1"/>
  <c r="Q33" i="12" s="1"/>
  <c r="X517" i="25" s="1"/>
  <c r="S33" i="12" a="1"/>
  <c r="S33" i="12" s="1"/>
  <c r="Z517" i="25" s="1"/>
  <c r="O33" i="12" a="1"/>
  <c r="O33" i="12" s="1"/>
  <c r="V517" i="25" s="1"/>
  <c r="R33" i="12" a="1"/>
  <c r="R33" i="12" s="1"/>
  <c r="Y517" i="25" s="1"/>
  <c r="L25" i="12"/>
  <c r="S509" i="25" s="1"/>
  <c r="AF509" i="25" s="1"/>
  <c r="V25" i="12" a="1"/>
  <c r="V25" i="12" s="1"/>
  <c r="AC509" i="25" s="1"/>
  <c r="S25" i="12" a="1"/>
  <c r="S25" i="12" s="1"/>
  <c r="Z509" i="25" s="1"/>
  <c r="O25" i="12" a="1"/>
  <c r="O25" i="12" s="1"/>
  <c r="V509" i="25" s="1"/>
  <c r="P25" i="12" a="1"/>
  <c r="P25" i="12" s="1"/>
  <c r="W509" i="25" s="1"/>
  <c r="R25" i="12" a="1"/>
  <c r="R25" i="12" s="1"/>
  <c r="Y509" i="25" s="1"/>
  <c r="Q25" i="12" a="1"/>
  <c r="Q25" i="12" s="1"/>
  <c r="X509" i="25" s="1"/>
  <c r="L17" i="12"/>
  <c r="S501" i="25" s="1"/>
  <c r="AF501" i="25" s="1"/>
  <c r="V17" i="12" a="1"/>
  <c r="V17" i="12" s="1"/>
  <c r="AC501" i="25" s="1"/>
  <c r="R17" i="12" a="1"/>
  <c r="R17" i="12" s="1"/>
  <c r="Y501" i="25" s="1"/>
  <c r="O17" i="12" a="1"/>
  <c r="O17" i="12" s="1"/>
  <c r="V501" i="25" s="1"/>
  <c r="S17" i="12" a="1"/>
  <c r="S17" i="12" s="1"/>
  <c r="Z501" i="25" s="1"/>
  <c r="Q17" i="12" a="1"/>
  <c r="Q17" i="12" s="1"/>
  <c r="X501" i="25" s="1"/>
  <c r="P17" i="12" a="1"/>
  <c r="P17" i="12" s="1"/>
  <c r="W501" i="25" s="1"/>
  <c r="O10" i="12" l="1" a="1"/>
  <c r="O10" i="12" s="1"/>
  <c r="V494" i="25" s="1"/>
  <c r="P10" i="12" a="1"/>
  <c r="P10" i="12" s="1"/>
  <c r="W494" i="25" s="1"/>
  <c r="V10" i="12" a="1"/>
  <c r="V10" i="12" s="1"/>
  <c r="AC494" i="25" s="1"/>
  <c r="S10" i="12" a="1"/>
  <c r="S10" i="12" s="1"/>
  <c r="Z494" i="25" s="1"/>
  <c r="Q10" i="12" a="1"/>
  <c r="Q10" i="12" s="1"/>
  <c r="X494" i="25" s="1"/>
  <c r="R10" i="12" a="1"/>
  <c r="R10" i="12" s="1"/>
  <c r="Y494" i="25" s="1"/>
  <c r="P534" i="25"/>
  <c r="P535" i="25"/>
  <c r="P533" i="25"/>
  <c r="P493" i="25"/>
  <c r="P492" i="25"/>
  <c r="R9" i="12" a="1"/>
  <c r="R9" i="12" s="1"/>
  <c r="Y493" i="25" s="1"/>
  <c r="O8" i="12" a="1"/>
  <c r="O8" i="12" s="1"/>
  <c r="V492" i="25" s="1"/>
  <c r="P9" i="12" a="1"/>
  <c r="P9" i="12" s="1"/>
  <c r="W493" i="25" s="1"/>
  <c r="V8" i="12" a="1"/>
  <c r="V8" i="12" s="1"/>
  <c r="AC492" i="25" s="1"/>
  <c r="Q8" i="12" a="1"/>
  <c r="Q8" i="12" s="1"/>
  <c r="X492" i="25" s="1"/>
  <c r="S8" i="12" a="1"/>
  <c r="S8" i="12" s="1"/>
  <c r="Z492" i="25" s="1"/>
  <c r="R8" i="12" a="1"/>
  <c r="R8" i="12" s="1"/>
  <c r="Y492" i="25" s="1"/>
  <c r="P8" i="12" a="1"/>
  <c r="P8" i="12" s="1"/>
  <c r="W492" i="25" s="1"/>
  <c r="Q9" i="12" a="1"/>
  <c r="Q9" i="12" s="1"/>
  <c r="X493" i="25" s="1"/>
  <c r="V9" i="12" a="1"/>
  <c r="V9" i="12" s="1"/>
  <c r="AC493" i="25" s="1"/>
  <c r="S9" i="12" a="1"/>
  <c r="S9" i="12" s="1"/>
  <c r="Z493" i="25" s="1"/>
  <c r="O9" i="12" a="1"/>
  <c r="O9" i="12" s="1"/>
  <c r="V493" i="25" s="1"/>
  <c r="L92" i="12"/>
  <c r="L90" i="12"/>
  <c r="L93" i="12"/>
  <c r="L88" i="12"/>
  <c r="L94" i="12"/>
  <c r="L89" i="12"/>
  <c r="L104" i="12"/>
  <c r="L97" i="12"/>
  <c r="L101" i="12"/>
  <c r="L87" i="12"/>
  <c r="L100" i="12"/>
  <c r="L91" i="12"/>
  <c r="L96" i="12"/>
  <c r="L105" i="12"/>
  <c r="L99" i="12"/>
  <c r="L102" i="12"/>
  <c r="L95" i="12"/>
  <c r="L86" i="12"/>
  <c r="L103" i="12"/>
  <c r="L98" i="12"/>
  <c r="L85" i="12"/>
  <c r="L64" i="12"/>
  <c r="L72" i="12"/>
  <c r="L58" i="12"/>
  <c r="L69" i="12"/>
  <c r="L59" i="12"/>
  <c r="L77" i="12"/>
  <c r="L80" i="12"/>
  <c r="L65" i="12"/>
  <c r="L67" i="12"/>
  <c r="L78" i="12"/>
  <c r="L76" i="12"/>
  <c r="L57" i="12"/>
  <c r="L62" i="12"/>
  <c r="L75" i="12"/>
  <c r="L63" i="12"/>
  <c r="L70" i="12"/>
  <c r="L73" i="12"/>
  <c r="L56" i="12"/>
  <c r="L66" i="12"/>
  <c r="L61" i="12"/>
  <c r="L68" i="12"/>
  <c r="L74" i="12"/>
  <c r="L71" i="12"/>
  <c r="L79" i="12"/>
  <c r="L60" i="12"/>
  <c r="S540" i="25" s="1"/>
  <c r="AF540" i="25" s="1"/>
  <c r="L8" i="12"/>
  <c r="S492" i="25" s="1"/>
  <c r="L84" i="12"/>
  <c r="G133" i="4"/>
  <c r="M123" i="25" s="1"/>
  <c r="G134" i="4"/>
  <c r="M124" i="25" s="1"/>
  <c r="G135" i="4"/>
  <c r="M125" i="25" s="1"/>
  <c r="G136" i="4"/>
  <c r="M126" i="25" s="1"/>
  <c r="G137" i="4"/>
  <c r="M127" i="25" s="1"/>
  <c r="G138" i="4"/>
  <c r="M128" i="25" s="1"/>
  <c r="G139" i="4"/>
  <c r="M129" i="25" s="1"/>
  <c r="G140" i="4"/>
  <c r="M130" i="25" s="1"/>
  <c r="G141" i="4"/>
  <c r="M131" i="25" s="1"/>
  <c r="G142" i="4"/>
  <c r="M132" i="25" s="1"/>
  <c r="G143" i="4"/>
  <c r="M133" i="25" s="1"/>
  <c r="G144" i="4"/>
  <c r="M134" i="25" s="1"/>
  <c r="G145" i="4"/>
  <c r="M135" i="25" s="1"/>
  <c r="G146" i="4"/>
  <c r="M136" i="25" s="1"/>
  <c r="G131" i="4"/>
  <c r="M121" i="25" s="1"/>
  <c r="G132" i="4"/>
  <c r="M122" i="25" s="1"/>
  <c r="G130" i="4"/>
  <c r="M120" i="25" s="1"/>
  <c r="L10" i="12" l="1"/>
  <c r="S494" i="25" s="1"/>
  <c r="AF494" i="25" s="1"/>
  <c r="S553" i="25"/>
  <c r="AF553" i="25" s="1"/>
  <c r="S544" i="25"/>
  <c r="AF544" i="25" s="1"/>
  <c r="S566" i="25"/>
  <c r="AF566" i="25" s="1"/>
  <c r="S551" i="25"/>
  <c r="AF551" i="25" s="1"/>
  <c r="S560" i="25"/>
  <c r="AF560" i="25" s="1"/>
  <c r="S568" i="25"/>
  <c r="AF568" i="25" s="1"/>
  <c r="S565" i="25"/>
  <c r="AF565" i="25" s="1"/>
  <c r="S555" i="25"/>
  <c r="AF555" i="25" s="1"/>
  <c r="S548" i="25"/>
  <c r="AF548" i="25" s="1"/>
  <c r="S542" i="25"/>
  <c r="AF542" i="25" s="1"/>
  <c r="S539" i="25"/>
  <c r="AF539" i="25" s="1"/>
  <c r="S563" i="25"/>
  <c r="AF563" i="25" s="1"/>
  <c r="S564" i="25"/>
  <c r="AF564" i="25" s="1"/>
  <c r="S567" i="25"/>
  <c r="AF567" i="25" s="1"/>
  <c r="S547" i="25"/>
  <c r="AF547" i="25" s="1"/>
  <c r="S582" i="25"/>
  <c r="AF582" i="25" s="1"/>
  <c r="S554" i="25"/>
  <c r="AF554" i="25" s="1"/>
  <c r="S557" i="25"/>
  <c r="AF557" i="25" s="1"/>
  <c r="S580" i="25"/>
  <c r="AF580" i="25" s="1"/>
  <c r="S577" i="25"/>
  <c r="AF577" i="25" s="1"/>
  <c r="S570" i="25"/>
  <c r="AF570" i="25" s="1"/>
  <c r="S541" i="25"/>
  <c r="AF541" i="25" s="1"/>
  <c r="S537" i="25"/>
  <c r="AF537" i="25" s="1"/>
  <c r="S549" i="25"/>
  <c r="AF549" i="25" s="1"/>
  <c r="S572" i="25"/>
  <c r="AF572" i="25" s="1"/>
  <c r="S578" i="25"/>
  <c r="AF578" i="25" s="1"/>
  <c r="S569" i="25"/>
  <c r="AF569" i="25" s="1"/>
  <c r="S559" i="25"/>
  <c r="AF559" i="25" s="1"/>
  <c r="S579" i="25"/>
  <c r="AF579" i="25" s="1"/>
  <c r="S550" i="25"/>
  <c r="AF550" i="25" s="1"/>
  <c r="S545" i="25"/>
  <c r="AF545" i="25" s="1"/>
  <c r="S562" i="25"/>
  <c r="AF562" i="25" s="1"/>
  <c r="S573" i="25"/>
  <c r="AF573" i="25" s="1"/>
  <c r="S571" i="25"/>
  <c r="AF571" i="25" s="1"/>
  <c r="S543" i="25"/>
  <c r="AF543" i="25" s="1"/>
  <c r="S575" i="25"/>
  <c r="AF575" i="25" s="1"/>
  <c r="S546" i="25"/>
  <c r="AF546" i="25" s="1"/>
  <c r="S556" i="25"/>
  <c r="AF556" i="25" s="1"/>
  <c r="S538" i="25"/>
  <c r="AF538" i="25" s="1"/>
  <c r="S574" i="25"/>
  <c r="AF574" i="25" s="1"/>
  <c r="S536" i="25"/>
  <c r="AF536" i="25" s="1"/>
  <c r="S558" i="25"/>
  <c r="AF558" i="25" s="1"/>
  <c r="S552" i="25"/>
  <c r="AF552" i="25" s="1"/>
  <c r="S576" i="25"/>
  <c r="AF576" i="25" s="1"/>
  <c r="S581" i="25"/>
  <c r="AF581" i="25" s="1"/>
  <c r="S561" i="25"/>
  <c r="AF561" i="25" s="1"/>
  <c r="D18" i="26"/>
  <c r="E18" i="26" s="1"/>
  <c r="L9" i="12"/>
  <c r="AF492" i="25"/>
  <c r="I33" i="18"/>
  <c r="V132" i="4"/>
  <c r="AB122" i="25" s="1"/>
  <c r="U132" i="4"/>
  <c r="AA122" i="25" s="1"/>
  <c r="V139" i="4"/>
  <c r="AB129" i="25" s="1"/>
  <c r="U139" i="4"/>
  <c r="AA129" i="25" s="1"/>
  <c r="V145" i="4"/>
  <c r="AB135" i="25" s="1"/>
  <c r="U145" i="4"/>
  <c r="AA135" i="25" s="1"/>
  <c r="V136" i="4"/>
  <c r="AB126" i="25" s="1"/>
  <c r="U136" i="4"/>
  <c r="AA126" i="25" s="1"/>
  <c r="V135" i="4"/>
  <c r="AB125" i="25" s="1"/>
  <c r="U135" i="4"/>
  <c r="AA125" i="25" s="1"/>
  <c r="V140" i="4"/>
  <c r="AB130" i="25" s="1"/>
  <c r="U140" i="4"/>
  <c r="AA130" i="25" s="1"/>
  <c r="U146" i="4"/>
  <c r="AA136" i="25" s="1"/>
  <c r="V146" i="4"/>
  <c r="AB136" i="25" s="1"/>
  <c r="V144" i="4"/>
  <c r="AB134" i="25" s="1"/>
  <c r="U144" i="4"/>
  <c r="AA134" i="25" s="1"/>
  <c r="V143" i="4"/>
  <c r="AB133" i="25" s="1"/>
  <c r="U143" i="4"/>
  <c r="AA133" i="25" s="1"/>
  <c r="V142" i="4"/>
  <c r="AB132" i="25" s="1"/>
  <c r="U142" i="4"/>
  <c r="AA132" i="25" s="1"/>
  <c r="V134" i="4"/>
  <c r="AB124" i="25" s="1"/>
  <c r="U134" i="4"/>
  <c r="AA124" i="25" s="1"/>
  <c r="V131" i="4"/>
  <c r="AB121" i="25" s="1"/>
  <c r="U131" i="4"/>
  <c r="AA121" i="25" s="1"/>
  <c r="V138" i="4"/>
  <c r="AB128" i="25" s="1"/>
  <c r="U138" i="4"/>
  <c r="AA128" i="25" s="1"/>
  <c r="U137" i="4"/>
  <c r="AA127" i="25" s="1"/>
  <c r="V137" i="4"/>
  <c r="AB127" i="25" s="1"/>
  <c r="V141" i="4"/>
  <c r="AB131" i="25" s="1"/>
  <c r="U141" i="4"/>
  <c r="AA131" i="25" s="1"/>
  <c r="U133" i="4"/>
  <c r="AA123" i="25" s="1"/>
  <c r="V133" i="4"/>
  <c r="AB123" i="25" s="1"/>
  <c r="X256" i="25"/>
  <c r="X257" i="25"/>
  <c r="X258" i="25"/>
  <c r="X259" i="25"/>
  <c r="X260" i="25"/>
  <c r="X261" i="25"/>
  <c r="X262" i="25"/>
  <c r="X263" i="25"/>
  <c r="X264" i="25"/>
  <c r="X265" i="25"/>
  <c r="X266" i="25"/>
  <c r="X267" i="25"/>
  <c r="X268" i="25"/>
  <c r="X269" i="25"/>
  <c r="X270" i="25"/>
  <c r="X271" i="25"/>
  <c r="X272" i="25"/>
  <c r="X273" i="25"/>
  <c r="X274" i="25"/>
  <c r="X275" i="25"/>
  <c r="X276" i="25"/>
  <c r="X277" i="25"/>
  <c r="X278" i="25"/>
  <c r="X279" i="25"/>
  <c r="X280" i="25"/>
  <c r="X281" i="25"/>
  <c r="X282" i="25"/>
  <c r="X283" i="25"/>
  <c r="X284" i="25"/>
  <c r="X285" i="25"/>
  <c r="X286" i="25"/>
  <c r="X287" i="25"/>
  <c r="X288" i="25"/>
  <c r="X289" i="25"/>
  <c r="X290" i="25"/>
  <c r="X291" i="25"/>
  <c r="X292" i="25"/>
  <c r="X293" i="25"/>
  <c r="X294" i="25"/>
  <c r="X295" i="25"/>
  <c r="X296" i="25"/>
  <c r="X297" i="25"/>
  <c r="X298" i="25"/>
  <c r="X299" i="25"/>
  <c r="X300" i="25"/>
  <c r="X301" i="25"/>
  <c r="X302" i="25"/>
  <c r="X303" i="25"/>
  <c r="X304" i="25"/>
  <c r="X305" i="25"/>
  <c r="X306" i="25"/>
  <c r="X307" i="25"/>
  <c r="X308" i="25"/>
  <c r="X309" i="25"/>
  <c r="X310" i="25"/>
  <c r="X311" i="25"/>
  <c r="X312" i="25"/>
  <c r="X313" i="25"/>
  <c r="X314" i="25"/>
  <c r="X315" i="25"/>
  <c r="X316" i="25"/>
  <c r="X317" i="25"/>
  <c r="X318" i="25"/>
  <c r="X319" i="25"/>
  <c r="X320" i="25"/>
  <c r="X321" i="25"/>
  <c r="X322" i="25"/>
  <c r="X323" i="25"/>
  <c r="X324" i="25"/>
  <c r="X325" i="25"/>
  <c r="X326" i="25"/>
  <c r="X327" i="25"/>
  <c r="X328" i="25"/>
  <c r="X329" i="25"/>
  <c r="X330" i="25"/>
  <c r="X331" i="25"/>
  <c r="X332" i="25"/>
  <c r="X333" i="25"/>
  <c r="X334" i="25"/>
  <c r="X335" i="25"/>
  <c r="X336" i="25"/>
  <c r="X337" i="25"/>
  <c r="X338" i="25"/>
  <c r="X339" i="25"/>
  <c r="X340" i="25"/>
  <c r="X341" i="25"/>
  <c r="X342" i="25"/>
  <c r="X343" i="25"/>
  <c r="X344" i="25"/>
  <c r="X350" i="25"/>
  <c r="X351" i="25"/>
  <c r="X352" i="25"/>
  <c r="X353" i="25"/>
  <c r="X354" i="25"/>
  <c r="X355" i="25"/>
  <c r="X356" i="25"/>
  <c r="X357" i="25"/>
  <c r="X358" i="25"/>
  <c r="X359" i="25"/>
  <c r="X360" i="25"/>
  <c r="X361" i="25"/>
  <c r="X362" i="25"/>
  <c r="X363" i="25"/>
  <c r="V379" i="17"/>
  <c r="V380" i="17"/>
  <c r="V381" i="17"/>
  <c r="R205" i="17"/>
  <c r="R204" i="17"/>
  <c r="R197" i="17"/>
  <c r="R196" i="17"/>
  <c r="R195" i="17"/>
  <c r="R194" i="17"/>
  <c r="R180" i="17"/>
  <c r="R179" i="17"/>
  <c r="R175" i="17"/>
  <c r="R174" i="17"/>
  <c r="R165" i="17"/>
  <c r="R169" i="17"/>
  <c r="R168" i="17"/>
  <c r="R163" i="17"/>
  <c r="R159" i="17"/>
  <c r="R158" i="17"/>
  <c r="R153" i="17"/>
  <c r="R147" i="17"/>
  <c r="R146" i="17"/>
  <c r="V367" i="17"/>
  <c r="V368" i="17"/>
  <c r="V369" i="17"/>
  <c r="V370" i="17"/>
  <c r="V371" i="17"/>
  <c r="V372" i="17"/>
  <c r="V376" i="17"/>
  <c r="V319" i="17"/>
  <c r="V320" i="17"/>
  <c r="V321" i="17"/>
  <c r="V322" i="17"/>
  <c r="V323" i="17"/>
  <c r="V324" i="17"/>
  <c r="V325" i="17"/>
  <c r="V326" i="17"/>
  <c r="V327" i="17"/>
  <c r="V328" i="17"/>
  <c r="V329" i="17"/>
  <c r="V330" i="17"/>
  <c r="V331" i="17"/>
  <c r="V332" i="17"/>
  <c r="V333" i="17"/>
  <c r="V334" i="17"/>
  <c r="V335" i="17"/>
  <c r="V336" i="17"/>
  <c r="V337" i="17"/>
  <c r="V338" i="17"/>
  <c r="V339" i="17"/>
  <c r="V340" i="17"/>
  <c r="V341" i="17"/>
  <c r="V342" i="17"/>
  <c r="V343" i="17"/>
  <c r="V344" i="17"/>
  <c r="V345" i="17"/>
  <c r="V346" i="17"/>
  <c r="V347" i="17"/>
  <c r="V348" i="17"/>
  <c r="V349" i="17"/>
  <c r="V350" i="17"/>
  <c r="V351" i="17"/>
  <c r="V352" i="17"/>
  <c r="V353" i="17"/>
  <c r="V354" i="17"/>
  <c r="V355" i="17"/>
  <c r="V356" i="17"/>
  <c r="V357" i="17"/>
  <c r="V358" i="17"/>
  <c r="V359" i="17"/>
  <c r="V360" i="17"/>
  <c r="V361" i="17"/>
  <c r="V362" i="17"/>
  <c r="V363" i="17"/>
  <c r="V364" i="17"/>
  <c r="V365" i="17"/>
  <c r="V366" i="17"/>
  <c r="V213" i="17"/>
  <c r="V214" i="17"/>
  <c r="V215" i="17"/>
  <c r="V216" i="17"/>
  <c r="L130" i="4" s="1" a="1"/>
  <c r="L130" i="4" s="1"/>
  <c r="V217" i="17"/>
  <c r="V218" i="17"/>
  <c r="V219" i="17"/>
  <c r="V220" i="17"/>
  <c r="V221" i="17"/>
  <c r="V222" i="17"/>
  <c r="V223" i="17"/>
  <c r="V224" i="17"/>
  <c r="V225" i="17"/>
  <c r="V226" i="17"/>
  <c r="V227" i="17"/>
  <c r="V228" i="17"/>
  <c r="V229" i="17"/>
  <c r="V230" i="17"/>
  <c r="V231" i="17"/>
  <c r="V232" i="17"/>
  <c r="V233" i="17"/>
  <c r="V234" i="17"/>
  <c r="V235" i="17"/>
  <c r="V236" i="17"/>
  <c r="V237" i="17"/>
  <c r="V238" i="17"/>
  <c r="V239" i="17"/>
  <c r="V240" i="17"/>
  <c r="V241" i="17"/>
  <c r="V242" i="17"/>
  <c r="V243" i="17"/>
  <c r="V244" i="17"/>
  <c r="V245" i="17"/>
  <c r="V246" i="17"/>
  <c r="V247" i="17"/>
  <c r="V248" i="17"/>
  <c r="V249" i="17"/>
  <c r="V250" i="17"/>
  <c r="V251" i="17"/>
  <c r="V252" i="17"/>
  <c r="V253" i="17"/>
  <c r="V254" i="17"/>
  <c r="V255" i="17"/>
  <c r="V256" i="17"/>
  <c r="V257" i="17"/>
  <c r="V258" i="17"/>
  <c r="V259" i="17"/>
  <c r="V260" i="17"/>
  <c r="V261" i="17"/>
  <c r="V262" i="17"/>
  <c r="V263" i="17"/>
  <c r="V264" i="17"/>
  <c r="V265" i="17"/>
  <c r="V266" i="17"/>
  <c r="V267" i="17"/>
  <c r="V268" i="17"/>
  <c r="V269" i="17"/>
  <c r="V270" i="17"/>
  <c r="V271" i="17"/>
  <c r="V272" i="17"/>
  <c r="V273" i="17"/>
  <c r="V274" i="17"/>
  <c r="V275" i="17"/>
  <c r="V276" i="17"/>
  <c r="V277" i="17"/>
  <c r="V278" i="17"/>
  <c r="V279" i="17"/>
  <c r="V280" i="17"/>
  <c r="V281" i="17"/>
  <c r="V282" i="17"/>
  <c r="V283" i="17"/>
  <c r="V284" i="17"/>
  <c r="V285" i="17"/>
  <c r="V286" i="17"/>
  <c r="V287" i="17"/>
  <c r="V288" i="17"/>
  <c r="V289" i="17"/>
  <c r="V290" i="17"/>
  <c r="V291" i="17"/>
  <c r="V292" i="17"/>
  <c r="V293" i="17"/>
  <c r="V294" i="17"/>
  <c r="V295" i="17"/>
  <c r="V296" i="17"/>
  <c r="V297" i="17"/>
  <c r="V298" i="17"/>
  <c r="V299" i="17"/>
  <c r="V300" i="17"/>
  <c r="V301" i="17"/>
  <c r="V302" i="17"/>
  <c r="V303" i="17"/>
  <c r="V304" i="17"/>
  <c r="V305" i="17"/>
  <c r="V306" i="17"/>
  <c r="V307" i="17"/>
  <c r="V308" i="17"/>
  <c r="V309" i="17"/>
  <c r="V310" i="17"/>
  <c r="V311" i="17"/>
  <c r="V312" i="17"/>
  <c r="V313" i="17"/>
  <c r="V314" i="17"/>
  <c r="V315" i="17"/>
  <c r="V316" i="17"/>
  <c r="V317" i="17"/>
  <c r="V318" i="17"/>
  <c r="S493" i="25" l="1"/>
  <c r="AF493" i="25" s="1"/>
  <c r="M130" i="4"/>
  <c r="V130" i="4" s="1"/>
  <c r="R120" i="25"/>
  <c r="AE120" i="25" s="1"/>
  <c r="E53" i="18"/>
  <c r="F53" i="18" s="1"/>
  <c r="E57" i="18"/>
  <c r="F57" i="18" s="1"/>
  <c r="E56" i="18"/>
  <c r="F56" i="18" s="1"/>
  <c r="E45" i="18"/>
  <c r="F45" i="18" s="1"/>
  <c r="E51" i="18"/>
  <c r="F51" i="18" s="1"/>
  <c r="E49" i="18"/>
  <c r="F49" i="18" s="1"/>
  <c r="E44" i="18"/>
  <c r="F44" i="18" s="1"/>
  <c r="E60" i="18"/>
  <c r="F60" i="18" s="1"/>
  <c r="E52" i="18"/>
  <c r="F52" i="18" s="1"/>
  <c r="E50" i="18"/>
  <c r="F50" i="18" s="1"/>
  <c r="E46" i="18"/>
  <c r="F46" i="18" s="1"/>
  <c r="E48" i="18"/>
  <c r="F48" i="18" s="1"/>
  <c r="E54" i="18"/>
  <c r="F54" i="18" s="1"/>
  <c r="E43" i="18"/>
  <c r="F43" i="18" s="1"/>
  <c r="E59" i="18"/>
  <c r="F59" i="18" s="1"/>
  <c r="E55" i="18"/>
  <c r="F55" i="18" s="1"/>
  <c r="E58" i="18"/>
  <c r="F58" i="18" s="1"/>
  <c r="E47" i="18"/>
  <c r="F47" i="18" s="1"/>
  <c r="E42" i="18"/>
  <c r="V11" i="17"/>
  <c r="V118" i="17"/>
  <c r="V119" i="17"/>
  <c r="V120" i="17"/>
  <c r="V121" i="17"/>
  <c r="V122" i="17"/>
  <c r="V123" i="17"/>
  <c r="V124" i="17"/>
  <c r="V125" i="17"/>
  <c r="V126" i="17"/>
  <c r="V127" i="17"/>
  <c r="V128" i="17"/>
  <c r="V129" i="17"/>
  <c r="V130" i="17"/>
  <c r="V131" i="17"/>
  <c r="V132" i="17"/>
  <c r="V133" i="17"/>
  <c r="V134" i="17"/>
  <c r="V135" i="17"/>
  <c r="V136" i="17"/>
  <c r="V137" i="17"/>
  <c r="V138" i="17"/>
  <c r="V139" i="17"/>
  <c r="V140" i="17"/>
  <c r="V141" i="17"/>
  <c r="V142" i="17"/>
  <c r="V143" i="17"/>
  <c r="V149" i="17"/>
  <c r="V150" i="17"/>
  <c r="V154" i="17"/>
  <c r="V155" i="17"/>
  <c r="V156" i="17"/>
  <c r="V160" i="17"/>
  <c r="V162" i="17"/>
  <c r="V164" i="17"/>
  <c r="V166" i="17"/>
  <c r="V167" i="17"/>
  <c r="V172" i="17"/>
  <c r="V173" i="17"/>
  <c r="V176" i="17"/>
  <c r="V177" i="17"/>
  <c r="V178" i="17"/>
  <c r="V182" i="17"/>
  <c r="V183" i="17"/>
  <c r="V184" i="17"/>
  <c r="V185" i="17"/>
  <c r="V186" i="17"/>
  <c r="V187" i="17"/>
  <c r="V190" i="17"/>
  <c r="V191" i="17"/>
  <c r="V192" i="17"/>
  <c r="V193" i="17"/>
  <c r="V198" i="17"/>
  <c r="V199" i="17"/>
  <c r="V200" i="17"/>
  <c r="V201" i="17"/>
  <c r="V206" i="17"/>
  <c r="V208" i="17"/>
  <c r="V209" i="17"/>
  <c r="V210" i="17"/>
  <c r="V211" i="17"/>
  <c r="V212" i="17"/>
  <c r="V117" i="17"/>
  <c r="V4" i="17"/>
  <c r="V5" i="17"/>
  <c r="V6" i="17"/>
  <c r="V7" i="17"/>
  <c r="V8" i="17"/>
  <c r="V9" i="17"/>
  <c r="V10" i="17"/>
  <c r="V12" i="17"/>
  <c r="V14" i="17"/>
  <c r="V15" i="17"/>
  <c r="V16" i="17"/>
  <c r="V17" i="17"/>
  <c r="V18" i="17"/>
  <c r="V19" i="17"/>
  <c r="V20" i="17"/>
  <c r="V21" i="17"/>
  <c r="V22" i="17"/>
  <c r="V27" i="17"/>
  <c r="V28" i="17"/>
  <c r="V29" i="17"/>
  <c r="V30" i="17"/>
  <c r="V31" i="17"/>
  <c r="V32" i="17"/>
  <c r="V33" i="17"/>
  <c r="V34" i="17"/>
  <c r="V35" i="17"/>
  <c r="V36" i="17"/>
  <c r="V37" i="17"/>
  <c r="V38" i="17"/>
  <c r="V39" i="17"/>
  <c r="V40" i="17"/>
  <c r="V41" i="17"/>
  <c r="V42" i="17"/>
  <c r="V43" i="17"/>
  <c r="V44" i="17"/>
  <c r="V45" i="17"/>
  <c r="V46" i="17"/>
  <c r="V47" i="17"/>
  <c r="V48" i="17"/>
  <c r="V49" i="17"/>
  <c r="V50" i="17"/>
  <c r="V51" i="17"/>
  <c r="V52" i="17"/>
  <c r="V53" i="17"/>
  <c r="V54" i="17"/>
  <c r="V55" i="17"/>
  <c r="V56" i="17"/>
  <c r="V57" i="17"/>
  <c r="V58" i="17"/>
  <c r="V59" i="17"/>
  <c r="V60" i="17"/>
  <c r="V61" i="17"/>
  <c r="V62" i="17"/>
  <c r="V63" i="17"/>
  <c r="V64" i="17"/>
  <c r="V65" i="17"/>
  <c r="V66" i="17"/>
  <c r="V67" i="17"/>
  <c r="V68" i="17"/>
  <c r="V69" i="17"/>
  <c r="V70" i="17"/>
  <c r="V71" i="17"/>
  <c r="V72" i="17"/>
  <c r="V73" i="17"/>
  <c r="V74" i="17"/>
  <c r="V75" i="17"/>
  <c r="V76" i="17"/>
  <c r="V77" i="17"/>
  <c r="V78" i="17"/>
  <c r="V79" i="17"/>
  <c r="V80" i="17"/>
  <c r="V81" i="17"/>
  <c r="V82" i="17"/>
  <c r="V83" i="17"/>
  <c r="V84" i="17"/>
  <c r="V85" i="17"/>
  <c r="V86" i="17"/>
  <c r="V87" i="17"/>
  <c r="V88" i="17"/>
  <c r="V89" i="17"/>
  <c r="V90" i="17"/>
  <c r="V91" i="17"/>
  <c r="V92" i="17"/>
  <c r="V93" i="17"/>
  <c r="V94" i="17"/>
  <c r="V95" i="17"/>
  <c r="V96" i="17"/>
  <c r="V97" i="17"/>
  <c r="V98" i="17"/>
  <c r="V99" i="17"/>
  <c r="V100" i="17"/>
  <c r="V101" i="17"/>
  <c r="V102" i="17"/>
  <c r="V103" i="17"/>
  <c r="V104" i="17"/>
  <c r="V105" i="17"/>
  <c r="V106" i="17"/>
  <c r="V107" i="17"/>
  <c r="V108" i="17"/>
  <c r="V109" i="17"/>
  <c r="V110" i="17"/>
  <c r="V111" i="17"/>
  <c r="V112" i="17"/>
  <c r="V113" i="17"/>
  <c r="V114" i="17"/>
  <c r="V115" i="17"/>
  <c r="V3" i="17"/>
  <c r="H44" i="18"/>
  <c r="H59" i="18"/>
  <c r="G44" i="18"/>
  <c r="G59" i="18"/>
  <c r="G10" i="4"/>
  <c r="G11" i="4"/>
  <c r="G12" i="4"/>
  <c r="G13" i="4"/>
  <c r="G14" i="4"/>
  <c r="G15" i="4"/>
  <c r="G92" i="4"/>
  <c r="G93" i="4"/>
  <c r="G94" i="4"/>
  <c r="G95" i="4"/>
  <c r="G96" i="4"/>
  <c r="J10" i="4" a="1"/>
  <c r="J10" i="4" s="1"/>
  <c r="P6" i="25" s="1"/>
  <c r="J15" i="4" a="1"/>
  <c r="J15" i="4" s="1"/>
  <c r="P11" i="25" s="1"/>
  <c r="J92" i="4" a="1"/>
  <c r="J92" i="4" s="1"/>
  <c r="P88" i="25" s="1"/>
  <c r="J93" i="4" a="1"/>
  <c r="J93" i="4" s="1"/>
  <c r="P89" i="25" s="1"/>
  <c r="J94" i="4" a="1"/>
  <c r="J94" i="4" s="1"/>
  <c r="P90" i="25" s="1"/>
  <c r="J95" i="4" a="1"/>
  <c r="J95" i="4" s="1"/>
  <c r="P91" i="25" s="1"/>
  <c r="J96" i="4" a="1"/>
  <c r="J96" i="4" s="1"/>
  <c r="P92" i="25" s="1"/>
  <c r="K10" i="4"/>
  <c r="Q6" i="25" s="1"/>
  <c r="K11" i="4"/>
  <c r="Q7" i="25" s="1"/>
  <c r="K12" i="4"/>
  <c r="Q8" i="25" s="1"/>
  <c r="K13" i="4"/>
  <c r="Q9" i="25" s="1"/>
  <c r="K14" i="4"/>
  <c r="Q10" i="25" s="1"/>
  <c r="K15" i="4"/>
  <c r="Q11" i="25" s="1"/>
  <c r="K92" i="4"/>
  <c r="Q88" i="25" s="1"/>
  <c r="K93" i="4"/>
  <c r="Q89" i="25" s="1"/>
  <c r="K94" i="4"/>
  <c r="Q90" i="25" s="1"/>
  <c r="K95" i="4"/>
  <c r="Q91" i="25" s="1"/>
  <c r="K96" i="4"/>
  <c r="Q92" i="25" s="1"/>
  <c r="L10" i="4" a="1"/>
  <c r="L10" i="4" s="1"/>
  <c r="R6" i="25" s="1"/>
  <c r="AE6" i="25" s="1"/>
  <c r="L11" i="4" a="1"/>
  <c r="L11" i="4" s="1"/>
  <c r="R7" i="25" s="1"/>
  <c r="AE7" i="25" s="1"/>
  <c r="L12" i="4" a="1"/>
  <c r="L12" i="4" s="1"/>
  <c r="R8" i="25" s="1"/>
  <c r="AE8" i="25" s="1"/>
  <c r="L13" i="4" a="1"/>
  <c r="L13" i="4" s="1"/>
  <c r="R9" i="25" s="1"/>
  <c r="AE9" i="25" s="1"/>
  <c r="L14" i="4" a="1"/>
  <c r="L14" i="4" s="1"/>
  <c r="R10" i="25" s="1"/>
  <c r="AE10" i="25" s="1"/>
  <c r="L15" i="4" a="1"/>
  <c r="L15" i="4" s="1"/>
  <c r="R11" i="25" s="1"/>
  <c r="AE11" i="25" s="1"/>
  <c r="L92" i="4" a="1"/>
  <c r="L92" i="4" s="1"/>
  <c r="R88" i="25" s="1"/>
  <c r="AE88" i="25" s="1"/>
  <c r="L93" i="4" a="1"/>
  <c r="L93" i="4" s="1"/>
  <c r="R89" i="25" s="1"/>
  <c r="AE89" i="25" s="1"/>
  <c r="L94" i="4" a="1"/>
  <c r="L94" i="4" s="1"/>
  <c r="R90" i="25" s="1"/>
  <c r="AE90" i="25" s="1"/>
  <c r="L95" i="4" a="1"/>
  <c r="L95" i="4" s="1"/>
  <c r="R91" i="25" s="1"/>
  <c r="AE91" i="25" s="1"/>
  <c r="L96" i="4" a="1"/>
  <c r="L96" i="4" s="1"/>
  <c r="R92" i="25" s="1"/>
  <c r="AE92" i="25" s="1"/>
  <c r="P15" i="4" a="1"/>
  <c r="P15" i="4" s="1"/>
  <c r="V11" i="25" s="1"/>
  <c r="P92" i="4" a="1"/>
  <c r="P92" i="4" s="1"/>
  <c r="V88" i="25" s="1"/>
  <c r="P93" i="4" a="1"/>
  <c r="P93" i="4" s="1"/>
  <c r="V89" i="25" s="1"/>
  <c r="P94" i="4" a="1"/>
  <c r="P94" i="4" s="1"/>
  <c r="V90" i="25" s="1"/>
  <c r="P95" i="4" a="1"/>
  <c r="P95" i="4" s="1"/>
  <c r="V91" i="25" s="1"/>
  <c r="P96" i="4" a="1"/>
  <c r="P96" i="4" s="1"/>
  <c r="V92" i="25" s="1"/>
  <c r="Q15" i="4" a="1"/>
  <c r="Q15" i="4" s="1"/>
  <c r="W11" i="25" s="1"/>
  <c r="Q92" i="4" a="1"/>
  <c r="Q92" i="4" s="1"/>
  <c r="W88" i="25" s="1"/>
  <c r="Q93" i="4" a="1"/>
  <c r="Q93" i="4" s="1"/>
  <c r="W89" i="25" s="1"/>
  <c r="Q94" i="4" a="1"/>
  <c r="Q94" i="4" s="1"/>
  <c r="W90" i="25" s="1"/>
  <c r="Q95" i="4" a="1"/>
  <c r="Q95" i="4" s="1"/>
  <c r="W91" i="25" s="1"/>
  <c r="Q96" i="4" a="1"/>
  <c r="Q96" i="4" s="1"/>
  <c r="W92" i="25" s="1"/>
  <c r="R15" i="4" a="1"/>
  <c r="R15" i="4" s="1"/>
  <c r="X11" i="25" s="1"/>
  <c r="R92" i="4" a="1"/>
  <c r="R92" i="4" s="1"/>
  <c r="X88" i="25" s="1"/>
  <c r="R93" i="4" a="1"/>
  <c r="R93" i="4" s="1"/>
  <c r="X89" i="25" s="1"/>
  <c r="R94" i="4" a="1"/>
  <c r="R94" i="4" s="1"/>
  <c r="X90" i="25" s="1"/>
  <c r="R95" i="4" a="1"/>
  <c r="R95" i="4" s="1"/>
  <c r="X91" i="25" s="1"/>
  <c r="R96" i="4" a="1"/>
  <c r="R96" i="4" s="1"/>
  <c r="X92" i="25" s="1"/>
  <c r="S15" i="4" a="1"/>
  <c r="S15" i="4" s="1"/>
  <c r="Y11" i="25" s="1"/>
  <c r="S92" i="4" a="1"/>
  <c r="S92" i="4" s="1"/>
  <c r="Y88" i="25" s="1"/>
  <c r="S93" i="4" a="1"/>
  <c r="S93" i="4" s="1"/>
  <c r="Y89" i="25" s="1"/>
  <c r="S94" i="4" a="1"/>
  <c r="S94" i="4" s="1"/>
  <c r="Y90" i="25" s="1"/>
  <c r="S95" i="4" a="1"/>
  <c r="S95" i="4" s="1"/>
  <c r="Y91" i="25" s="1"/>
  <c r="S96" i="4" a="1"/>
  <c r="S96" i="4" s="1"/>
  <c r="Y92" i="25" s="1"/>
  <c r="T15" i="4" a="1"/>
  <c r="T15" i="4" s="1"/>
  <c r="Z11" i="25" s="1"/>
  <c r="T92" i="4" a="1"/>
  <c r="T92" i="4" s="1"/>
  <c r="Z88" i="25" s="1"/>
  <c r="T93" i="4" a="1"/>
  <c r="T93" i="4" s="1"/>
  <c r="Z89" i="25" s="1"/>
  <c r="T94" i="4" a="1"/>
  <c r="T94" i="4" s="1"/>
  <c r="Z90" i="25" s="1"/>
  <c r="T95" i="4" a="1"/>
  <c r="T95" i="4" s="1"/>
  <c r="Z91" i="25" s="1"/>
  <c r="T96" i="4" a="1"/>
  <c r="T96" i="4" s="1"/>
  <c r="Z92" i="25" s="1"/>
  <c r="C82" i="18"/>
  <c r="C81" i="18"/>
  <c r="F85" i="12"/>
  <c r="M562" i="25" s="1"/>
  <c r="F86" i="12"/>
  <c r="M563" i="25" s="1"/>
  <c r="F87" i="12"/>
  <c r="M564" i="25" s="1"/>
  <c r="F88" i="12"/>
  <c r="M565" i="25" s="1"/>
  <c r="F89" i="12"/>
  <c r="M566" i="25" s="1"/>
  <c r="F55" i="12"/>
  <c r="M535" i="25" s="1"/>
  <c r="F56" i="12"/>
  <c r="M536" i="25" s="1"/>
  <c r="F57" i="12"/>
  <c r="M537" i="25" s="1"/>
  <c r="F58" i="12"/>
  <c r="M538" i="25" s="1"/>
  <c r="F59" i="12"/>
  <c r="M539" i="25" s="1"/>
  <c r="F60" i="12"/>
  <c r="M540" i="25" s="1"/>
  <c r="F61" i="12"/>
  <c r="M541" i="25" s="1"/>
  <c r="F62" i="12"/>
  <c r="M542" i="25" s="1"/>
  <c r="F63" i="12"/>
  <c r="M543" i="25" s="1"/>
  <c r="F64" i="12"/>
  <c r="M544" i="25" s="1"/>
  <c r="F65" i="12"/>
  <c r="M545" i="25" s="1"/>
  <c r="F19" i="12"/>
  <c r="M503" i="25" s="1"/>
  <c r="F20" i="12"/>
  <c r="M504" i="25" s="1"/>
  <c r="F21" i="12"/>
  <c r="M505" i="25" s="1"/>
  <c r="F18" i="12"/>
  <c r="M502" i="25" s="1"/>
  <c r="F22" i="12"/>
  <c r="M506" i="25" s="1"/>
  <c r="F23" i="12"/>
  <c r="M507" i="25" s="1"/>
  <c r="F24" i="12"/>
  <c r="M508" i="25" s="1"/>
  <c r="F25" i="12"/>
  <c r="M509" i="25" s="1"/>
  <c r="F26" i="12"/>
  <c r="M510" i="25" s="1"/>
  <c r="F11" i="12"/>
  <c r="M495" i="25" s="1"/>
  <c r="F12" i="12"/>
  <c r="M496" i="25" s="1"/>
  <c r="F13" i="12"/>
  <c r="M497" i="25" s="1"/>
  <c r="F14" i="12"/>
  <c r="M498" i="25" s="1"/>
  <c r="F15" i="12"/>
  <c r="M499" i="25" s="1"/>
  <c r="F16" i="12"/>
  <c r="M500" i="25" s="1"/>
  <c r="F17" i="12"/>
  <c r="M501" i="25" s="1"/>
  <c r="F27" i="12"/>
  <c r="M511" i="25" s="1"/>
  <c r="F28" i="12"/>
  <c r="M512" i="25" s="1"/>
  <c r="F29" i="12"/>
  <c r="M513" i="25" s="1"/>
  <c r="F30" i="12"/>
  <c r="M514" i="25" s="1"/>
  <c r="F31" i="12"/>
  <c r="M515" i="25" s="1"/>
  <c r="F32" i="12"/>
  <c r="M516" i="25" s="1"/>
  <c r="F44" i="19"/>
  <c r="M210" i="25" s="1"/>
  <c r="F45" i="19"/>
  <c r="M211" i="25" s="1"/>
  <c r="F46" i="19"/>
  <c r="M212" i="25" s="1"/>
  <c r="F47" i="19"/>
  <c r="M213" i="25" s="1"/>
  <c r="F48" i="19"/>
  <c r="M214" i="25" s="1"/>
  <c r="I44" i="19" a="1"/>
  <c r="I44" i="19" s="1"/>
  <c r="I45" i="19" a="1"/>
  <c r="I45" i="19" s="1"/>
  <c r="I46" i="19" a="1"/>
  <c r="I46" i="19" s="1"/>
  <c r="I47" i="19" a="1"/>
  <c r="I47" i="19" s="1"/>
  <c r="I48" i="19" a="1"/>
  <c r="I48" i="19" s="1"/>
  <c r="J44" i="19" a="1"/>
  <c r="J44" i="19" s="1"/>
  <c r="Q210" i="25" s="1"/>
  <c r="J45" i="19" a="1"/>
  <c r="J45" i="19" s="1"/>
  <c r="Q211" i="25" s="1"/>
  <c r="J46" i="19" a="1"/>
  <c r="J46" i="19" s="1"/>
  <c r="Q212" i="25" s="1"/>
  <c r="J47" i="19" a="1"/>
  <c r="J47" i="19" s="1"/>
  <c r="Q213" i="25" s="1"/>
  <c r="J48" i="19" a="1"/>
  <c r="J48" i="19" s="1"/>
  <c r="Q214" i="25" s="1"/>
  <c r="K44" i="19" a="1"/>
  <c r="K44" i="19" s="1"/>
  <c r="R210" i="25" s="1"/>
  <c r="AE210" i="25" s="1"/>
  <c r="K45" i="19" a="1"/>
  <c r="K45" i="19" s="1"/>
  <c r="R211" i="25" s="1"/>
  <c r="AE211" i="25" s="1"/>
  <c r="K46" i="19" a="1"/>
  <c r="K46" i="19" s="1"/>
  <c r="R212" i="25" s="1"/>
  <c r="AE212" i="25" s="1"/>
  <c r="K47" i="19" a="1"/>
  <c r="K47" i="19" s="1"/>
  <c r="R213" i="25" s="1"/>
  <c r="AE213" i="25" s="1"/>
  <c r="K48" i="19" a="1"/>
  <c r="K48" i="19" s="1"/>
  <c r="R214" i="25" s="1"/>
  <c r="AE214" i="25" s="1"/>
  <c r="F13" i="19"/>
  <c r="M182" i="25" s="1"/>
  <c r="F14" i="19"/>
  <c r="M183" i="25" s="1"/>
  <c r="F15" i="19"/>
  <c r="M184" i="25" s="1"/>
  <c r="F16" i="19"/>
  <c r="M185" i="25" s="1"/>
  <c r="F17" i="19"/>
  <c r="M186" i="25" s="1"/>
  <c r="F18" i="19"/>
  <c r="M187" i="25" s="1"/>
  <c r="F19" i="19"/>
  <c r="M188" i="25" s="1"/>
  <c r="I13" i="19" a="1"/>
  <c r="I13" i="19" s="1"/>
  <c r="I14" i="19" a="1"/>
  <c r="I14" i="19" s="1"/>
  <c r="I15" i="19" a="1"/>
  <c r="I15" i="19" s="1"/>
  <c r="I16" i="19" a="1"/>
  <c r="I16" i="19" s="1"/>
  <c r="I17" i="19" a="1"/>
  <c r="I17" i="19" s="1"/>
  <c r="I18" i="19" a="1"/>
  <c r="I18" i="19" s="1"/>
  <c r="I19" i="19" a="1"/>
  <c r="I19" i="19" s="1"/>
  <c r="J13" i="19" a="1"/>
  <c r="J13" i="19" s="1"/>
  <c r="Q182" i="25" s="1"/>
  <c r="J14" i="19" a="1"/>
  <c r="J14" i="19" s="1"/>
  <c r="Q183" i="25" s="1"/>
  <c r="J15" i="19" a="1"/>
  <c r="J15" i="19" s="1"/>
  <c r="Q184" i="25" s="1"/>
  <c r="J16" i="19" a="1"/>
  <c r="J16" i="19" s="1"/>
  <c r="Q185" i="25" s="1"/>
  <c r="J17" i="19" a="1"/>
  <c r="J17" i="19" s="1"/>
  <c r="Q186" i="25" s="1"/>
  <c r="J18" i="19" a="1"/>
  <c r="J18" i="19" s="1"/>
  <c r="Q187" i="25" s="1"/>
  <c r="J19" i="19" a="1"/>
  <c r="J19" i="19" s="1"/>
  <c r="Q188" i="25" s="1"/>
  <c r="K13" i="19" a="1"/>
  <c r="K13" i="19" s="1"/>
  <c r="R182" i="25" s="1"/>
  <c r="AE182" i="25" s="1"/>
  <c r="K14" i="19" a="1"/>
  <c r="K14" i="19" s="1"/>
  <c r="R183" i="25" s="1"/>
  <c r="AE183" i="25" s="1"/>
  <c r="K15" i="19" a="1"/>
  <c r="K15" i="19" s="1"/>
  <c r="R184" i="25" s="1"/>
  <c r="AE184" i="25" s="1"/>
  <c r="K16" i="19" a="1"/>
  <c r="K16" i="19" s="1"/>
  <c r="R185" i="25" s="1"/>
  <c r="AE185" i="25" s="1"/>
  <c r="K17" i="19" a="1"/>
  <c r="K17" i="19" s="1"/>
  <c r="R186" i="25" s="1"/>
  <c r="AE186" i="25" s="1"/>
  <c r="K18" i="19" a="1"/>
  <c r="K18" i="19" s="1"/>
  <c r="R187" i="25" s="1"/>
  <c r="AE187" i="25" s="1"/>
  <c r="K19" i="19" a="1"/>
  <c r="K19" i="19" s="1"/>
  <c r="R188" i="25" s="1"/>
  <c r="AE188" i="25" s="1"/>
  <c r="O13" i="19" a="1"/>
  <c r="O13" i="19" s="1"/>
  <c r="V182" i="25" s="1"/>
  <c r="O14" i="19" a="1"/>
  <c r="O14" i="19" s="1"/>
  <c r="V183" i="25" s="1"/>
  <c r="O15" i="19" a="1"/>
  <c r="O15" i="19" s="1"/>
  <c r="V184" i="25" s="1"/>
  <c r="O16" i="19" a="1"/>
  <c r="O16" i="19" s="1"/>
  <c r="V185" i="25" s="1"/>
  <c r="O17" i="19" a="1"/>
  <c r="O17" i="19" s="1"/>
  <c r="V186" i="25" s="1"/>
  <c r="O18" i="19" a="1"/>
  <c r="O18" i="19" s="1"/>
  <c r="V187" i="25" s="1"/>
  <c r="O19" i="19" a="1"/>
  <c r="O19" i="19" s="1"/>
  <c r="V188" i="25" s="1"/>
  <c r="P13" i="19" a="1"/>
  <c r="P13" i="19" s="1"/>
  <c r="W182" i="25" s="1"/>
  <c r="P14" i="19" a="1"/>
  <c r="P14" i="19" s="1"/>
  <c r="W183" i="25" s="1"/>
  <c r="P15" i="19" a="1"/>
  <c r="P15" i="19" s="1"/>
  <c r="W184" i="25" s="1"/>
  <c r="P16" i="19" a="1"/>
  <c r="P16" i="19" s="1"/>
  <c r="W185" i="25" s="1"/>
  <c r="P17" i="19" a="1"/>
  <c r="P17" i="19" s="1"/>
  <c r="W186" i="25" s="1"/>
  <c r="P18" i="19" a="1"/>
  <c r="P18" i="19" s="1"/>
  <c r="W187" i="25" s="1"/>
  <c r="P19" i="19" a="1"/>
  <c r="P19" i="19" s="1"/>
  <c r="W188" i="25" s="1"/>
  <c r="Q13" i="19" a="1"/>
  <c r="Q13" i="19" s="1"/>
  <c r="X182" i="25" s="1"/>
  <c r="Q14" i="19" a="1"/>
  <c r="Q14" i="19" s="1"/>
  <c r="X183" i="25" s="1"/>
  <c r="Q15" i="19" a="1"/>
  <c r="Q15" i="19" s="1"/>
  <c r="X184" i="25" s="1"/>
  <c r="Q16" i="19" a="1"/>
  <c r="Q16" i="19" s="1"/>
  <c r="X185" i="25" s="1"/>
  <c r="Q17" i="19" a="1"/>
  <c r="Q17" i="19" s="1"/>
  <c r="X186" i="25" s="1"/>
  <c r="Q18" i="19" a="1"/>
  <c r="Q18" i="19" s="1"/>
  <c r="X187" i="25" s="1"/>
  <c r="Q19" i="19" a="1"/>
  <c r="Q19" i="19" s="1"/>
  <c r="X188" i="25" s="1"/>
  <c r="R13" i="19" a="1"/>
  <c r="R13" i="19" s="1"/>
  <c r="Y182" i="25" s="1"/>
  <c r="R14" i="19" a="1"/>
  <c r="R14" i="19" s="1"/>
  <c r="Y183" i="25" s="1"/>
  <c r="R15" i="19" a="1"/>
  <c r="R15" i="19" s="1"/>
  <c r="Y184" i="25" s="1"/>
  <c r="R16" i="19" a="1"/>
  <c r="R16" i="19" s="1"/>
  <c r="Y185" i="25" s="1"/>
  <c r="R17" i="19" a="1"/>
  <c r="R17" i="19" s="1"/>
  <c r="Y186" i="25" s="1"/>
  <c r="R18" i="19" a="1"/>
  <c r="R18" i="19" s="1"/>
  <c r="Y187" i="25" s="1"/>
  <c r="R19" i="19" a="1"/>
  <c r="R19" i="19" s="1"/>
  <c r="Y188" i="25" s="1"/>
  <c r="S13" i="19" a="1"/>
  <c r="S13" i="19" s="1"/>
  <c r="Z182" i="25" s="1"/>
  <c r="S14" i="19" a="1"/>
  <c r="S14" i="19" s="1"/>
  <c r="Z183" i="25" s="1"/>
  <c r="S15" i="19" a="1"/>
  <c r="S15" i="19" s="1"/>
  <c r="Z184" i="25" s="1"/>
  <c r="S16" i="19" a="1"/>
  <c r="S16" i="19" s="1"/>
  <c r="Z185" i="25" s="1"/>
  <c r="S17" i="19" a="1"/>
  <c r="S17" i="19" s="1"/>
  <c r="Z186" i="25" s="1"/>
  <c r="S18" i="19" a="1"/>
  <c r="S18" i="19" s="1"/>
  <c r="Z187" i="25" s="1"/>
  <c r="S19" i="19" a="1"/>
  <c r="S19" i="19" s="1"/>
  <c r="Z188" i="25" s="1"/>
  <c r="V13" i="19" a="1"/>
  <c r="V13" i="19" s="1"/>
  <c r="V14" i="19" a="1"/>
  <c r="V14" i="19" s="1"/>
  <c r="V15" i="19" a="1"/>
  <c r="V15" i="19" s="1"/>
  <c r="V16" i="19" a="1"/>
  <c r="V16" i="19" s="1"/>
  <c r="V17" i="19" a="1"/>
  <c r="V17" i="19" s="1"/>
  <c r="V18" i="19" a="1"/>
  <c r="V18" i="19" s="1"/>
  <c r="V19" i="19" a="1"/>
  <c r="V19" i="19" s="1"/>
  <c r="J51" i="12"/>
  <c r="O10" i="17"/>
  <c r="M9" i="25" l="1"/>
  <c r="M92" i="25"/>
  <c r="M8" i="25"/>
  <c r="M91" i="25"/>
  <c r="M7" i="25"/>
  <c r="M90" i="25"/>
  <c r="M6" i="25"/>
  <c r="M89" i="25"/>
  <c r="M88" i="25"/>
  <c r="M11" i="25"/>
  <c r="M10" i="25"/>
  <c r="R10" i="4" a="1"/>
  <c r="R10" i="4" s="1"/>
  <c r="X6" i="25" s="1"/>
  <c r="T10" i="4" a="1"/>
  <c r="T10" i="4" s="1"/>
  <c r="Z6" i="25" s="1"/>
  <c r="J14" i="4" a="1"/>
  <c r="J14" i="4" s="1"/>
  <c r="P10" i="25" s="1"/>
  <c r="Q10" i="4" a="1"/>
  <c r="Q10" i="4" s="1"/>
  <c r="W6" i="25" s="1"/>
  <c r="J13" i="4" a="1"/>
  <c r="J13" i="4" s="1"/>
  <c r="P9" i="25" s="1"/>
  <c r="J12" i="4" a="1"/>
  <c r="J12" i="4" s="1"/>
  <c r="P8" i="25" s="1"/>
  <c r="S10" i="4" a="1"/>
  <c r="S10" i="4" s="1"/>
  <c r="Y6" i="25" s="1"/>
  <c r="P10" i="4" a="1"/>
  <c r="P10" i="4" s="1"/>
  <c r="V6" i="25" s="1"/>
  <c r="J11" i="4" a="1"/>
  <c r="J11" i="4" s="1"/>
  <c r="P7" i="25" s="1"/>
  <c r="W14" i="4" a="1"/>
  <c r="W14" i="4" s="1"/>
  <c r="AC10" i="25" s="1"/>
  <c r="W13" i="4" a="1"/>
  <c r="W13" i="4" s="1"/>
  <c r="AC9" i="25" s="1"/>
  <c r="W12" i="4" a="1"/>
  <c r="W12" i="4" s="1"/>
  <c r="AC8" i="25" s="1"/>
  <c r="W11" i="4" a="1"/>
  <c r="W11" i="4" s="1"/>
  <c r="AC7" i="25" s="1"/>
  <c r="P184" i="25"/>
  <c r="L15" i="19"/>
  <c r="S184" i="25" s="1"/>
  <c r="AF184" i="25" s="1"/>
  <c r="P210" i="25"/>
  <c r="L44" i="19"/>
  <c r="S210" i="25" s="1"/>
  <c r="AF210" i="25" s="1"/>
  <c r="H17" i="18"/>
  <c r="AB120" i="25"/>
  <c r="P183" i="25"/>
  <c r="L14" i="19"/>
  <c r="S183" i="25" s="1"/>
  <c r="AF183" i="25" s="1"/>
  <c r="P188" i="25"/>
  <c r="L19" i="19"/>
  <c r="S188" i="25" s="1"/>
  <c r="AF188" i="25" s="1"/>
  <c r="P214" i="25"/>
  <c r="L48" i="19"/>
  <c r="S214" i="25" s="1"/>
  <c r="AF214" i="25" s="1"/>
  <c r="P187" i="25"/>
  <c r="L18" i="19"/>
  <c r="S187" i="25" s="1"/>
  <c r="AF187" i="25" s="1"/>
  <c r="P213" i="25"/>
  <c r="L47" i="19"/>
  <c r="S213" i="25" s="1"/>
  <c r="AF213" i="25" s="1"/>
  <c r="P182" i="25"/>
  <c r="L13" i="19"/>
  <c r="S182" i="25" s="1"/>
  <c r="AF182" i="25" s="1"/>
  <c r="P186" i="25"/>
  <c r="L17" i="19"/>
  <c r="S186" i="25" s="1"/>
  <c r="AF186" i="25" s="1"/>
  <c r="P212" i="25"/>
  <c r="L46" i="19"/>
  <c r="S212" i="25" s="1"/>
  <c r="AF212" i="25" s="1"/>
  <c r="P185" i="25"/>
  <c r="L16" i="19"/>
  <c r="S185" i="25" s="1"/>
  <c r="AF185" i="25" s="1"/>
  <c r="P211" i="25"/>
  <c r="L45" i="19"/>
  <c r="S211" i="25" s="1"/>
  <c r="AF211" i="25" s="1"/>
  <c r="U130" i="4"/>
  <c r="S120" i="25"/>
  <c r="AF120" i="25" s="1"/>
  <c r="H55" i="18"/>
  <c r="G43" i="18"/>
  <c r="G55" i="18"/>
  <c r="W10" i="4" a="1"/>
  <c r="W10" i="4" s="1"/>
  <c r="AC6" i="25" s="1"/>
  <c r="M10" i="4"/>
  <c r="S6" i="25" s="1"/>
  <c r="AF6" i="25" s="1"/>
  <c r="S45" i="19" a="1"/>
  <c r="S45" i="19" s="1"/>
  <c r="Z211" i="25" s="1"/>
  <c r="O45" i="19" a="1"/>
  <c r="O45" i="19" s="1"/>
  <c r="V211" i="25" s="1"/>
  <c r="P45" i="19" a="1"/>
  <c r="P45" i="19" s="1"/>
  <c r="W211" i="25" s="1"/>
  <c r="V45" i="19" a="1"/>
  <c r="V45" i="19" s="1"/>
  <c r="R45" i="19" a="1"/>
  <c r="R45" i="19" s="1"/>
  <c r="Y211" i="25" s="1"/>
  <c r="Q45" i="19" a="1"/>
  <c r="Q45" i="19" s="1"/>
  <c r="X211" i="25" s="1"/>
  <c r="O44" i="19" a="1"/>
  <c r="O44" i="19" s="1"/>
  <c r="V210" i="25" s="1"/>
  <c r="P44" i="19" a="1"/>
  <c r="P44" i="19" s="1"/>
  <c r="W210" i="25" s="1"/>
  <c r="V44" i="19" a="1"/>
  <c r="V44" i="19" s="1"/>
  <c r="Q44" i="19" a="1"/>
  <c r="Q44" i="19" s="1"/>
  <c r="X210" i="25" s="1"/>
  <c r="R44" i="19" a="1"/>
  <c r="R44" i="19" s="1"/>
  <c r="Y210" i="25" s="1"/>
  <c r="S44" i="19" a="1"/>
  <c r="S44" i="19" s="1"/>
  <c r="Z210" i="25" s="1"/>
  <c r="R48" i="19" a="1"/>
  <c r="R48" i="19" s="1"/>
  <c r="Y214" i="25" s="1"/>
  <c r="S48" i="19" a="1"/>
  <c r="S48" i="19" s="1"/>
  <c r="Z214" i="25" s="1"/>
  <c r="O48" i="19" a="1"/>
  <c r="O48" i="19" s="1"/>
  <c r="V214" i="25" s="1"/>
  <c r="P48" i="19" a="1"/>
  <c r="P48" i="19" s="1"/>
  <c r="W214" i="25" s="1"/>
  <c r="V48" i="19" a="1"/>
  <c r="V48" i="19" s="1"/>
  <c r="Q48" i="19" a="1"/>
  <c r="Q48" i="19" s="1"/>
  <c r="X214" i="25" s="1"/>
  <c r="O47" i="19" a="1"/>
  <c r="O47" i="19" s="1"/>
  <c r="V213" i="25" s="1"/>
  <c r="P47" i="19" a="1"/>
  <c r="P47" i="19" s="1"/>
  <c r="W213" i="25" s="1"/>
  <c r="V47" i="19" a="1"/>
  <c r="V47" i="19" s="1"/>
  <c r="Q47" i="19" a="1"/>
  <c r="Q47" i="19" s="1"/>
  <c r="X213" i="25" s="1"/>
  <c r="S47" i="19" a="1"/>
  <c r="S47" i="19" s="1"/>
  <c r="Z213" i="25" s="1"/>
  <c r="R47" i="19" a="1"/>
  <c r="R47" i="19" s="1"/>
  <c r="Y213" i="25" s="1"/>
  <c r="P46" i="19" a="1"/>
  <c r="P46" i="19" s="1"/>
  <c r="W212" i="25" s="1"/>
  <c r="V46" i="19" a="1"/>
  <c r="V46" i="19" s="1"/>
  <c r="Q46" i="19" a="1"/>
  <c r="Q46" i="19" s="1"/>
  <c r="X212" i="25" s="1"/>
  <c r="R46" i="19" a="1"/>
  <c r="R46" i="19" s="1"/>
  <c r="Y212" i="25" s="1"/>
  <c r="S46" i="19" a="1"/>
  <c r="S46" i="19" s="1"/>
  <c r="Z212" i="25" s="1"/>
  <c r="O46" i="19" a="1"/>
  <c r="O46" i="19" s="1"/>
  <c r="V212" i="25" s="1"/>
  <c r="H61" i="18"/>
  <c r="H43" i="18"/>
  <c r="K53" i="12" a="1"/>
  <c r="K53" i="12" s="1"/>
  <c r="K54" i="12" a="1"/>
  <c r="K54" i="12" s="1"/>
  <c r="K60" i="12" a="1"/>
  <c r="K60" i="12" s="1"/>
  <c r="K55" i="12" a="1"/>
  <c r="K55" i="12" s="1"/>
  <c r="R54" i="12" a="1"/>
  <c r="R54" i="12" s="1"/>
  <c r="Y534" i="25" s="1"/>
  <c r="R53" i="12" a="1"/>
  <c r="R53" i="12" s="1"/>
  <c r="Y533" i="25" s="1"/>
  <c r="R55" i="12" a="1"/>
  <c r="R55" i="12" s="1"/>
  <c r="Y535" i="25" s="1"/>
  <c r="O53" i="12" a="1"/>
  <c r="O53" i="12" s="1"/>
  <c r="V533" i="25" s="1"/>
  <c r="V53" i="12" a="1"/>
  <c r="V53" i="12" s="1"/>
  <c r="AC533" i="25" s="1"/>
  <c r="Q55" i="12" a="1"/>
  <c r="Q55" i="12" s="1"/>
  <c r="X535" i="25" s="1"/>
  <c r="O54" i="12" a="1"/>
  <c r="O54" i="12" s="1"/>
  <c r="V534" i="25" s="1"/>
  <c r="Q53" i="12" a="1"/>
  <c r="Q53" i="12" s="1"/>
  <c r="X533" i="25" s="1"/>
  <c r="S55" i="12" a="1"/>
  <c r="S55" i="12" s="1"/>
  <c r="Z535" i="25" s="1"/>
  <c r="V54" i="12" a="1"/>
  <c r="V54" i="12" s="1"/>
  <c r="AC534" i="25" s="1"/>
  <c r="P55" i="12" a="1"/>
  <c r="P55" i="12" s="1"/>
  <c r="W535" i="25" s="1"/>
  <c r="S54" i="12" a="1"/>
  <c r="S54" i="12" s="1"/>
  <c r="Z534" i="25" s="1"/>
  <c r="P53" i="12" a="1"/>
  <c r="P53" i="12" s="1"/>
  <c r="W533" i="25" s="1"/>
  <c r="P54" i="12" a="1"/>
  <c r="P54" i="12" s="1"/>
  <c r="W534" i="25" s="1"/>
  <c r="O55" i="12" a="1"/>
  <c r="O55" i="12" s="1"/>
  <c r="V535" i="25" s="1"/>
  <c r="Q54" i="12" a="1"/>
  <c r="Q54" i="12" s="1"/>
  <c r="X534" i="25" s="1"/>
  <c r="V55" i="12" a="1"/>
  <c r="V55" i="12" s="1"/>
  <c r="AC535" i="25" s="1"/>
  <c r="S53" i="12" a="1"/>
  <c r="S53" i="12" s="1"/>
  <c r="Z533" i="25" s="1"/>
  <c r="G61" i="18"/>
  <c r="U28" i="12"/>
  <c r="AB512" i="25" s="1"/>
  <c r="T28" i="12"/>
  <c r="U11" i="12"/>
  <c r="AB495" i="25" s="1"/>
  <c r="T11" i="12"/>
  <c r="T20" i="12"/>
  <c r="U20" i="12"/>
  <c r="AB504" i="25" s="1"/>
  <c r="T59" i="12"/>
  <c r="U59" i="12"/>
  <c r="AB539" i="25" s="1"/>
  <c r="T86" i="12"/>
  <c r="U86" i="12"/>
  <c r="AB563" i="25" s="1"/>
  <c r="U60" i="12"/>
  <c r="AB540" i="25" s="1"/>
  <c r="T60" i="12"/>
  <c r="AA540" i="25" s="1"/>
  <c r="T27" i="12"/>
  <c r="U27" i="12"/>
  <c r="AB511" i="25" s="1"/>
  <c r="T26" i="12"/>
  <c r="U26" i="12"/>
  <c r="AB510" i="25" s="1"/>
  <c r="T19" i="12"/>
  <c r="U19" i="12"/>
  <c r="AB503" i="25" s="1"/>
  <c r="T58" i="12"/>
  <c r="U58" i="12"/>
  <c r="AB538" i="25" s="1"/>
  <c r="T85" i="12"/>
  <c r="U85" i="12"/>
  <c r="AB562" i="25" s="1"/>
  <c r="T87" i="12"/>
  <c r="U87" i="12"/>
  <c r="AB564" i="25" s="1"/>
  <c r="T17" i="12"/>
  <c r="U17" i="12"/>
  <c r="AB501" i="25" s="1"/>
  <c r="T25" i="12"/>
  <c r="U25" i="12"/>
  <c r="AB509" i="25" s="1"/>
  <c r="T65" i="12"/>
  <c r="U65" i="12"/>
  <c r="AB545" i="25" s="1"/>
  <c r="T57" i="12"/>
  <c r="U57" i="12"/>
  <c r="AB537" i="25" s="1"/>
  <c r="U12" i="12"/>
  <c r="AB496" i="25" s="1"/>
  <c r="T12" i="12"/>
  <c r="T16" i="12"/>
  <c r="U16" i="12"/>
  <c r="AB500" i="25" s="1"/>
  <c r="T24" i="12"/>
  <c r="U24" i="12"/>
  <c r="AB508" i="25" s="1"/>
  <c r="U64" i="12"/>
  <c r="AB544" i="25" s="1"/>
  <c r="T64" i="12"/>
  <c r="T56" i="12"/>
  <c r="U56" i="12"/>
  <c r="AB536" i="25" s="1"/>
  <c r="U21" i="12"/>
  <c r="AB505" i="25" s="1"/>
  <c r="T21" i="12"/>
  <c r="T32" i="12"/>
  <c r="U32" i="12"/>
  <c r="AB516" i="25" s="1"/>
  <c r="T15" i="12"/>
  <c r="U15" i="12"/>
  <c r="AB499" i="25" s="1"/>
  <c r="T23" i="12"/>
  <c r="U23" i="12"/>
  <c r="AB507" i="25" s="1"/>
  <c r="T63" i="12"/>
  <c r="U63" i="12"/>
  <c r="AB543" i="25" s="1"/>
  <c r="T29" i="12"/>
  <c r="U29" i="12"/>
  <c r="AB513" i="25" s="1"/>
  <c r="T31" i="12"/>
  <c r="U31" i="12"/>
  <c r="AB515" i="25" s="1"/>
  <c r="T14" i="12"/>
  <c r="U14" i="12"/>
  <c r="AB498" i="25" s="1"/>
  <c r="T22" i="12"/>
  <c r="U22" i="12"/>
  <c r="AB506" i="25" s="1"/>
  <c r="T62" i="12"/>
  <c r="U62" i="12"/>
  <c r="AB542" i="25" s="1"/>
  <c r="U89" i="12"/>
  <c r="AB566" i="25" s="1"/>
  <c r="T89" i="12"/>
  <c r="T30" i="12"/>
  <c r="U30" i="12"/>
  <c r="AB514" i="25" s="1"/>
  <c r="T13" i="12"/>
  <c r="U13" i="12"/>
  <c r="AB497" i="25" s="1"/>
  <c r="T18" i="12"/>
  <c r="U18" i="12"/>
  <c r="AB502" i="25" s="1"/>
  <c r="T61" i="12"/>
  <c r="U61" i="12"/>
  <c r="AB541" i="25" s="1"/>
  <c r="U88" i="12"/>
  <c r="AB565" i="25" s="1"/>
  <c r="T88" i="12"/>
  <c r="M96" i="4"/>
  <c r="S92" i="25" s="1"/>
  <c r="AF92" i="25" s="1"/>
  <c r="M95" i="4"/>
  <c r="S91" i="25" s="1"/>
  <c r="AF91" i="25" s="1"/>
  <c r="M94" i="4"/>
  <c r="S90" i="25" s="1"/>
  <c r="AF90" i="25" s="1"/>
  <c r="M93" i="4"/>
  <c r="S89" i="25" s="1"/>
  <c r="AF89" i="25" s="1"/>
  <c r="M92" i="4"/>
  <c r="S88" i="25" s="1"/>
  <c r="AF88" i="25" s="1"/>
  <c r="M15" i="4"/>
  <c r="S11" i="25" s="1"/>
  <c r="AF11" i="25" s="1"/>
  <c r="C17" i="18"/>
  <c r="F42" i="18"/>
  <c r="F62" i="18" s="1"/>
  <c r="E62" i="18"/>
  <c r="D17" i="18"/>
  <c r="F17" i="18"/>
  <c r="E17" i="18"/>
  <c r="AA497" i="25" l="1"/>
  <c r="X13" i="12" a="1"/>
  <c r="X13" i="12" s="1"/>
  <c r="AA500" i="25"/>
  <c r="X16" i="12" a="1"/>
  <c r="X16" i="12" s="1"/>
  <c r="AA496" i="25"/>
  <c r="X12" i="12" a="1"/>
  <c r="X12" i="12" s="1"/>
  <c r="AA506" i="25"/>
  <c r="X22" i="12" a="1"/>
  <c r="X22" i="12" s="1"/>
  <c r="AA512" i="25"/>
  <c r="X28" i="12" a="1"/>
  <c r="X28" i="12" s="1"/>
  <c r="R533" i="25"/>
  <c r="AE533" i="25" s="1"/>
  <c r="AA498" i="25"/>
  <c r="X14" i="12" a="1"/>
  <c r="X14" i="12" s="1"/>
  <c r="AA501" i="25"/>
  <c r="X17" i="12" a="1"/>
  <c r="X17" i="12" s="1"/>
  <c r="AA566" i="25"/>
  <c r="X89" i="12" a="1"/>
  <c r="X89" i="12" s="1"/>
  <c r="AA544" i="25"/>
  <c r="X64" i="12" a="1"/>
  <c r="X64" i="12" s="1"/>
  <c r="AA541" i="25"/>
  <c r="X61" i="12" a="1"/>
  <c r="X61" i="12" s="1"/>
  <c r="AA515" i="25"/>
  <c r="X31" i="12" a="1"/>
  <c r="X31" i="12" s="1"/>
  <c r="AA499" i="25"/>
  <c r="X15" i="12" a="1"/>
  <c r="X15" i="12" s="1"/>
  <c r="AA537" i="25"/>
  <c r="X57" i="12" a="1"/>
  <c r="X57" i="12" s="1"/>
  <c r="AA564" i="25"/>
  <c r="X87" i="12" a="1"/>
  <c r="X87" i="12" s="1"/>
  <c r="AA510" i="25"/>
  <c r="X26" i="12" a="1"/>
  <c r="X26" i="12" s="1"/>
  <c r="AA539" i="25"/>
  <c r="X59" i="12" a="1"/>
  <c r="X59" i="12" s="1"/>
  <c r="AA495" i="25"/>
  <c r="X11" i="12" a="1"/>
  <c r="X11" i="12" s="1"/>
  <c r="R540" i="25"/>
  <c r="AE540" i="25" s="1"/>
  <c r="X60" i="12" a="1"/>
  <c r="X60" i="12" s="1"/>
  <c r="AA543" i="25"/>
  <c r="X63" i="12" a="1"/>
  <c r="X63" i="12" s="1"/>
  <c r="AA509" i="25"/>
  <c r="X25" i="12" a="1"/>
  <c r="X25" i="12" s="1"/>
  <c r="R534" i="25"/>
  <c r="AE534" i="25" s="1"/>
  <c r="AA507" i="25"/>
  <c r="X23" i="12" a="1"/>
  <c r="X23" i="12" s="1"/>
  <c r="AA505" i="25"/>
  <c r="X21" i="12" a="1"/>
  <c r="X21" i="12" s="1"/>
  <c r="AA538" i="25"/>
  <c r="X58" i="12" a="1"/>
  <c r="X58" i="12" s="1"/>
  <c r="AA565" i="25"/>
  <c r="X88" i="12" a="1"/>
  <c r="X88" i="12" s="1"/>
  <c r="AA514" i="25"/>
  <c r="X30" i="12" a="1"/>
  <c r="X30" i="12" s="1"/>
  <c r="AA536" i="25"/>
  <c r="X56" i="12" a="1"/>
  <c r="X56" i="12" s="1"/>
  <c r="AA503" i="25"/>
  <c r="X19" i="12" a="1"/>
  <c r="X19" i="12" s="1"/>
  <c r="AA563" i="25"/>
  <c r="X86" i="12" a="1"/>
  <c r="X86" i="12" s="1"/>
  <c r="AA502" i="25"/>
  <c r="X18" i="12" a="1"/>
  <c r="X18" i="12" s="1"/>
  <c r="AA542" i="25"/>
  <c r="X62" i="12" a="1"/>
  <c r="X62" i="12" s="1"/>
  <c r="AA513" i="25"/>
  <c r="X29" i="12" a="1"/>
  <c r="X29" i="12" s="1"/>
  <c r="AA516" i="25"/>
  <c r="X32" i="12" a="1"/>
  <c r="X32" i="12" s="1"/>
  <c r="AA508" i="25"/>
  <c r="X24" i="12" a="1"/>
  <c r="X24" i="12" s="1"/>
  <c r="AA545" i="25"/>
  <c r="X65" i="12" a="1"/>
  <c r="X65" i="12" s="1"/>
  <c r="AA562" i="25"/>
  <c r="X85" i="12" a="1"/>
  <c r="X85" i="12" s="1"/>
  <c r="AA511" i="25"/>
  <c r="X27" i="12" a="1"/>
  <c r="X27" i="12" s="1"/>
  <c r="AA504" i="25"/>
  <c r="X20" i="12" a="1"/>
  <c r="X20" i="12" s="1"/>
  <c r="R535" i="25"/>
  <c r="AE535" i="25" s="1"/>
  <c r="P12" i="4" a="1"/>
  <c r="P12" i="4" s="1"/>
  <c r="V8" i="25" s="1"/>
  <c r="S12" i="4" a="1"/>
  <c r="S12" i="4" s="1"/>
  <c r="Y8" i="25" s="1"/>
  <c r="R12" i="4" a="1"/>
  <c r="R12" i="4" s="1"/>
  <c r="X8" i="25" s="1"/>
  <c r="Q12" i="4" a="1"/>
  <c r="Q12" i="4" s="1"/>
  <c r="W8" i="25" s="1"/>
  <c r="T12" i="4" a="1"/>
  <c r="T12" i="4" s="1"/>
  <c r="Z8" i="25" s="1"/>
  <c r="R13" i="4" a="1"/>
  <c r="R13" i="4" s="1"/>
  <c r="X9" i="25" s="1"/>
  <c r="P13" i="4" a="1"/>
  <c r="P13" i="4" s="1"/>
  <c r="S13" i="4" a="1"/>
  <c r="S13" i="4" s="1"/>
  <c r="Y9" i="25" s="1"/>
  <c r="Q13" i="4" a="1"/>
  <c r="Q13" i="4" s="1"/>
  <c r="W9" i="25" s="1"/>
  <c r="T13" i="4" a="1"/>
  <c r="T13" i="4" s="1"/>
  <c r="Z9" i="25" s="1"/>
  <c r="R14" i="4" a="1"/>
  <c r="R14" i="4" s="1"/>
  <c r="X10" i="25" s="1"/>
  <c r="Q14" i="4" a="1"/>
  <c r="Q14" i="4" s="1"/>
  <c r="W10" i="25" s="1"/>
  <c r="P14" i="4" a="1"/>
  <c r="P14" i="4" s="1"/>
  <c r="T14" i="4" a="1"/>
  <c r="T14" i="4" s="1"/>
  <c r="Z10" i="25" s="1"/>
  <c r="S14" i="4" a="1"/>
  <c r="S14" i="4" s="1"/>
  <c r="Y10" i="25" s="1"/>
  <c r="P11" i="4" a="1"/>
  <c r="P11" i="4" s="1"/>
  <c r="S11" i="4" a="1"/>
  <c r="S11" i="4" s="1"/>
  <c r="Y7" i="25" s="1"/>
  <c r="Q11" i="4" a="1"/>
  <c r="Q11" i="4" s="1"/>
  <c r="W7" i="25" s="1"/>
  <c r="R11" i="4" a="1"/>
  <c r="R11" i="4" s="1"/>
  <c r="X7" i="25" s="1"/>
  <c r="T11" i="4" a="1"/>
  <c r="T11" i="4" s="1"/>
  <c r="Z7" i="25" s="1"/>
  <c r="T14" i="19"/>
  <c r="U18" i="19"/>
  <c r="AB187" i="25" s="1"/>
  <c r="U96" i="4"/>
  <c r="AA92" i="25" s="1"/>
  <c r="AA120" i="25"/>
  <c r="G17" i="18"/>
  <c r="T48" i="19"/>
  <c r="AA214" i="25" s="1"/>
  <c r="U48" i="19"/>
  <c r="AB214" i="25" s="1"/>
  <c r="U44" i="19"/>
  <c r="AB210" i="25" s="1"/>
  <c r="T44" i="19"/>
  <c r="AA210" i="25" s="1"/>
  <c r="U46" i="19"/>
  <c r="AB212" i="25" s="1"/>
  <c r="T46" i="19"/>
  <c r="AA212" i="25" s="1"/>
  <c r="T47" i="19"/>
  <c r="AA213" i="25" s="1"/>
  <c r="U47" i="19"/>
  <c r="AB213" i="25" s="1"/>
  <c r="T45" i="19"/>
  <c r="AA211" i="25" s="1"/>
  <c r="U45" i="19"/>
  <c r="AB211" i="25" s="1"/>
  <c r="L55" i="12"/>
  <c r="S535" i="25" s="1"/>
  <c r="AF535" i="25" s="1"/>
  <c r="L54" i="12"/>
  <c r="S534" i="25" s="1"/>
  <c r="AF534" i="25" s="1"/>
  <c r="I35" i="18"/>
  <c r="I34" i="18"/>
  <c r="G42" i="18"/>
  <c r="G62" i="18" s="1"/>
  <c r="H42" i="18"/>
  <c r="H62" i="18" s="1"/>
  <c r="V96" i="4"/>
  <c r="AB92" i="25" s="1"/>
  <c r="L53" i="12"/>
  <c r="S533" i="25" s="1"/>
  <c r="AF533" i="25" s="1"/>
  <c r="V95" i="4"/>
  <c r="AB91" i="25" s="1"/>
  <c r="U95" i="4"/>
  <c r="V15" i="4"/>
  <c r="AB11" i="25" s="1"/>
  <c r="U15" i="4"/>
  <c r="AA11" i="25" s="1"/>
  <c r="V93" i="4"/>
  <c r="AB89" i="25" s="1"/>
  <c r="U93" i="4"/>
  <c r="AA89" i="25" s="1"/>
  <c r="U10" i="4"/>
  <c r="AA6" i="25" s="1"/>
  <c r="V10" i="4"/>
  <c r="AB6" i="25" s="1"/>
  <c r="V92" i="4"/>
  <c r="AB88" i="25" s="1"/>
  <c r="U92" i="4"/>
  <c r="AA88" i="25" s="1"/>
  <c r="U94" i="4"/>
  <c r="V94" i="4"/>
  <c r="AB90" i="25" s="1"/>
  <c r="T18" i="19"/>
  <c r="AA187" i="25" s="1"/>
  <c r="U14" i="19"/>
  <c r="AB183" i="25" s="1"/>
  <c r="T16" i="19"/>
  <c r="AA185" i="25" s="1"/>
  <c r="U16" i="19"/>
  <c r="AB185" i="25" s="1"/>
  <c r="U19" i="19"/>
  <c r="AB188" i="25" s="1"/>
  <c r="T19" i="19"/>
  <c r="AA188" i="25" s="1"/>
  <c r="T17" i="19"/>
  <c r="AA186" i="25" s="1"/>
  <c r="U17" i="19"/>
  <c r="AB186" i="25" s="1"/>
  <c r="T15" i="19"/>
  <c r="AA184" i="25" s="1"/>
  <c r="U15" i="19"/>
  <c r="AB184" i="25" s="1"/>
  <c r="U13" i="19"/>
  <c r="AB182" i="25" s="1"/>
  <c r="T13" i="19"/>
  <c r="I9" i="14"/>
  <c r="I20" i="14"/>
  <c r="I21" i="14"/>
  <c r="I22" i="14"/>
  <c r="I23" i="14"/>
  <c r="I24" i="14"/>
  <c r="I25" i="14"/>
  <c r="I26" i="14"/>
  <c r="I27" i="14"/>
  <c r="I28" i="14"/>
  <c r="I29" i="14"/>
  <c r="I30" i="14"/>
  <c r="I31" i="14"/>
  <c r="V26" i="17"/>
  <c r="V25" i="17"/>
  <c r="E36" i="14"/>
  <c r="E37" i="14"/>
  <c r="E38" i="14"/>
  <c r="E39" i="14"/>
  <c r="E40" i="14"/>
  <c r="E41" i="14"/>
  <c r="E42" i="14"/>
  <c r="E43" i="14"/>
  <c r="E44" i="14"/>
  <c r="E45" i="14"/>
  <c r="E46" i="14"/>
  <c r="E47" i="14"/>
  <c r="E48" i="14"/>
  <c r="E35" i="14"/>
  <c r="V153" i="17"/>
  <c r="V152" i="17"/>
  <c r="O9" i="17"/>
  <c r="L21" i="5"/>
  <c r="G121" i="4"/>
  <c r="F8" i="19"/>
  <c r="M177" i="25" s="1"/>
  <c r="F9" i="19"/>
  <c r="M178" i="25" s="1"/>
  <c r="F10" i="19"/>
  <c r="M179" i="25" s="1"/>
  <c r="F11" i="19"/>
  <c r="M180" i="25" s="1"/>
  <c r="F12" i="19"/>
  <c r="M181" i="25" s="1"/>
  <c r="F20" i="19"/>
  <c r="M189" i="25" s="1"/>
  <c r="F70" i="12"/>
  <c r="M550" i="25" s="1"/>
  <c r="F71" i="12"/>
  <c r="M551" i="25" s="1"/>
  <c r="F72" i="12"/>
  <c r="M552" i="25" s="1"/>
  <c r="F73" i="12"/>
  <c r="M553" i="25" s="1"/>
  <c r="F74" i="12"/>
  <c r="M554" i="25" s="1"/>
  <c r="F75" i="12"/>
  <c r="M555" i="25" s="1"/>
  <c r="F76" i="12"/>
  <c r="M556" i="25" s="1"/>
  <c r="F77" i="12"/>
  <c r="M557" i="25" s="1"/>
  <c r="F78" i="12"/>
  <c r="M558" i="25" s="1"/>
  <c r="F79" i="12"/>
  <c r="M559" i="25" s="1"/>
  <c r="F80" i="12"/>
  <c r="M560" i="25" s="1"/>
  <c r="F54" i="12"/>
  <c r="M534" i="25" s="1"/>
  <c r="F66" i="12"/>
  <c r="M546" i="25" s="1"/>
  <c r="F67" i="12"/>
  <c r="M547" i="25" s="1"/>
  <c r="F68" i="12"/>
  <c r="M548" i="25" s="1"/>
  <c r="F69" i="12"/>
  <c r="M549" i="25" s="1"/>
  <c r="F65" i="19"/>
  <c r="M228" i="25" s="1"/>
  <c r="F66" i="19"/>
  <c r="M229" i="25" s="1"/>
  <c r="N231" i="25"/>
  <c r="O70" i="19"/>
  <c r="V233" i="25" s="1"/>
  <c r="F69" i="19"/>
  <c r="M232" i="25" s="1"/>
  <c r="F70" i="19"/>
  <c r="M233" i="25" s="1"/>
  <c r="H69" i="19"/>
  <c r="H70" i="19"/>
  <c r="I70" i="19" s="1"/>
  <c r="K69" i="19"/>
  <c r="R232" i="25" s="1"/>
  <c r="AE232" i="25" s="1"/>
  <c r="K70" i="19"/>
  <c r="R233" i="25" s="1"/>
  <c r="AE233" i="25" s="1"/>
  <c r="E36" i="10"/>
  <c r="E35" i="10"/>
  <c r="E34" i="10"/>
  <c r="E33" i="10"/>
  <c r="E32" i="10"/>
  <c r="E31" i="10"/>
  <c r="E30" i="10"/>
  <c r="E29" i="10"/>
  <c r="E28" i="10"/>
  <c r="E26" i="10"/>
  <c r="E25" i="10"/>
  <c r="E24" i="10"/>
  <c r="E23" i="10"/>
  <c r="E22" i="10"/>
  <c r="E20" i="10"/>
  <c r="E21" i="10"/>
  <c r="E19" i="10"/>
  <c r="F22" i="19"/>
  <c r="M191" i="25" s="1"/>
  <c r="F23" i="19"/>
  <c r="M192" i="25" s="1"/>
  <c r="F24" i="19"/>
  <c r="M193" i="25" s="1"/>
  <c r="F25" i="19"/>
  <c r="M194" i="25" s="1"/>
  <c r="F26" i="19"/>
  <c r="M195" i="25" s="1"/>
  <c r="I22" i="19" a="1"/>
  <c r="I22" i="19" s="1"/>
  <c r="I23" i="19" a="1"/>
  <c r="I23" i="19" s="1"/>
  <c r="I24" i="19" a="1"/>
  <c r="I24" i="19" s="1"/>
  <c r="I25" i="19" a="1"/>
  <c r="I25" i="19" s="1"/>
  <c r="I26" i="19" a="1"/>
  <c r="I26" i="19" s="1"/>
  <c r="J22" i="19" a="1"/>
  <c r="J22" i="19" s="1"/>
  <c r="Q191" i="25" s="1"/>
  <c r="J23" i="19" a="1"/>
  <c r="J23" i="19" s="1"/>
  <c r="Q192" i="25" s="1"/>
  <c r="J24" i="19" a="1"/>
  <c r="J24" i="19" s="1"/>
  <c r="Q193" i="25" s="1"/>
  <c r="J25" i="19" a="1"/>
  <c r="J25" i="19" s="1"/>
  <c r="Q194" i="25" s="1"/>
  <c r="J26" i="19" a="1"/>
  <c r="J26" i="19" s="1"/>
  <c r="Q195" i="25" s="1"/>
  <c r="K22" i="19" a="1"/>
  <c r="K22" i="19" s="1"/>
  <c r="R191" i="25" s="1"/>
  <c r="AE191" i="25" s="1"/>
  <c r="K23" i="19" a="1"/>
  <c r="K23" i="19" s="1"/>
  <c r="R192" i="25" s="1"/>
  <c r="AE192" i="25" s="1"/>
  <c r="K24" i="19" a="1"/>
  <c r="K24" i="19" s="1"/>
  <c r="R193" i="25" s="1"/>
  <c r="AE193" i="25" s="1"/>
  <c r="K25" i="19" a="1"/>
  <c r="K25" i="19" s="1"/>
  <c r="R194" i="25" s="1"/>
  <c r="AE194" i="25" s="1"/>
  <c r="K26" i="19" a="1"/>
  <c r="K26" i="19" s="1"/>
  <c r="R195" i="25" s="1"/>
  <c r="AE195" i="25" s="1"/>
  <c r="O22" i="19" a="1"/>
  <c r="O22" i="19" s="1"/>
  <c r="V191" i="25" s="1"/>
  <c r="O23" i="19" a="1"/>
  <c r="O23" i="19" s="1"/>
  <c r="V192" i="25" s="1"/>
  <c r="O24" i="19" a="1"/>
  <c r="O24" i="19" s="1"/>
  <c r="V193" i="25" s="1"/>
  <c r="O25" i="19" a="1"/>
  <c r="O25" i="19" s="1"/>
  <c r="V194" i="25" s="1"/>
  <c r="O26" i="19" a="1"/>
  <c r="O26" i="19" s="1"/>
  <c r="V195" i="25" s="1"/>
  <c r="P22" i="19" a="1"/>
  <c r="P22" i="19" s="1"/>
  <c r="W191" i="25" s="1"/>
  <c r="P23" i="19" a="1"/>
  <c r="P23" i="19" s="1"/>
  <c r="W192" i="25" s="1"/>
  <c r="P24" i="19" a="1"/>
  <c r="P24" i="19" s="1"/>
  <c r="W193" i="25" s="1"/>
  <c r="P25" i="19" a="1"/>
  <c r="P25" i="19" s="1"/>
  <c r="W194" i="25" s="1"/>
  <c r="P26" i="19" a="1"/>
  <c r="P26" i="19" s="1"/>
  <c r="W195" i="25" s="1"/>
  <c r="Q22" i="19" a="1"/>
  <c r="Q22" i="19" s="1"/>
  <c r="X191" i="25" s="1"/>
  <c r="Q23" i="19" a="1"/>
  <c r="Q23" i="19" s="1"/>
  <c r="X192" i="25" s="1"/>
  <c r="Q24" i="19" a="1"/>
  <c r="Q24" i="19" s="1"/>
  <c r="X193" i="25" s="1"/>
  <c r="Q25" i="19" a="1"/>
  <c r="Q25" i="19" s="1"/>
  <c r="X194" i="25" s="1"/>
  <c r="Q26" i="19" a="1"/>
  <c r="Q26" i="19" s="1"/>
  <c r="X195" i="25" s="1"/>
  <c r="R22" i="19" a="1"/>
  <c r="R22" i="19" s="1"/>
  <c r="Y191" i="25" s="1"/>
  <c r="R23" i="19" a="1"/>
  <c r="R23" i="19" s="1"/>
  <c r="Y192" i="25" s="1"/>
  <c r="R24" i="19" a="1"/>
  <c r="R24" i="19" s="1"/>
  <c r="Y193" i="25" s="1"/>
  <c r="R25" i="19" a="1"/>
  <c r="R25" i="19" s="1"/>
  <c r="Y194" i="25" s="1"/>
  <c r="R26" i="19" a="1"/>
  <c r="R26" i="19" s="1"/>
  <c r="Y195" i="25" s="1"/>
  <c r="S22" i="19" a="1"/>
  <c r="S22" i="19" s="1"/>
  <c r="Z191" i="25" s="1"/>
  <c r="S23" i="19" a="1"/>
  <c r="S23" i="19" s="1"/>
  <c r="Z192" i="25" s="1"/>
  <c r="S24" i="19" a="1"/>
  <c r="S24" i="19" s="1"/>
  <c r="Z193" i="25" s="1"/>
  <c r="S25" i="19" a="1"/>
  <c r="S25" i="19" s="1"/>
  <c r="Z194" i="25" s="1"/>
  <c r="S26" i="19" a="1"/>
  <c r="S26" i="19" s="1"/>
  <c r="Z195" i="25" s="1"/>
  <c r="V22" i="19" a="1"/>
  <c r="V22" i="19" s="1"/>
  <c r="V23" i="19" a="1"/>
  <c r="V23" i="19" s="1"/>
  <c r="V24" i="19" a="1"/>
  <c r="V24" i="19" s="1"/>
  <c r="V25" i="19" a="1"/>
  <c r="V25" i="19" s="1"/>
  <c r="V26" i="19" a="1"/>
  <c r="V26" i="19" s="1"/>
  <c r="F52" i="19"/>
  <c r="M218" i="25" s="1"/>
  <c r="F53" i="19"/>
  <c r="M219" i="25" s="1"/>
  <c r="F54" i="19"/>
  <c r="M220" i="25" s="1"/>
  <c r="F55" i="19"/>
  <c r="M221" i="25" s="1"/>
  <c r="I52" i="19" a="1"/>
  <c r="I52" i="19" s="1"/>
  <c r="I53" i="19" a="1"/>
  <c r="I53" i="19" s="1"/>
  <c r="I54" i="19" a="1"/>
  <c r="I54" i="19" s="1"/>
  <c r="I55" i="19" a="1"/>
  <c r="I55" i="19" s="1"/>
  <c r="J52" i="19" a="1"/>
  <c r="J52" i="19" s="1"/>
  <c r="Q218" i="25" s="1"/>
  <c r="J53" i="19" a="1"/>
  <c r="J53" i="19" s="1"/>
  <c r="Q219" i="25" s="1"/>
  <c r="J54" i="19" a="1"/>
  <c r="J54" i="19" s="1"/>
  <c r="Q220" i="25" s="1"/>
  <c r="J55" i="19" a="1"/>
  <c r="J55" i="19" s="1"/>
  <c r="Q221" i="25" s="1"/>
  <c r="K52" i="19" a="1"/>
  <c r="K52" i="19" s="1"/>
  <c r="R218" i="25" s="1"/>
  <c r="AE218" i="25" s="1"/>
  <c r="K53" i="19" a="1"/>
  <c r="K53" i="19" s="1"/>
  <c r="R219" i="25" s="1"/>
  <c r="AE219" i="25" s="1"/>
  <c r="K54" i="19" a="1"/>
  <c r="K54" i="19" s="1"/>
  <c r="R220" i="25" s="1"/>
  <c r="AE220" i="25" s="1"/>
  <c r="K55" i="19" a="1"/>
  <c r="K55" i="19" s="1"/>
  <c r="R221" i="25" s="1"/>
  <c r="AE221" i="25" s="1"/>
  <c r="S268" i="25" l="1"/>
  <c r="AF268" i="25" s="1"/>
  <c r="Z21" i="5" a="1"/>
  <c r="Z21" i="5" s="1"/>
  <c r="X47" i="19" a="1"/>
  <c r="X47" i="19" s="1"/>
  <c r="AA183" i="25"/>
  <c r="X14" i="19" a="1"/>
  <c r="X14" i="19" s="1"/>
  <c r="X18" i="19" a="1"/>
  <c r="X18" i="19" s="1"/>
  <c r="X48" i="19" a="1"/>
  <c r="X48" i="19" s="1"/>
  <c r="X46" i="19" a="1"/>
  <c r="X46" i="19" s="1"/>
  <c r="X45" i="19" a="1"/>
  <c r="X45" i="19" s="1"/>
  <c r="X15" i="19" a="1"/>
  <c r="X15" i="19" s="1"/>
  <c r="AA182" i="25"/>
  <c r="X13" i="19" a="1"/>
  <c r="X13" i="19" s="1"/>
  <c r="X44" i="19" a="1"/>
  <c r="X44" i="19" s="1"/>
  <c r="X19" i="19" a="1"/>
  <c r="X19" i="19" s="1"/>
  <c r="X17" i="19" a="1"/>
  <c r="X17" i="19" s="1"/>
  <c r="X16" i="19" a="1"/>
  <c r="X16" i="19" s="1"/>
  <c r="N230" i="25"/>
  <c r="E22" i="26"/>
  <c r="Y15" i="4" a="1"/>
  <c r="Y15" i="4" s="1"/>
  <c r="AA90" i="25"/>
  <c r="Y93" i="4" a="1"/>
  <c r="Y93" i="4" s="1"/>
  <c r="Y94" i="4" a="1"/>
  <c r="Y94" i="4" s="1"/>
  <c r="M114" i="25"/>
  <c r="AA91" i="25"/>
  <c r="Y96" i="4" a="1"/>
  <c r="Y96" i="4" s="1"/>
  <c r="Y92" i="4" a="1"/>
  <c r="Y92" i="4" s="1"/>
  <c r="Y95" i="4" a="1"/>
  <c r="Y95" i="4" s="1"/>
  <c r="Y10" i="4" a="1"/>
  <c r="Y10" i="4" s="1"/>
  <c r="V10" i="25"/>
  <c r="M14" i="4"/>
  <c r="M12" i="4"/>
  <c r="V9" i="25"/>
  <c r="M13" i="4"/>
  <c r="V7" i="25"/>
  <c r="M11" i="4"/>
  <c r="P233" i="25"/>
  <c r="L70" i="19"/>
  <c r="S233" i="25" s="1"/>
  <c r="AF233" i="25" s="1"/>
  <c r="P221" i="25"/>
  <c r="L55" i="19"/>
  <c r="S55" i="19" a="1"/>
  <c r="S55" i="19" s="1"/>
  <c r="Z221" i="25" s="1"/>
  <c r="P55" i="19" a="1"/>
  <c r="P55" i="19" s="1"/>
  <c r="W221" i="25" s="1"/>
  <c r="V55" i="19" a="1"/>
  <c r="V55" i="19" s="1"/>
  <c r="O55" i="19" a="1"/>
  <c r="O55" i="19" s="1"/>
  <c r="V221" i="25" s="1"/>
  <c r="Q55" i="19" a="1"/>
  <c r="Q55" i="19" s="1"/>
  <c r="X221" i="25" s="1"/>
  <c r="R55" i="19" a="1"/>
  <c r="R55" i="19" s="1"/>
  <c r="Y221" i="25" s="1"/>
  <c r="P195" i="25"/>
  <c r="L26" i="19"/>
  <c r="S195" i="25" s="1"/>
  <c r="AF195" i="25" s="1"/>
  <c r="L25" i="19"/>
  <c r="S194" i="25" s="1"/>
  <c r="AF194" i="25" s="1"/>
  <c r="P194" i="25"/>
  <c r="P220" i="25"/>
  <c r="L54" i="19"/>
  <c r="S220" i="25" s="1"/>
  <c r="AF220" i="25" s="1"/>
  <c r="P219" i="25"/>
  <c r="L53" i="19"/>
  <c r="S219" i="25" s="1"/>
  <c r="AF219" i="25" s="1"/>
  <c r="P193" i="25"/>
  <c r="L24" i="19"/>
  <c r="S193" i="25" s="1"/>
  <c r="AF193" i="25" s="1"/>
  <c r="U55" i="12"/>
  <c r="AB535" i="25" s="1"/>
  <c r="P218" i="25"/>
  <c r="L52" i="19"/>
  <c r="S218" i="25" s="1"/>
  <c r="AF218" i="25" s="1"/>
  <c r="P192" i="25"/>
  <c r="L23" i="19"/>
  <c r="S192" i="25" s="1"/>
  <c r="AF192" i="25" s="1"/>
  <c r="P191" i="25"/>
  <c r="L22" i="19"/>
  <c r="S191" i="25" s="1"/>
  <c r="AF191" i="25" s="1"/>
  <c r="O53" i="19" a="1"/>
  <c r="O53" i="19" s="1"/>
  <c r="V219" i="25" s="1"/>
  <c r="P53" i="19" a="1"/>
  <c r="P53" i="19" s="1"/>
  <c r="W219" i="25" s="1"/>
  <c r="V53" i="19" a="1"/>
  <c r="V53" i="19" s="1"/>
  <c r="Q53" i="19" a="1"/>
  <c r="Q53" i="19" s="1"/>
  <c r="X219" i="25" s="1"/>
  <c r="R53" i="19" a="1"/>
  <c r="R53" i="19" s="1"/>
  <c r="Y219" i="25" s="1"/>
  <c r="S53" i="19" a="1"/>
  <c r="S53" i="19" s="1"/>
  <c r="Z219" i="25" s="1"/>
  <c r="R52" i="19" a="1"/>
  <c r="R52" i="19" s="1"/>
  <c r="Y218" i="25" s="1"/>
  <c r="S52" i="19" a="1"/>
  <c r="S52" i="19" s="1"/>
  <c r="Z218" i="25" s="1"/>
  <c r="O52" i="19" a="1"/>
  <c r="O52" i="19" s="1"/>
  <c r="V218" i="25" s="1"/>
  <c r="Q52" i="19" a="1"/>
  <c r="Q52" i="19" s="1"/>
  <c r="X218" i="25" s="1"/>
  <c r="P52" i="19" a="1"/>
  <c r="P52" i="19" s="1"/>
  <c r="W218" i="25" s="1"/>
  <c r="V52" i="19" a="1"/>
  <c r="V52" i="19" s="1"/>
  <c r="R54" i="19" a="1"/>
  <c r="R54" i="19" s="1"/>
  <c r="Y220" i="25" s="1"/>
  <c r="S54" i="19" a="1"/>
  <c r="S54" i="19" s="1"/>
  <c r="Z220" i="25" s="1"/>
  <c r="O54" i="19" a="1"/>
  <c r="O54" i="19" s="1"/>
  <c r="V220" i="25" s="1"/>
  <c r="P54" i="19" a="1"/>
  <c r="P54" i="19" s="1"/>
  <c r="W220" i="25" s="1"/>
  <c r="V54" i="19" a="1"/>
  <c r="V54" i="19" s="1"/>
  <c r="Q54" i="19" a="1"/>
  <c r="Q54" i="19" s="1"/>
  <c r="X220" i="25" s="1"/>
  <c r="T55" i="12"/>
  <c r="AA535" i="25" s="1"/>
  <c r="T69" i="12"/>
  <c r="U69" i="12"/>
  <c r="AB549" i="25" s="1"/>
  <c r="T68" i="12"/>
  <c r="U68" i="12"/>
  <c r="AB548" i="25" s="1"/>
  <c r="T76" i="12"/>
  <c r="U76" i="12"/>
  <c r="AB556" i="25" s="1"/>
  <c r="U77" i="12"/>
  <c r="AB557" i="25" s="1"/>
  <c r="T77" i="12"/>
  <c r="U67" i="12"/>
  <c r="AB547" i="25" s="1"/>
  <c r="T67" i="12"/>
  <c r="T75" i="12"/>
  <c r="U75" i="12"/>
  <c r="AB555" i="25" s="1"/>
  <c r="T78" i="12"/>
  <c r="U78" i="12"/>
  <c r="AB558" i="25" s="1"/>
  <c r="T54" i="12"/>
  <c r="AA534" i="25" s="1"/>
  <c r="U54" i="12"/>
  <c r="AB534" i="25" s="1"/>
  <c r="U73" i="12"/>
  <c r="AB553" i="25" s="1"/>
  <c r="T73" i="12"/>
  <c r="T66" i="12"/>
  <c r="U66" i="12"/>
  <c r="AB546" i="25" s="1"/>
  <c r="T74" i="12"/>
  <c r="U74" i="12"/>
  <c r="AB554" i="25" s="1"/>
  <c r="T80" i="12"/>
  <c r="U80" i="12"/>
  <c r="AB560" i="25" s="1"/>
  <c r="T72" i="12"/>
  <c r="U72" i="12"/>
  <c r="AB552" i="25" s="1"/>
  <c r="U70" i="12"/>
  <c r="AB550" i="25" s="1"/>
  <c r="T70" i="12"/>
  <c r="T79" i="12"/>
  <c r="U79" i="12"/>
  <c r="AB559" i="25" s="1"/>
  <c r="U71" i="12"/>
  <c r="AB551" i="25" s="1"/>
  <c r="T71" i="12"/>
  <c r="T53" i="12"/>
  <c r="AA533" i="25" s="1"/>
  <c r="U53" i="12"/>
  <c r="AB533" i="25" s="1"/>
  <c r="V23" i="17"/>
  <c r="E19" i="26"/>
  <c r="J70" i="19"/>
  <c r="Q233" i="25" s="1"/>
  <c r="J69" i="19"/>
  <c r="Q70" i="19"/>
  <c r="X233" i="25" s="1"/>
  <c r="S70" i="19"/>
  <c r="Z233" i="25" s="1"/>
  <c r="P70" i="19"/>
  <c r="W233" i="25" s="1"/>
  <c r="V70" i="19"/>
  <c r="AC233" i="25" s="1"/>
  <c r="R70" i="19"/>
  <c r="Y233" i="25" s="1"/>
  <c r="X53" i="12" l="1" a="1"/>
  <c r="X53" i="12" s="1"/>
  <c r="AA548" i="25"/>
  <c r="X68" i="12" a="1"/>
  <c r="X68" i="12" s="1"/>
  <c r="AA559" i="25"/>
  <c r="X79" i="12" a="1"/>
  <c r="X79" i="12" s="1"/>
  <c r="AA554" i="25"/>
  <c r="X74" i="12" a="1"/>
  <c r="X74" i="12" s="1"/>
  <c r="AA558" i="25"/>
  <c r="X78" i="12" a="1"/>
  <c r="X78" i="12" s="1"/>
  <c r="AA556" i="25"/>
  <c r="X76" i="12" a="1"/>
  <c r="X76" i="12" s="1"/>
  <c r="X54" i="12" a="1"/>
  <c r="X54" i="12" s="1"/>
  <c r="AA546" i="25"/>
  <c r="X66" i="12" a="1"/>
  <c r="X66" i="12" s="1"/>
  <c r="AA555" i="25"/>
  <c r="X75" i="12" a="1"/>
  <c r="X75" i="12" s="1"/>
  <c r="AA553" i="25"/>
  <c r="X73" i="12" a="1"/>
  <c r="X73" i="12" s="1"/>
  <c r="AA547" i="25"/>
  <c r="X67" i="12" a="1"/>
  <c r="X67" i="12" s="1"/>
  <c r="AA552" i="25"/>
  <c r="X72" i="12" a="1"/>
  <c r="X72" i="12" s="1"/>
  <c r="AA549" i="25"/>
  <c r="X69" i="12" a="1"/>
  <c r="X69" i="12" s="1"/>
  <c r="AA551" i="25"/>
  <c r="X71" i="12" a="1"/>
  <c r="X71" i="12" s="1"/>
  <c r="AA557" i="25"/>
  <c r="X77" i="12" a="1"/>
  <c r="X77" i="12" s="1"/>
  <c r="X55" i="12" a="1"/>
  <c r="X55" i="12" s="1"/>
  <c r="AA550" i="25"/>
  <c r="X70" i="12" a="1"/>
  <c r="X70" i="12" s="1"/>
  <c r="AA560" i="25"/>
  <c r="X80" i="12" a="1"/>
  <c r="X80" i="12" s="1"/>
  <c r="S7" i="25"/>
  <c r="AF7" i="25" s="1"/>
  <c r="V11" i="4"/>
  <c r="AB7" i="25" s="1"/>
  <c r="U11" i="4"/>
  <c r="AA7" i="25" s="1"/>
  <c r="S9" i="25"/>
  <c r="AF9" i="25" s="1"/>
  <c r="U13" i="4"/>
  <c r="AA9" i="25" s="1"/>
  <c r="V13" i="4"/>
  <c r="AB9" i="25" s="1"/>
  <c r="S10" i="25"/>
  <c r="AF10" i="25" s="1"/>
  <c r="U14" i="4"/>
  <c r="AA10" i="25" s="1"/>
  <c r="V14" i="4"/>
  <c r="AB10" i="25" s="1"/>
  <c r="S8" i="25"/>
  <c r="AF8" i="25" s="1"/>
  <c r="U12" i="4"/>
  <c r="AA8" i="25" s="1"/>
  <c r="V12" i="4"/>
  <c r="AB8" i="25" s="1"/>
  <c r="I69" i="19"/>
  <c r="Q232" i="25"/>
  <c r="U22" i="19"/>
  <c r="AB191" i="25" s="1"/>
  <c r="U25" i="19"/>
  <c r="AB194" i="25" s="1"/>
  <c r="U24" i="19"/>
  <c r="AB193" i="25" s="1"/>
  <c r="U70" i="19"/>
  <c r="AB233" i="25" s="1"/>
  <c r="U23" i="19"/>
  <c r="AB192" i="25" s="1"/>
  <c r="S221" i="25"/>
  <c r="AF221" i="25" s="1"/>
  <c r="T55" i="19"/>
  <c r="AA221" i="25" s="1"/>
  <c r="U55" i="19"/>
  <c r="AB221" i="25" s="1"/>
  <c r="T52" i="19"/>
  <c r="AA218" i="25" s="1"/>
  <c r="U52" i="19"/>
  <c r="AB218" i="25" s="1"/>
  <c r="T54" i="19"/>
  <c r="AA220" i="25" s="1"/>
  <c r="U54" i="19"/>
  <c r="AB220" i="25" s="1"/>
  <c r="T53" i="19"/>
  <c r="AA219" i="25" s="1"/>
  <c r="U53" i="19"/>
  <c r="AB219" i="25" s="1"/>
  <c r="H34" i="18"/>
  <c r="G34" i="18"/>
  <c r="Q69" i="19"/>
  <c r="X232" i="25" s="1"/>
  <c r="R69" i="19"/>
  <c r="Y232" i="25" s="1"/>
  <c r="O69" i="19"/>
  <c r="V232" i="25" s="1"/>
  <c r="V69" i="19"/>
  <c r="AC232" i="25" s="1"/>
  <c r="P69" i="19"/>
  <c r="W232" i="25" s="1"/>
  <c r="S69" i="19"/>
  <c r="Z232" i="25" s="1"/>
  <c r="T70" i="19"/>
  <c r="T24" i="19"/>
  <c r="AA193" i="25" s="1"/>
  <c r="T23" i="19"/>
  <c r="AA192" i="25" s="1"/>
  <c r="T22" i="19"/>
  <c r="AA191" i="25" s="1"/>
  <c r="T25" i="19"/>
  <c r="AA194" i="25" s="1"/>
  <c r="T26" i="19"/>
  <c r="AA195" i="25" s="1"/>
  <c r="U26" i="19"/>
  <c r="AB195" i="25" s="1"/>
  <c r="X52" i="12" l="1"/>
  <c r="H51" i="12" s="1"/>
  <c r="D17" i="26" s="1"/>
  <c r="E17" i="26" s="1"/>
  <c r="X54" i="19" a="1"/>
  <c r="X54" i="19" s="1"/>
  <c r="X52" i="19" a="1"/>
  <c r="X52" i="19" s="1"/>
  <c r="X70" i="19" a="1"/>
  <c r="X70" i="19" s="1"/>
  <c r="AA233" i="25"/>
  <c r="X22" i="19" a="1"/>
  <c r="X22" i="19" s="1"/>
  <c r="X53" i="19" a="1"/>
  <c r="X53" i="19" s="1"/>
  <c r="X24" i="19" a="1"/>
  <c r="X24" i="19" s="1"/>
  <c r="X23" i="19" a="1"/>
  <c r="X23" i="19" s="1"/>
  <c r="X25" i="19" a="1"/>
  <c r="X25" i="19" s="1"/>
  <c r="X26" i="19" a="1"/>
  <c r="X26" i="19" s="1"/>
  <c r="X55" i="19" a="1"/>
  <c r="X55" i="19" s="1"/>
  <c r="P232" i="25"/>
  <c r="Y14" i="4" a="1"/>
  <c r="Y14" i="4" s="1"/>
  <c r="Y13" i="4" a="1"/>
  <c r="Y13" i="4" s="1"/>
  <c r="Y12" i="4" a="1"/>
  <c r="Y12" i="4" s="1"/>
  <c r="Y11" i="4" a="1"/>
  <c r="Y11" i="4" s="1"/>
  <c r="L69" i="19"/>
  <c r="S232" i="25" s="1"/>
  <c r="AF232" i="25" s="1"/>
  <c r="C80" i="18"/>
  <c r="C83" i="18" s="1"/>
  <c r="R207" i="17"/>
  <c r="V207" i="17" s="1"/>
  <c r="V180" i="17"/>
  <c r="V179" i="17"/>
  <c r="V181" i="17"/>
  <c r="V175" i="17"/>
  <c r="V174" i="17"/>
  <c r="V169" i="17"/>
  <c r="V168" i="17"/>
  <c r="V165" i="17"/>
  <c r="V163" i="17"/>
  <c r="V161" i="17"/>
  <c r="V159" i="17"/>
  <c r="V158" i="17"/>
  <c r="V157" i="17"/>
  <c r="V189" i="17"/>
  <c r="V188" i="17"/>
  <c r="V195" i="17"/>
  <c r="V194" i="17"/>
  <c r="V197" i="17"/>
  <c r="V196" i="17"/>
  <c r="V205" i="17"/>
  <c r="V204" i="17"/>
  <c r="V203" i="17"/>
  <c r="V202" i="17"/>
  <c r="V147" i="17"/>
  <c r="V146" i="17"/>
  <c r="U69" i="19" l="1"/>
  <c r="AB232" i="25" s="1"/>
  <c r="T69" i="19"/>
  <c r="L122" i="4" a="1"/>
  <c r="L122" i="4" s="1"/>
  <c r="R115" i="25" s="1"/>
  <c r="AE115" i="25" s="1"/>
  <c r="L123" i="4" a="1"/>
  <c r="L123" i="4" s="1"/>
  <c r="R116" i="25" s="1"/>
  <c r="AE116" i="25" s="1"/>
  <c r="L124" i="4" a="1"/>
  <c r="L124" i="4" s="1"/>
  <c r="R117" i="25" s="1"/>
  <c r="AE117" i="25" s="1"/>
  <c r="L125" i="4" a="1"/>
  <c r="L125" i="4" s="1"/>
  <c r="R118" i="25" s="1"/>
  <c r="AE118" i="25" s="1"/>
  <c r="L126" i="4" a="1"/>
  <c r="L126" i="4" s="1"/>
  <c r="R119" i="25" s="1"/>
  <c r="AE119" i="25" s="1"/>
  <c r="K121" i="4"/>
  <c r="Q114" i="25" s="1"/>
  <c r="K122" i="4"/>
  <c r="Q115" i="25" s="1"/>
  <c r="K123" i="4"/>
  <c r="Q116" i="25" s="1"/>
  <c r="K124" i="4"/>
  <c r="Q117" i="25" s="1"/>
  <c r="K125" i="4"/>
  <c r="Q118" i="25" s="1"/>
  <c r="K126" i="4"/>
  <c r="Q119" i="25" s="1"/>
  <c r="K7" i="4"/>
  <c r="L102" i="4" a="1"/>
  <c r="L102" i="4" s="1"/>
  <c r="R98" i="25" s="1"/>
  <c r="AE98" i="25" s="1"/>
  <c r="L103" i="4" a="1"/>
  <c r="L103" i="4" s="1"/>
  <c r="R99" i="25" s="1"/>
  <c r="AE99" i="25" s="1"/>
  <c r="L104" i="4" a="1"/>
  <c r="L104" i="4" s="1"/>
  <c r="R100" i="25" s="1"/>
  <c r="AE100" i="25" s="1"/>
  <c r="L105" i="4" a="1"/>
  <c r="L105" i="4" s="1"/>
  <c r="R101" i="25" s="1"/>
  <c r="AE101" i="25" s="1"/>
  <c r="L106" i="4" a="1"/>
  <c r="L106" i="4" s="1"/>
  <c r="R102" i="25" s="1"/>
  <c r="AE102" i="25" s="1"/>
  <c r="L107" i="4" a="1"/>
  <c r="L107" i="4" s="1"/>
  <c r="R103" i="25" s="1"/>
  <c r="AE103" i="25" s="1"/>
  <c r="L108" i="4" a="1"/>
  <c r="L108" i="4" s="1"/>
  <c r="R104" i="25" s="1"/>
  <c r="AE104" i="25" s="1"/>
  <c r="L109" i="4" a="1"/>
  <c r="L109" i="4" s="1"/>
  <c r="R105" i="25" s="1"/>
  <c r="AE105" i="25" s="1"/>
  <c r="L110" i="4" a="1"/>
  <c r="L110" i="4" s="1"/>
  <c r="R106" i="25" s="1"/>
  <c r="AE106" i="25" s="1"/>
  <c r="L111" i="4" a="1"/>
  <c r="L111" i="4" s="1"/>
  <c r="R107" i="25" s="1"/>
  <c r="AE107" i="25" s="1"/>
  <c r="L112" i="4" a="1"/>
  <c r="L112" i="4" s="1"/>
  <c r="R108" i="25" s="1"/>
  <c r="AE108" i="25" s="1"/>
  <c r="L113" i="4" a="1"/>
  <c r="L113" i="4" s="1"/>
  <c r="R109" i="25" s="1"/>
  <c r="AE109" i="25" s="1"/>
  <c r="L114" i="4" a="1"/>
  <c r="L114" i="4" s="1"/>
  <c r="R110" i="25" s="1"/>
  <c r="AE110" i="25" s="1"/>
  <c r="L115" i="4" a="1"/>
  <c r="L115" i="4" s="1"/>
  <c r="R111" i="25" s="1"/>
  <c r="AE111" i="25" s="1"/>
  <c r="L116" i="4" a="1"/>
  <c r="L116" i="4" s="1"/>
  <c r="R112" i="25" s="1"/>
  <c r="AE112" i="25" s="1"/>
  <c r="K8" i="4"/>
  <c r="Q4" i="25" s="1"/>
  <c r="K9" i="4"/>
  <c r="Q5" i="25" s="1"/>
  <c r="K97" i="4"/>
  <c r="Q93" i="25" s="1"/>
  <c r="K98" i="4"/>
  <c r="Q94" i="25" s="1"/>
  <c r="K99" i="4"/>
  <c r="Q95" i="25" s="1"/>
  <c r="K100" i="4"/>
  <c r="Q96" i="25" s="1"/>
  <c r="K101" i="4"/>
  <c r="Q97" i="25" s="1"/>
  <c r="K102" i="4"/>
  <c r="Q98" i="25" s="1"/>
  <c r="K103" i="4"/>
  <c r="Q99" i="25" s="1"/>
  <c r="K104" i="4"/>
  <c r="Q100" i="25" s="1"/>
  <c r="K105" i="4"/>
  <c r="Q101" i="25" s="1"/>
  <c r="K106" i="4"/>
  <c r="Q102" i="25" s="1"/>
  <c r="K107" i="4"/>
  <c r="Q103" i="25" s="1"/>
  <c r="K108" i="4"/>
  <c r="Q104" i="25" s="1"/>
  <c r="K109" i="4"/>
  <c r="Q105" i="25" s="1"/>
  <c r="K110" i="4"/>
  <c r="Q106" i="25" s="1"/>
  <c r="K111" i="4"/>
  <c r="Q107" i="25" s="1"/>
  <c r="K112" i="4"/>
  <c r="Q108" i="25" s="1"/>
  <c r="K113" i="4"/>
  <c r="Q109" i="25" s="1"/>
  <c r="K114" i="4"/>
  <c r="Q110" i="25" s="1"/>
  <c r="K115" i="4"/>
  <c r="Q111" i="25" s="1"/>
  <c r="K116" i="4"/>
  <c r="Q112" i="25" s="1"/>
  <c r="K117" i="4"/>
  <c r="Q113" i="25" s="1"/>
  <c r="V170" i="17"/>
  <c r="K42" i="19" a="1"/>
  <c r="K42" i="19" s="1"/>
  <c r="R208" i="25" s="1"/>
  <c r="AE208" i="25" s="1"/>
  <c r="K43" i="19" a="1"/>
  <c r="K43" i="19" s="1"/>
  <c r="R209" i="25" s="1"/>
  <c r="AE209" i="25" s="1"/>
  <c r="K49" i="19" a="1"/>
  <c r="K49" i="19" s="1"/>
  <c r="R215" i="25" s="1"/>
  <c r="AE215" i="25" s="1"/>
  <c r="K50" i="19" a="1"/>
  <c r="K50" i="19" s="1"/>
  <c r="R216" i="25" s="1"/>
  <c r="AE216" i="25" s="1"/>
  <c r="K51" i="19" a="1"/>
  <c r="K51" i="19" s="1"/>
  <c r="R217" i="25" s="1"/>
  <c r="AE217" i="25" s="1"/>
  <c r="K56" i="19" a="1"/>
  <c r="K56" i="19" s="1"/>
  <c r="R222" i="25" s="1"/>
  <c r="AE222" i="25" s="1"/>
  <c r="K57" i="19" a="1"/>
  <c r="K57" i="19" s="1"/>
  <c r="R223" i="25" s="1"/>
  <c r="AE223" i="25" s="1"/>
  <c r="K58" i="19" a="1"/>
  <c r="K58" i="19" s="1"/>
  <c r="R224" i="25" s="1"/>
  <c r="AE224" i="25" s="1"/>
  <c r="K59" i="19" a="1"/>
  <c r="K59" i="19" s="1"/>
  <c r="R225" i="25" s="1"/>
  <c r="AE225" i="25" s="1"/>
  <c r="K60" i="19" a="1"/>
  <c r="K60" i="19" s="1"/>
  <c r="R226" i="25" s="1"/>
  <c r="AE226" i="25" s="1"/>
  <c r="K61" i="19" a="1"/>
  <c r="K61" i="19" s="1"/>
  <c r="R227" i="25" s="1"/>
  <c r="AE227" i="25" s="1"/>
  <c r="K27" i="19" a="1"/>
  <c r="K27" i="19" s="1"/>
  <c r="R196" i="25" s="1"/>
  <c r="AE196" i="25" s="1"/>
  <c r="K28" i="19" a="1"/>
  <c r="K28" i="19" s="1"/>
  <c r="R197" i="25" s="1"/>
  <c r="AE197" i="25" s="1"/>
  <c r="K29" i="19" a="1"/>
  <c r="K29" i="19" s="1"/>
  <c r="R198" i="25" s="1"/>
  <c r="AE198" i="25" s="1"/>
  <c r="K30" i="19" a="1"/>
  <c r="K30" i="19" s="1"/>
  <c r="R199" i="25" s="1"/>
  <c r="AE199" i="25" s="1"/>
  <c r="K31" i="19" a="1"/>
  <c r="K31" i="19" s="1"/>
  <c r="R200" i="25" s="1"/>
  <c r="AE200" i="25" s="1"/>
  <c r="K32" i="19" a="1"/>
  <c r="K32" i="19" s="1"/>
  <c r="R201" i="25" s="1"/>
  <c r="AE201" i="25" s="1"/>
  <c r="K33" i="19" a="1"/>
  <c r="K33" i="19" s="1"/>
  <c r="R202" i="25" s="1"/>
  <c r="AE202" i="25" s="1"/>
  <c r="K34" i="19" a="1"/>
  <c r="K34" i="19" s="1"/>
  <c r="R203" i="25" s="1"/>
  <c r="AE203" i="25" s="1"/>
  <c r="J8" i="19" a="1"/>
  <c r="J8" i="19" s="1"/>
  <c r="J9" i="19" a="1"/>
  <c r="J9" i="19" s="1"/>
  <c r="J10" i="19" a="1"/>
  <c r="J10" i="19" s="1"/>
  <c r="Q179" i="25" s="1"/>
  <c r="J11" i="19" a="1"/>
  <c r="J11" i="19" s="1"/>
  <c r="Q180" i="25" s="1"/>
  <c r="J12" i="19" a="1"/>
  <c r="J12" i="19" s="1"/>
  <c r="Q181" i="25" s="1"/>
  <c r="J20" i="19" a="1"/>
  <c r="J20" i="19" s="1"/>
  <c r="Q189" i="25" s="1"/>
  <c r="J21" i="19" a="1"/>
  <c r="J21" i="19" s="1"/>
  <c r="Q190" i="25" s="1"/>
  <c r="J27" i="19" a="1"/>
  <c r="J27" i="19" s="1"/>
  <c r="Q196" i="25" s="1"/>
  <c r="J28" i="19" a="1"/>
  <c r="J28" i="19" s="1"/>
  <c r="Q197" i="25" s="1"/>
  <c r="J29" i="19" a="1"/>
  <c r="J29" i="19" s="1"/>
  <c r="Q198" i="25" s="1"/>
  <c r="J30" i="19" a="1"/>
  <c r="J30" i="19" s="1"/>
  <c r="Q199" i="25" s="1"/>
  <c r="J31" i="19" a="1"/>
  <c r="J31" i="19" s="1"/>
  <c r="Q200" i="25" s="1"/>
  <c r="J32" i="19" a="1"/>
  <c r="J32" i="19" s="1"/>
  <c r="Q201" i="25" s="1"/>
  <c r="J33" i="19" a="1"/>
  <c r="J33" i="19" s="1"/>
  <c r="Q202" i="25" s="1"/>
  <c r="J34" i="19" a="1"/>
  <c r="J34" i="19" s="1"/>
  <c r="Q203" i="25" s="1"/>
  <c r="F67" i="19"/>
  <c r="M230" i="25" s="1"/>
  <c r="F68" i="19"/>
  <c r="M231" i="25" s="1"/>
  <c r="F71" i="19"/>
  <c r="M234" i="25" s="1"/>
  <c r="F72" i="19"/>
  <c r="M235" i="25" s="1"/>
  <c r="F73" i="19"/>
  <c r="M236" i="25" s="1"/>
  <c r="F74" i="19"/>
  <c r="M237" i="25" s="1"/>
  <c r="K67" i="19"/>
  <c r="R230" i="25" s="1"/>
  <c r="AE230" i="25" s="1"/>
  <c r="K68" i="19"/>
  <c r="R231" i="25" s="1"/>
  <c r="AE231" i="25" s="1"/>
  <c r="K71" i="19"/>
  <c r="R234" i="25" s="1"/>
  <c r="AE234" i="25" s="1"/>
  <c r="K72" i="19"/>
  <c r="R235" i="25" s="1"/>
  <c r="AE235" i="25" s="1"/>
  <c r="K73" i="19"/>
  <c r="R236" i="25" s="1"/>
  <c r="AE236" i="25" s="1"/>
  <c r="K74" i="19"/>
  <c r="R237" i="25" s="1"/>
  <c r="AE237" i="25" s="1"/>
  <c r="P67" i="19"/>
  <c r="W230" i="25" s="1"/>
  <c r="Q67" i="19"/>
  <c r="X230" i="25" s="1"/>
  <c r="R67" i="19"/>
  <c r="Y230" i="25" s="1"/>
  <c r="S67" i="19"/>
  <c r="Z230" i="25" s="1"/>
  <c r="V67" i="19"/>
  <c r="AC230" i="25" s="1"/>
  <c r="H66" i="19"/>
  <c r="H67" i="19"/>
  <c r="H68" i="19"/>
  <c r="H71" i="19"/>
  <c r="I71" i="19" s="1"/>
  <c r="H72" i="19"/>
  <c r="I72" i="19" s="1"/>
  <c r="H73" i="19"/>
  <c r="I73" i="19" s="1"/>
  <c r="H74" i="19"/>
  <c r="I74" i="19" s="1"/>
  <c r="O67" i="19"/>
  <c r="V230" i="25" s="1"/>
  <c r="H65" i="19"/>
  <c r="J65" i="19" s="1"/>
  <c r="Q228" i="25" s="1"/>
  <c r="X69" i="19" l="1" a="1"/>
  <c r="X69" i="19" s="1"/>
  <c r="AA232" i="25"/>
  <c r="I67" i="19"/>
  <c r="P230" i="25" s="1"/>
  <c r="O230" i="25"/>
  <c r="I68" i="19"/>
  <c r="O231" i="25"/>
  <c r="P237" i="25"/>
  <c r="L74" i="19"/>
  <c r="S237" i="25" s="1"/>
  <c r="AF237" i="25" s="1"/>
  <c r="P236" i="25"/>
  <c r="L73" i="19"/>
  <c r="S236" i="25" s="1"/>
  <c r="AF236" i="25" s="1"/>
  <c r="J103" i="4" a="1"/>
  <c r="J103" i="4" s="1"/>
  <c r="P99" i="25" s="1"/>
  <c r="P234" i="25"/>
  <c r="L71" i="19"/>
  <c r="S234" i="25" s="1"/>
  <c r="AF234" i="25" s="1"/>
  <c r="L67" i="19"/>
  <c r="S230" i="25" s="1"/>
  <c r="AF230" i="25" s="1"/>
  <c r="I9" i="19" a="1"/>
  <c r="I9" i="19" s="1"/>
  <c r="Q178" i="25"/>
  <c r="I8" i="19" a="1"/>
  <c r="I8" i="19" s="1"/>
  <c r="Q177" i="25"/>
  <c r="P235" i="25"/>
  <c r="L72" i="19"/>
  <c r="S235" i="25" s="1"/>
  <c r="AF235" i="25" s="1"/>
  <c r="J97" i="4" a="1"/>
  <c r="J97" i="4" s="1"/>
  <c r="P93" i="25" s="1"/>
  <c r="J7" i="4" a="1"/>
  <c r="J7" i="4" s="1"/>
  <c r="Q3" i="25"/>
  <c r="V171" i="17"/>
  <c r="G65" i="19"/>
  <c r="I65" i="19" s="1"/>
  <c r="V24" i="17"/>
  <c r="F9" i="12"/>
  <c r="M493" i="25" s="1"/>
  <c r="F10" i="12"/>
  <c r="M494" i="25" s="1"/>
  <c r="F33" i="12"/>
  <c r="M517" i="25" s="1"/>
  <c r="F34" i="12"/>
  <c r="M518" i="25" s="1"/>
  <c r="F35" i="12"/>
  <c r="M519" i="25" s="1"/>
  <c r="F36" i="12"/>
  <c r="M520" i="25" s="1"/>
  <c r="F37" i="12"/>
  <c r="M521" i="25" s="1"/>
  <c r="F38" i="12"/>
  <c r="M522" i="25" s="1"/>
  <c r="F39" i="12"/>
  <c r="M523" i="25" s="1"/>
  <c r="F40" i="12"/>
  <c r="M524" i="25" s="1"/>
  <c r="F41" i="12"/>
  <c r="M525" i="25" s="1"/>
  <c r="F42" i="12"/>
  <c r="M526" i="25" s="1"/>
  <c r="F43" i="12"/>
  <c r="M527" i="25" s="1"/>
  <c r="F44" i="12"/>
  <c r="M528" i="25" s="1"/>
  <c r="F45" i="12"/>
  <c r="M529" i="25" s="1"/>
  <c r="F46" i="12"/>
  <c r="M530" i="25" s="1"/>
  <c r="F47" i="12"/>
  <c r="M531" i="25" s="1"/>
  <c r="F48" i="12"/>
  <c r="M532" i="25" s="1"/>
  <c r="F8" i="12"/>
  <c r="M492" i="25" s="1"/>
  <c r="F90" i="12"/>
  <c r="M567" i="25" s="1"/>
  <c r="F91" i="12"/>
  <c r="M568" i="25" s="1"/>
  <c r="F92" i="12"/>
  <c r="M569" i="25" s="1"/>
  <c r="F93" i="12"/>
  <c r="M570" i="25" s="1"/>
  <c r="F94" i="12"/>
  <c r="M571" i="25" s="1"/>
  <c r="F95" i="12"/>
  <c r="M572" i="25" s="1"/>
  <c r="F96" i="12"/>
  <c r="M573" i="25" s="1"/>
  <c r="F97" i="12"/>
  <c r="M574" i="25" s="1"/>
  <c r="F98" i="12"/>
  <c r="M575" i="25" s="1"/>
  <c r="F99" i="12"/>
  <c r="M576" i="25" s="1"/>
  <c r="F100" i="12"/>
  <c r="M577" i="25" s="1"/>
  <c r="F101" i="12"/>
  <c r="M578" i="25" s="1"/>
  <c r="F102" i="12"/>
  <c r="M579" i="25" s="1"/>
  <c r="F103" i="12"/>
  <c r="M580" i="25" s="1"/>
  <c r="F104" i="12"/>
  <c r="M581" i="25" s="1"/>
  <c r="F105" i="12"/>
  <c r="M582" i="25" s="1"/>
  <c r="F84" i="12"/>
  <c r="M561" i="25" s="1"/>
  <c r="J66" i="19"/>
  <c r="Q229" i="25" s="1"/>
  <c r="J67" i="19"/>
  <c r="Q230" i="25" s="1"/>
  <c r="J68" i="19"/>
  <c r="Q231" i="25" s="1"/>
  <c r="J71" i="19"/>
  <c r="Q234" i="25" s="1"/>
  <c r="J72" i="19"/>
  <c r="Q235" i="25" s="1"/>
  <c r="J73" i="19"/>
  <c r="Q236" i="25" s="1"/>
  <c r="J74" i="19"/>
  <c r="Q237" i="25" s="1"/>
  <c r="F49" i="19"/>
  <c r="M215" i="25" s="1"/>
  <c r="F50" i="19"/>
  <c r="M216" i="25" s="1"/>
  <c r="F51" i="19"/>
  <c r="M217" i="25" s="1"/>
  <c r="F56" i="19"/>
  <c r="M222" i="25" s="1"/>
  <c r="I49" i="19" a="1"/>
  <c r="I49" i="19" s="1"/>
  <c r="I50" i="19" a="1"/>
  <c r="I50" i="19" s="1"/>
  <c r="I56" i="19" a="1"/>
  <c r="I56" i="19" s="1"/>
  <c r="J49" i="19" a="1"/>
  <c r="J49" i="19" s="1"/>
  <c r="Q215" i="25" s="1"/>
  <c r="J50" i="19" a="1"/>
  <c r="J50" i="19" s="1"/>
  <c r="Q216" i="25" s="1"/>
  <c r="J51" i="19" a="1"/>
  <c r="J51" i="19" s="1"/>
  <c r="J56" i="19" a="1"/>
  <c r="J56" i="19" s="1"/>
  <c r="Q222" i="25" s="1"/>
  <c r="F21" i="19"/>
  <c r="M190" i="25" s="1"/>
  <c r="F27" i="19"/>
  <c r="M196" i="25" s="1"/>
  <c r="F28" i="19"/>
  <c r="M197" i="25" s="1"/>
  <c r="F29" i="19"/>
  <c r="M198" i="25" s="1"/>
  <c r="I21" i="19" a="1"/>
  <c r="I21" i="19" s="1"/>
  <c r="I27" i="19" a="1"/>
  <c r="I27" i="19" s="1"/>
  <c r="I28" i="19" a="1"/>
  <c r="I28" i="19" s="1"/>
  <c r="I29" i="19" a="1"/>
  <c r="I29" i="19" s="1"/>
  <c r="O21" i="19" a="1"/>
  <c r="O21" i="19" s="1"/>
  <c r="V190" i="25" s="1"/>
  <c r="O27" i="19" a="1"/>
  <c r="O27" i="19" s="1"/>
  <c r="V196" i="25" s="1"/>
  <c r="O28" i="19" a="1"/>
  <c r="O28" i="19" s="1"/>
  <c r="V197" i="25" s="1"/>
  <c r="O29" i="19" a="1"/>
  <c r="O29" i="19" s="1"/>
  <c r="V198" i="25" s="1"/>
  <c r="P21" i="19" a="1"/>
  <c r="P21" i="19" s="1"/>
  <c r="W190" i="25" s="1"/>
  <c r="P27" i="19" a="1"/>
  <c r="P27" i="19" s="1"/>
  <c r="W196" i="25" s="1"/>
  <c r="P28" i="19" a="1"/>
  <c r="P28" i="19" s="1"/>
  <c r="W197" i="25" s="1"/>
  <c r="P29" i="19" a="1"/>
  <c r="P29" i="19" s="1"/>
  <c r="W198" i="25" s="1"/>
  <c r="Q21" i="19" a="1"/>
  <c r="Q21" i="19" s="1"/>
  <c r="X190" i="25" s="1"/>
  <c r="Q27" i="19" a="1"/>
  <c r="Q27" i="19" s="1"/>
  <c r="X196" i="25" s="1"/>
  <c r="Q28" i="19" a="1"/>
  <c r="Q28" i="19" s="1"/>
  <c r="X197" i="25" s="1"/>
  <c r="Q29" i="19" a="1"/>
  <c r="Q29" i="19" s="1"/>
  <c r="X198" i="25" s="1"/>
  <c r="R21" i="19" a="1"/>
  <c r="R21" i="19" s="1"/>
  <c r="Y190" i="25" s="1"/>
  <c r="R27" i="19" a="1"/>
  <c r="R27" i="19" s="1"/>
  <c r="Y196" i="25" s="1"/>
  <c r="R28" i="19" a="1"/>
  <c r="R28" i="19" s="1"/>
  <c r="Y197" i="25" s="1"/>
  <c r="R29" i="19" a="1"/>
  <c r="R29" i="19" s="1"/>
  <c r="Y198" i="25" s="1"/>
  <c r="S21" i="19" a="1"/>
  <c r="S21" i="19" s="1"/>
  <c r="Z190" i="25" s="1"/>
  <c r="S27" i="19" a="1"/>
  <c r="S27" i="19" s="1"/>
  <c r="Z196" i="25" s="1"/>
  <c r="S28" i="19" a="1"/>
  <c r="S28" i="19" s="1"/>
  <c r="Z197" i="25" s="1"/>
  <c r="S29" i="19" a="1"/>
  <c r="S29" i="19" s="1"/>
  <c r="Z198" i="25" s="1"/>
  <c r="V21" i="19" a="1"/>
  <c r="V21" i="19" s="1"/>
  <c r="V27" i="19" a="1"/>
  <c r="V27" i="19" s="1"/>
  <c r="V28" i="19" a="1"/>
  <c r="V28" i="19" s="1"/>
  <c r="V29" i="19" a="1"/>
  <c r="V29" i="19" s="1"/>
  <c r="I20" i="19" a="1"/>
  <c r="I20" i="19" s="1"/>
  <c r="F30" i="19"/>
  <c r="M199" i="25" s="1"/>
  <c r="I30" i="19" a="1"/>
  <c r="I30" i="19" s="1"/>
  <c r="O30" i="19" a="1"/>
  <c r="O30" i="19" s="1"/>
  <c r="V199" i="25" s="1"/>
  <c r="P30" i="19" a="1"/>
  <c r="P30" i="19" s="1"/>
  <c r="W199" i="25" s="1"/>
  <c r="Q30" i="19" a="1"/>
  <c r="Q30" i="19" s="1"/>
  <c r="X199" i="25" s="1"/>
  <c r="R30" i="19" a="1"/>
  <c r="R30" i="19" s="1"/>
  <c r="Y199" i="25" s="1"/>
  <c r="S30" i="19" a="1"/>
  <c r="S30" i="19" s="1"/>
  <c r="Z199" i="25" s="1"/>
  <c r="V30" i="19" a="1"/>
  <c r="V30" i="19" s="1"/>
  <c r="G101" i="4"/>
  <c r="G102" i="4"/>
  <c r="G103" i="4"/>
  <c r="G104" i="4"/>
  <c r="G105" i="4"/>
  <c r="G106" i="4"/>
  <c r="G107" i="4"/>
  <c r="G108" i="4"/>
  <c r="J101" i="4" a="1"/>
  <c r="J101" i="4" s="1"/>
  <c r="P97" i="25" s="1"/>
  <c r="J102" i="4" a="1"/>
  <c r="J102" i="4" s="1"/>
  <c r="P98" i="25" s="1"/>
  <c r="R103" i="4" a="1"/>
  <c r="R103" i="4" s="1"/>
  <c r="X99" i="25" s="1"/>
  <c r="J104" i="4" a="1"/>
  <c r="J104" i="4" s="1"/>
  <c r="P100" i="25" s="1"/>
  <c r="J105" i="4" a="1"/>
  <c r="J105" i="4" s="1"/>
  <c r="P101" i="25" s="1"/>
  <c r="J106" i="4" a="1"/>
  <c r="J106" i="4" s="1"/>
  <c r="P102" i="25" s="1"/>
  <c r="J107" i="4" a="1"/>
  <c r="J107" i="4" s="1"/>
  <c r="P103" i="25" s="1"/>
  <c r="J108" i="4" a="1"/>
  <c r="J108" i="4" s="1"/>
  <c r="P104" i="25" s="1"/>
  <c r="P101" i="4" a="1"/>
  <c r="P101" i="4" s="1"/>
  <c r="V97" i="25" s="1"/>
  <c r="P102" i="4" a="1"/>
  <c r="P102" i="4" s="1"/>
  <c r="V98" i="25" s="1"/>
  <c r="P104" i="4" a="1"/>
  <c r="P104" i="4" s="1"/>
  <c r="V100" i="25" s="1"/>
  <c r="P105" i="4" a="1"/>
  <c r="P105" i="4" s="1"/>
  <c r="V101" i="25" s="1"/>
  <c r="P106" i="4" a="1"/>
  <c r="P106" i="4" s="1"/>
  <c r="V102" i="25" s="1"/>
  <c r="P108" i="4" a="1"/>
  <c r="P108" i="4" s="1"/>
  <c r="V104" i="25" s="1"/>
  <c r="Q101" i="4" a="1"/>
  <c r="Q101" i="4" s="1"/>
  <c r="W97" i="25" s="1"/>
  <c r="Q102" i="4" a="1"/>
  <c r="Q102" i="4" s="1"/>
  <c r="W98" i="25" s="1"/>
  <c r="Q104" i="4" a="1"/>
  <c r="Q104" i="4" s="1"/>
  <c r="W100" i="25" s="1"/>
  <c r="Q105" i="4" a="1"/>
  <c r="Q105" i="4" s="1"/>
  <c r="W101" i="25" s="1"/>
  <c r="Q106" i="4" a="1"/>
  <c r="Q106" i="4" s="1"/>
  <c r="W102" i="25" s="1"/>
  <c r="Q108" i="4" a="1"/>
  <c r="Q108" i="4" s="1"/>
  <c r="W104" i="25" s="1"/>
  <c r="R102" i="4" a="1"/>
  <c r="R102" i="4" s="1"/>
  <c r="X98" i="25" s="1"/>
  <c r="R104" i="4" a="1"/>
  <c r="R104" i="4" s="1"/>
  <c r="X100" i="25" s="1"/>
  <c r="R105" i="4" a="1"/>
  <c r="R105" i="4" s="1"/>
  <c r="X101" i="25" s="1"/>
  <c r="R106" i="4" a="1"/>
  <c r="R106" i="4" s="1"/>
  <c r="X102" i="25" s="1"/>
  <c r="R108" i="4" a="1"/>
  <c r="R108" i="4" s="1"/>
  <c r="X104" i="25" s="1"/>
  <c r="S101" i="4" a="1"/>
  <c r="S101" i="4" s="1"/>
  <c r="Y97" i="25" s="1"/>
  <c r="S102" i="4" a="1"/>
  <c r="S102" i="4" s="1"/>
  <c r="Y98" i="25" s="1"/>
  <c r="S104" i="4" a="1"/>
  <c r="S104" i="4" s="1"/>
  <c r="Y100" i="25" s="1"/>
  <c r="S105" i="4" a="1"/>
  <c r="S105" i="4" s="1"/>
  <c r="Y101" i="25" s="1"/>
  <c r="S106" i="4" a="1"/>
  <c r="S106" i="4" s="1"/>
  <c r="Y102" i="25" s="1"/>
  <c r="S107" i="4" a="1"/>
  <c r="S107" i="4" s="1"/>
  <c r="Y103" i="25" s="1"/>
  <c r="S108" i="4" a="1"/>
  <c r="S108" i="4" s="1"/>
  <c r="Y104" i="25" s="1"/>
  <c r="T102" i="4" a="1"/>
  <c r="T102" i="4" s="1"/>
  <c r="Z98" i="25" s="1"/>
  <c r="T104" i="4" a="1"/>
  <c r="T104" i="4" s="1"/>
  <c r="Z100" i="25" s="1"/>
  <c r="T105" i="4" a="1"/>
  <c r="T105" i="4" s="1"/>
  <c r="Z101" i="25" s="1"/>
  <c r="T106" i="4" a="1"/>
  <c r="T106" i="4" s="1"/>
  <c r="Z102" i="25" s="1"/>
  <c r="T108" i="4" a="1"/>
  <c r="T108" i="4" s="1"/>
  <c r="Z104" i="25" s="1"/>
  <c r="G111" i="4"/>
  <c r="J111" i="4" a="1"/>
  <c r="J111" i="4" s="1"/>
  <c r="P107" i="25" s="1"/>
  <c r="P111" i="4" a="1"/>
  <c r="P111" i="4" s="1"/>
  <c r="V107" i="25" s="1"/>
  <c r="Q111" i="4" a="1"/>
  <c r="Q111" i="4" s="1"/>
  <c r="W107" i="25" s="1"/>
  <c r="R111" i="4" a="1"/>
  <c r="R111" i="4" s="1"/>
  <c r="X107" i="25" s="1"/>
  <c r="S111" i="4" a="1"/>
  <c r="S111" i="4" s="1"/>
  <c r="Y107" i="25" s="1"/>
  <c r="T111" i="4" a="1"/>
  <c r="T111" i="4" s="1"/>
  <c r="Z107" i="25" s="1"/>
  <c r="G112" i="4"/>
  <c r="J112" i="4" a="1"/>
  <c r="J112" i="4" s="1"/>
  <c r="P108" i="25" s="1"/>
  <c r="P112" i="4" a="1"/>
  <c r="P112" i="4" s="1"/>
  <c r="V108" i="25" s="1"/>
  <c r="Q112" i="4" a="1"/>
  <c r="Q112" i="4" s="1"/>
  <c r="W108" i="25" s="1"/>
  <c r="R112" i="4" a="1"/>
  <c r="R112" i="4" s="1"/>
  <c r="X108" i="25" s="1"/>
  <c r="S112" i="4" a="1"/>
  <c r="S112" i="4" s="1"/>
  <c r="Y108" i="25" s="1"/>
  <c r="T112" i="4" a="1"/>
  <c r="T112" i="4" s="1"/>
  <c r="Z108" i="25" s="1"/>
  <c r="P109" i="4" a="1"/>
  <c r="P109" i="4" s="1"/>
  <c r="V105" i="25" s="1"/>
  <c r="Q109" i="4" a="1"/>
  <c r="Q109" i="4" s="1"/>
  <c r="W105" i="25" s="1"/>
  <c r="R109" i="4" a="1"/>
  <c r="R109" i="4" s="1"/>
  <c r="X105" i="25" s="1"/>
  <c r="S109" i="4" a="1"/>
  <c r="S109" i="4" s="1"/>
  <c r="Y105" i="25" s="1"/>
  <c r="T109" i="4" a="1"/>
  <c r="T109" i="4" s="1"/>
  <c r="Z105" i="25" s="1"/>
  <c r="P110" i="4" a="1"/>
  <c r="P110" i="4" s="1"/>
  <c r="V106" i="25" s="1"/>
  <c r="Q110" i="4" a="1"/>
  <c r="Q110" i="4" s="1"/>
  <c r="W106" i="25" s="1"/>
  <c r="R110" i="4" a="1"/>
  <c r="R110" i="4" s="1"/>
  <c r="X106" i="25" s="1"/>
  <c r="S110" i="4" a="1"/>
  <c r="S110" i="4" s="1"/>
  <c r="Y106" i="25" s="1"/>
  <c r="T110" i="4" a="1"/>
  <c r="T110" i="4" s="1"/>
  <c r="Z106" i="25" s="1"/>
  <c r="P114" i="4" a="1"/>
  <c r="P114" i="4" s="1"/>
  <c r="V110" i="25" s="1"/>
  <c r="Q114" i="4" a="1"/>
  <c r="Q114" i="4" s="1"/>
  <c r="W110" i="25" s="1"/>
  <c r="R114" i="4" a="1"/>
  <c r="R114" i="4" s="1"/>
  <c r="X110" i="25" s="1"/>
  <c r="S114" i="4" a="1"/>
  <c r="S114" i="4" s="1"/>
  <c r="Y110" i="25" s="1"/>
  <c r="T114" i="4" a="1"/>
  <c r="T114" i="4" s="1"/>
  <c r="Z110" i="25" s="1"/>
  <c r="P115" i="4" a="1"/>
  <c r="P115" i="4" s="1"/>
  <c r="V111" i="25" s="1"/>
  <c r="Q115" i="4" a="1"/>
  <c r="Q115" i="4" s="1"/>
  <c r="W111" i="25" s="1"/>
  <c r="R115" i="4" a="1"/>
  <c r="R115" i="4" s="1"/>
  <c r="X111" i="25" s="1"/>
  <c r="S115" i="4" a="1"/>
  <c r="S115" i="4" s="1"/>
  <c r="Y111" i="25" s="1"/>
  <c r="T115" i="4" a="1"/>
  <c r="T115" i="4" s="1"/>
  <c r="Z111" i="25" s="1"/>
  <c r="P116" i="4" a="1"/>
  <c r="P116" i="4" s="1"/>
  <c r="V112" i="25" s="1"/>
  <c r="Q116" i="4" a="1"/>
  <c r="Q116" i="4" s="1"/>
  <c r="W112" i="25" s="1"/>
  <c r="R116" i="4" a="1"/>
  <c r="R116" i="4" s="1"/>
  <c r="X112" i="25" s="1"/>
  <c r="S116" i="4" a="1"/>
  <c r="S116" i="4" s="1"/>
  <c r="Y112" i="25" s="1"/>
  <c r="T116" i="4" a="1"/>
  <c r="T116" i="4" s="1"/>
  <c r="Z112" i="25" s="1"/>
  <c r="G110" i="4"/>
  <c r="J110" i="4" a="1"/>
  <c r="J110" i="4" s="1"/>
  <c r="P106" i="25" s="1"/>
  <c r="G113" i="4"/>
  <c r="J113" i="4" a="1"/>
  <c r="J113" i="4" s="1"/>
  <c r="P109" i="25" s="1"/>
  <c r="G114" i="4"/>
  <c r="J114" i="4" a="1"/>
  <c r="J114" i="4" s="1"/>
  <c r="P110" i="25" s="1"/>
  <c r="G8" i="4"/>
  <c r="G9" i="4"/>
  <c r="G97" i="4"/>
  <c r="G98" i="4"/>
  <c r="G99" i="4"/>
  <c r="G100" i="4"/>
  <c r="G109" i="4"/>
  <c r="G115" i="4"/>
  <c r="G116" i="4"/>
  <c r="G117" i="4"/>
  <c r="J9" i="4" a="1"/>
  <c r="J9" i="4" s="1"/>
  <c r="S97" i="4" a="1"/>
  <c r="S97" i="4" s="1"/>
  <c r="Y93" i="25" s="1"/>
  <c r="J98" i="4" a="1"/>
  <c r="J98" i="4" s="1"/>
  <c r="P94" i="25" s="1"/>
  <c r="J99" i="4" a="1"/>
  <c r="J99" i="4" s="1"/>
  <c r="P95" i="25" s="1"/>
  <c r="J100" i="4" a="1"/>
  <c r="J100" i="4" s="1"/>
  <c r="P96" i="25" s="1"/>
  <c r="J109" i="4" a="1"/>
  <c r="J109" i="4" s="1"/>
  <c r="P105" i="25" s="1"/>
  <c r="J115" i="4" a="1"/>
  <c r="J115" i="4" s="1"/>
  <c r="P111" i="25" s="1"/>
  <c r="J116" i="4" a="1"/>
  <c r="J116" i="4" s="1"/>
  <c r="P112" i="25" s="1"/>
  <c r="J117" i="4" a="1"/>
  <c r="J117" i="4" s="1"/>
  <c r="P113" i="25" s="1"/>
  <c r="J123" i="4" a="1"/>
  <c r="J123" i="4" s="1"/>
  <c r="P123" i="4" s="1" a="1"/>
  <c r="P123" i="4" s="1"/>
  <c r="J124" i="4" a="1"/>
  <c r="J124" i="4" s="1"/>
  <c r="J125" i="4" a="1"/>
  <c r="J125" i="4" s="1"/>
  <c r="J126" i="4" a="1"/>
  <c r="J126" i="4" s="1"/>
  <c r="S123" i="4" a="1"/>
  <c r="S123" i="4" s="1"/>
  <c r="Y116" i="25" s="1"/>
  <c r="T123" i="4" a="1"/>
  <c r="T123" i="4" s="1"/>
  <c r="Z116" i="25" s="1"/>
  <c r="P124" i="4" a="1"/>
  <c r="P124" i="4" s="1"/>
  <c r="V117" i="25" s="1"/>
  <c r="Q124" i="4" a="1"/>
  <c r="Q124" i="4" s="1"/>
  <c r="W117" i="25" s="1"/>
  <c r="R124" i="4" a="1"/>
  <c r="R124" i="4" s="1"/>
  <c r="X117" i="25" s="1"/>
  <c r="S124" i="4" a="1"/>
  <c r="S124" i="4" s="1"/>
  <c r="Y117" i="25" s="1"/>
  <c r="T124" i="4" a="1"/>
  <c r="T124" i="4" s="1"/>
  <c r="Z117" i="25" s="1"/>
  <c r="P125" i="4" a="1"/>
  <c r="P125" i="4" s="1"/>
  <c r="V118" i="25" s="1"/>
  <c r="Q125" i="4" a="1"/>
  <c r="Q125" i="4" s="1"/>
  <c r="W118" i="25" s="1"/>
  <c r="R125" i="4" a="1"/>
  <c r="R125" i="4" s="1"/>
  <c r="X118" i="25" s="1"/>
  <c r="S125" i="4" a="1"/>
  <c r="S125" i="4" s="1"/>
  <c r="Y118" i="25" s="1"/>
  <c r="T125" i="4" a="1"/>
  <c r="T125" i="4" s="1"/>
  <c r="Z118" i="25" s="1"/>
  <c r="P126" i="4" a="1"/>
  <c r="P126" i="4" s="1"/>
  <c r="V119" i="25" s="1"/>
  <c r="Q126" i="4" a="1"/>
  <c r="Q126" i="4" s="1"/>
  <c r="W119" i="25" s="1"/>
  <c r="R126" i="4" a="1"/>
  <c r="R126" i="4" s="1"/>
  <c r="X119" i="25" s="1"/>
  <c r="S126" i="4" a="1"/>
  <c r="S126" i="4" s="1"/>
  <c r="Y119" i="25" s="1"/>
  <c r="T126" i="4" a="1"/>
  <c r="T126" i="4" s="1"/>
  <c r="Z119" i="25" s="1"/>
  <c r="P228" i="25" l="1"/>
  <c r="P177" i="25"/>
  <c r="P231" i="25"/>
  <c r="R123" i="4" a="1"/>
  <c r="R123" i="4" s="1"/>
  <c r="X116" i="25" s="1"/>
  <c r="Q123" i="4" a="1"/>
  <c r="Q123" i="4" s="1"/>
  <c r="W116" i="25" s="1"/>
  <c r="M98" i="25"/>
  <c r="M105" i="25"/>
  <c r="M110" i="25"/>
  <c r="M97" i="25"/>
  <c r="M111" i="25"/>
  <c r="M96" i="25"/>
  <c r="M104" i="25"/>
  <c r="M103" i="25"/>
  <c r="M95" i="25"/>
  <c r="W123" i="4" a="1"/>
  <c r="W123" i="4" s="1"/>
  <c r="AC116" i="25" s="1"/>
  <c r="M94" i="25"/>
  <c r="M107" i="25"/>
  <c r="M102" i="25"/>
  <c r="M93" i="25"/>
  <c r="M106" i="25"/>
  <c r="M108" i="25"/>
  <c r="M101" i="25"/>
  <c r="M109" i="25"/>
  <c r="M113" i="25"/>
  <c r="M5" i="25"/>
  <c r="M100" i="25"/>
  <c r="M112" i="25"/>
  <c r="M4" i="25"/>
  <c r="M99" i="25"/>
  <c r="V116" i="25"/>
  <c r="P5" i="25"/>
  <c r="W9" i="4" a="1"/>
  <c r="W9" i="4" s="1"/>
  <c r="AC5" i="25" s="1"/>
  <c r="L68" i="19"/>
  <c r="S231" i="25" s="1"/>
  <c r="AF231" i="25" s="1"/>
  <c r="P190" i="25"/>
  <c r="M124" i="4"/>
  <c r="P117" i="25"/>
  <c r="M111" i="4"/>
  <c r="S107" i="25" s="1"/>
  <c r="AF107" i="25" s="1"/>
  <c r="P198" i="25"/>
  <c r="L29" i="19"/>
  <c r="S198" i="25" s="1"/>
  <c r="AF198" i="25" s="1"/>
  <c r="P116" i="25"/>
  <c r="M110" i="4"/>
  <c r="S106" i="25" s="1"/>
  <c r="AF106" i="25" s="1"/>
  <c r="M112" i="4"/>
  <c r="S108" i="25" s="1"/>
  <c r="AF108" i="25" s="1"/>
  <c r="M106" i="4"/>
  <c r="S102" i="25" s="1"/>
  <c r="AF102" i="25" s="1"/>
  <c r="P197" i="25"/>
  <c r="L28" i="19"/>
  <c r="S197" i="25" s="1"/>
  <c r="AF197" i="25" s="1"/>
  <c r="I51" i="19" a="1"/>
  <c r="I51" i="19" s="1"/>
  <c r="Q217" i="25"/>
  <c r="M103" i="4"/>
  <c r="S99" i="25" s="1"/>
  <c r="AF99" i="25" s="1"/>
  <c r="M115" i="4"/>
  <c r="S111" i="25" s="1"/>
  <c r="AF111" i="25" s="1"/>
  <c r="P222" i="25"/>
  <c r="L56" i="19"/>
  <c r="S56" i="19" a="1"/>
  <c r="S56" i="19" s="1"/>
  <c r="Z222" i="25" s="1"/>
  <c r="V56" i="19" a="1"/>
  <c r="V56" i="19" s="1"/>
  <c r="Q56" i="19" a="1"/>
  <c r="Q56" i="19" s="1"/>
  <c r="X222" i="25" s="1"/>
  <c r="P56" i="19" a="1"/>
  <c r="P56" i="19" s="1"/>
  <c r="W222" i="25" s="1"/>
  <c r="R56" i="19" a="1"/>
  <c r="R56" i="19" s="1"/>
  <c r="Y222" i="25" s="1"/>
  <c r="O56" i="19" a="1"/>
  <c r="O56" i="19" s="1"/>
  <c r="V222" i="25" s="1"/>
  <c r="M116" i="4"/>
  <c r="S112" i="25" s="1"/>
  <c r="AF112" i="25" s="1"/>
  <c r="M102" i="4"/>
  <c r="S98" i="25" s="1"/>
  <c r="AF98" i="25" s="1"/>
  <c r="P199" i="25"/>
  <c r="L30" i="19"/>
  <c r="S199" i="25" s="1"/>
  <c r="AF199" i="25" s="1"/>
  <c r="P216" i="25"/>
  <c r="L50" i="19"/>
  <c r="S216" i="25" s="1"/>
  <c r="AF216" i="25" s="1"/>
  <c r="P196" i="25"/>
  <c r="L27" i="19"/>
  <c r="S196" i="25" s="1"/>
  <c r="AF196" i="25" s="1"/>
  <c r="M104" i="4"/>
  <c r="S100" i="25" s="1"/>
  <c r="AF100" i="25" s="1"/>
  <c r="M126" i="4"/>
  <c r="P119" i="25"/>
  <c r="P215" i="25"/>
  <c r="L49" i="19"/>
  <c r="S215" i="25" s="1"/>
  <c r="AF215" i="25" s="1"/>
  <c r="M105" i="4"/>
  <c r="S101" i="25" s="1"/>
  <c r="AF101" i="25" s="1"/>
  <c r="L9" i="19"/>
  <c r="S178" i="25" s="1"/>
  <c r="AF178" i="25" s="1"/>
  <c r="P178" i="25"/>
  <c r="M109" i="4"/>
  <c r="S105" i="25" s="1"/>
  <c r="AF105" i="25" s="1"/>
  <c r="M114" i="4"/>
  <c r="S110" i="25" s="1"/>
  <c r="AF110" i="25" s="1"/>
  <c r="M125" i="4"/>
  <c r="P118" i="25"/>
  <c r="M113" i="4"/>
  <c r="S109" i="25" s="1"/>
  <c r="AF109" i="25" s="1"/>
  <c r="M108" i="4"/>
  <c r="S104" i="25" s="1"/>
  <c r="AF104" i="25" s="1"/>
  <c r="P20" i="19" a="1"/>
  <c r="P20" i="19" s="1"/>
  <c r="W189" i="25" s="1"/>
  <c r="P189" i="25"/>
  <c r="W7" i="4" a="1"/>
  <c r="W7" i="4" s="1"/>
  <c r="AC3" i="25" s="1"/>
  <c r="P3" i="25"/>
  <c r="S50" i="19" a="1"/>
  <c r="S50" i="19" s="1"/>
  <c r="Z216" i="25" s="1"/>
  <c r="O50" i="19" a="1"/>
  <c r="O50" i="19" s="1"/>
  <c r="V216" i="25" s="1"/>
  <c r="P50" i="19" a="1"/>
  <c r="P50" i="19" s="1"/>
  <c r="W216" i="25" s="1"/>
  <c r="V50" i="19" a="1"/>
  <c r="V50" i="19" s="1"/>
  <c r="R50" i="19" a="1"/>
  <c r="R50" i="19" s="1"/>
  <c r="Y216" i="25" s="1"/>
  <c r="Q50" i="19" a="1"/>
  <c r="Q50" i="19" s="1"/>
  <c r="X216" i="25" s="1"/>
  <c r="P49" i="19" a="1"/>
  <c r="P49" i="19" s="1"/>
  <c r="W215" i="25" s="1"/>
  <c r="V49" i="19" a="1"/>
  <c r="V49" i="19" s="1"/>
  <c r="Q49" i="19" a="1"/>
  <c r="Q49" i="19" s="1"/>
  <c r="X215" i="25" s="1"/>
  <c r="R49" i="19" a="1"/>
  <c r="R49" i="19" s="1"/>
  <c r="Y215" i="25" s="1"/>
  <c r="S49" i="19" a="1"/>
  <c r="S49" i="19" s="1"/>
  <c r="Z215" i="25" s="1"/>
  <c r="O49" i="19" a="1"/>
  <c r="O49" i="19" s="1"/>
  <c r="V215" i="25" s="1"/>
  <c r="T91" i="12"/>
  <c r="U91" i="12"/>
  <c r="AB568" i="25" s="1"/>
  <c r="U35" i="12"/>
  <c r="AB519" i="25" s="1"/>
  <c r="T35" i="12"/>
  <c r="T84" i="12"/>
  <c r="U84" i="12"/>
  <c r="AB561" i="25" s="1"/>
  <c r="T98" i="12"/>
  <c r="U98" i="12"/>
  <c r="AB575" i="25" s="1"/>
  <c r="T90" i="12"/>
  <c r="U90" i="12"/>
  <c r="AB567" i="25" s="1"/>
  <c r="T42" i="12"/>
  <c r="U42" i="12"/>
  <c r="AB526" i="25" s="1"/>
  <c r="T34" i="12"/>
  <c r="U34" i="12"/>
  <c r="AB518" i="25" s="1"/>
  <c r="T92" i="12"/>
  <c r="U92" i="12"/>
  <c r="AB569" i="25" s="1"/>
  <c r="T99" i="12"/>
  <c r="U99" i="12"/>
  <c r="AB576" i="25" s="1"/>
  <c r="T43" i="12"/>
  <c r="U43" i="12"/>
  <c r="AB527" i="25" s="1"/>
  <c r="T105" i="12"/>
  <c r="U105" i="12"/>
  <c r="AB582" i="25" s="1"/>
  <c r="U97" i="12"/>
  <c r="AB574" i="25" s="1"/>
  <c r="T97" i="12"/>
  <c r="U8" i="12"/>
  <c r="AB492" i="25" s="1"/>
  <c r="T8" i="12"/>
  <c r="U41" i="12"/>
  <c r="AB525" i="25" s="1"/>
  <c r="T41" i="12"/>
  <c r="T33" i="12"/>
  <c r="U33" i="12"/>
  <c r="AB517" i="25" s="1"/>
  <c r="T100" i="12"/>
  <c r="U100" i="12"/>
  <c r="AB577" i="25" s="1"/>
  <c r="T40" i="12"/>
  <c r="U40" i="12"/>
  <c r="AB524" i="25" s="1"/>
  <c r="U103" i="12"/>
  <c r="AB580" i="25" s="1"/>
  <c r="T103" i="12"/>
  <c r="T95" i="12"/>
  <c r="U95" i="12"/>
  <c r="AB572" i="25" s="1"/>
  <c r="U47" i="12"/>
  <c r="AB531" i="25" s="1"/>
  <c r="T47" i="12"/>
  <c r="T39" i="12"/>
  <c r="U39" i="12"/>
  <c r="AB523" i="25" s="1"/>
  <c r="T9" i="12"/>
  <c r="U9" i="12"/>
  <c r="AB493" i="25" s="1"/>
  <c r="T44" i="12"/>
  <c r="U44" i="12"/>
  <c r="AB528" i="25" s="1"/>
  <c r="T96" i="12"/>
  <c r="U96" i="12"/>
  <c r="AB573" i="25" s="1"/>
  <c r="T10" i="12"/>
  <c r="U10" i="12"/>
  <c r="AB494" i="25" s="1"/>
  <c r="T102" i="12"/>
  <c r="U102" i="12"/>
  <c r="AB579" i="25" s="1"/>
  <c r="U94" i="12"/>
  <c r="AB571" i="25" s="1"/>
  <c r="T94" i="12"/>
  <c r="U46" i="12"/>
  <c r="AB530" i="25" s="1"/>
  <c r="T46" i="12"/>
  <c r="U38" i="12"/>
  <c r="AB522" i="25" s="1"/>
  <c r="T38" i="12"/>
  <c r="U36" i="12"/>
  <c r="AB520" i="25" s="1"/>
  <c r="T36" i="12"/>
  <c r="U104" i="12"/>
  <c r="AB581" i="25" s="1"/>
  <c r="T104" i="12"/>
  <c r="U48" i="12"/>
  <c r="AB532" i="25" s="1"/>
  <c r="T48" i="12"/>
  <c r="T101" i="12"/>
  <c r="U101" i="12"/>
  <c r="AB578" i="25" s="1"/>
  <c r="U93" i="12"/>
  <c r="AB570" i="25" s="1"/>
  <c r="T93" i="12"/>
  <c r="T45" i="12"/>
  <c r="U45" i="12"/>
  <c r="AB529" i="25" s="1"/>
  <c r="T37" i="12"/>
  <c r="U37" i="12"/>
  <c r="AB521" i="25" s="1"/>
  <c r="R117" i="4" a="1"/>
  <c r="R117" i="4" s="1"/>
  <c r="X113" i="25" s="1"/>
  <c r="R9" i="4" a="1"/>
  <c r="R9" i="4" s="1"/>
  <c r="X5" i="25" s="1"/>
  <c r="M107" i="4"/>
  <c r="S103" i="25" s="1"/>
  <c r="AF103" i="25" s="1"/>
  <c r="Q100" i="4" a="1"/>
  <c r="Q100" i="4" s="1"/>
  <c r="W96" i="25" s="1"/>
  <c r="P98" i="4" a="1"/>
  <c r="P98" i="4" s="1"/>
  <c r="V94" i="25" s="1"/>
  <c r="R101" i="4" a="1"/>
  <c r="R101" i="4" s="1"/>
  <c r="X97" i="25" s="1"/>
  <c r="T103" i="4" a="1"/>
  <c r="T103" i="4" s="1"/>
  <c r="Z99" i="25" s="1"/>
  <c r="P103" i="4" a="1"/>
  <c r="P103" i="4" s="1"/>
  <c r="V99" i="25" s="1"/>
  <c r="Q103" i="4" a="1"/>
  <c r="Q103" i="4" s="1"/>
  <c r="W99" i="25" s="1"/>
  <c r="S103" i="4" a="1"/>
  <c r="S103" i="4" s="1"/>
  <c r="Y99" i="25" s="1"/>
  <c r="P107" i="4" a="1"/>
  <c r="P107" i="4" s="1"/>
  <c r="V103" i="25" s="1"/>
  <c r="R107" i="4" a="1"/>
  <c r="R107" i="4" s="1"/>
  <c r="X103" i="25" s="1"/>
  <c r="Q107" i="4" a="1"/>
  <c r="Q107" i="4" s="1"/>
  <c r="W103" i="25" s="1"/>
  <c r="T107" i="4" a="1"/>
  <c r="T107" i="4" s="1"/>
  <c r="Z103" i="25" s="1"/>
  <c r="S99" i="4" a="1"/>
  <c r="S99" i="4" s="1"/>
  <c r="Y95" i="25" s="1"/>
  <c r="Q99" i="4" a="1"/>
  <c r="Q99" i="4" s="1"/>
  <c r="W95" i="25" s="1"/>
  <c r="R100" i="4" a="1"/>
  <c r="R100" i="4" s="1"/>
  <c r="X96" i="25" s="1"/>
  <c r="T99" i="4" a="1"/>
  <c r="T99" i="4" s="1"/>
  <c r="Z95" i="25" s="1"/>
  <c r="S100" i="4" a="1"/>
  <c r="S100" i="4" s="1"/>
  <c r="Y96" i="25" s="1"/>
  <c r="P100" i="4" a="1"/>
  <c r="P100" i="4" s="1"/>
  <c r="V96" i="25" s="1"/>
  <c r="P99" i="4" a="1"/>
  <c r="P99" i="4" s="1"/>
  <c r="V95" i="25" s="1"/>
  <c r="R99" i="4" a="1"/>
  <c r="R99" i="4" s="1"/>
  <c r="X95" i="25" s="1"/>
  <c r="O24" i="17"/>
  <c r="S117" i="4" a="1"/>
  <c r="S117" i="4" s="1"/>
  <c r="Y113" i="25" s="1"/>
  <c r="P117" i="4" a="1"/>
  <c r="P117" i="4" s="1"/>
  <c r="V113" i="25" s="1"/>
  <c r="T117" i="4" a="1"/>
  <c r="T117" i="4" s="1"/>
  <c r="Z113" i="25" s="1"/>
  <c r="Q117" i="4" a="1"/>
  <c r="Q117" i="4" s="1"/>
  <c r="W113" i="25" s="1"/>
  <c r="T98" i="4" a="1"/>
  <c r="T98" i="4" s="1"/>
  <c r="Z94" i="25" s="1"/>
  <c r="S98" i="4" a="1"/>
  <c r="S98" i="4" s="1"/>
  <c r="Y94" i="25" s="1"/>
  <c r="R98" i="4" a="1"/>
  <c r="R98" i="4" s="1"/>
  <c r="X94" i="25" s="1"/>
  <c r="Q98" i="4" a="1"/>
  <c r="Q98" i="4" s="1"/>
  <c r="W94" i="25" s="1"/>
  <c r="I66" i="19"/>
  <c r="T73" i="19"/>
  <c r="AA236" i="25" s="1"/>
  <c r="U73" i="19"/>
  <c r="AB236" i="25" s="1"/>
  <c r="T71" i="19"/>
  <c r="AA234" i="25" s="1"/>
  <c r="U71" i="19"/>
  <c r="AB234" i="25" s="1"/>
  <c r="T72" i="19"/>
  <c r="AA235" i="25" s="1"/>
  <c r="U72" i="19"/>
  <c r="AB235" i="25" s="1"/>
  <c r="T74" i="19"/>
  <c r="AA237" i="25" s="1"/>
  <c r="U74" i="19"/>
  <c r="AB237" i="25" s="1"/>
  <c r="T67" i="19"/>
  <c r="AA230" i="25" s="1"/>
  <c r="U67" i="19"/>
  <c r="AB230" i="25" s="1"/>
  <c r="S65" i="19"/>
  <c r="Z228" i="25" s="1"/>
  <c r="S74" i="19"/>
  <c r="Z237" i="25" s="1"/>
  <c r="P74" i="19"/>
  <c r="W237" i="25" s="1"/>
  <c r="V74" i="19"/>
  <c r="AC237" i="25" s="1"/>
  <c r="Q74" i="19"/>
  <c r="O74" i="19"/>
  <c r="V237" i="25" s="1"/>
  <c r="R74" i="19"/>
  <c r="Y237" i="25" s="1"/>
  <c r="S68" i="19"/>
  <c r="Z231" i="25" s="1"/>
  <c r="P68" i="19"/>
  <c r="W231" i="25" s="1"/>
  <c r="V68" i="19"/>
  <c r="AC231" i="25" s="1"/>
  <c r="Q68" i="19"/>
  <c r="X231" i="25" s="1"/>
  <c r="O68" i="19"/>
  <c r="R68" i="19"/>
  <c r="Y231" i="25" s="1"/>
  <c r="P73" i="19"/>
  <c r="W236" i="25" s="1"/>
  <c r="V73" i="19"/>
  <c r="AC236" i="25" s="1"/>
  <c r="Q73" i="19"/>
  <c r="X236" i="25" s="1"/>
  <c r="O73" i="19"/>
  <c r="R73" i="19"/>
  <c r="Y236" i="25" s="1"/>
  <c r="S73" i="19"/>
  <c r="Z236" i="25" s="1"/>
  <c r="V65" i="19"/>
  <c r="AC228" i="25" s="1"/>
  <c r="Q72" i="19"/>
  <c r="X235" i="25" s="1"/>
  <c r="O72" i="19"/>
  <c r="R72" i="19"/>
  <c r="Y235" i="25" s="1"/>
  <c r="S72" i="19"/>
  <c r="Z235" i="25" s="1"/>
  <c r="P72" i="19"/>
  <c r="W235" i="25" s="1"/>
  <c r="V72" i="19"/>
  <c r="AC235" i="25" s="1"/>
  <c r="O65" i="19"/>
  <c r="V228" i="25" s="1"/>
  <c r="R71" i="19"/>
  <c r="Y234" i="25" s="1"/>
  <c r="S71" i="19"/>
  <c r="Z234" i="25" s="1"/>
  <c r="P71" i="19"/>
  <c r="W234" i="25" s="1"/>
  <c r="V71" i="19"/>
  <c r="AC234" i="25" s="1"/>
  <c r="Q71" i="19"/>
  <c r="X234" i="25" s="1"/>
  <c r="O71" i="19"/>
  <c r="P65" i="19"/>
  <c r="W228" i="25" s="1"/>
  <c r="R65" i="19"/>
  <c r="Y228" i="25" s="1"/>
  <c r="S20" i="19" a="1"/>
  <c r="S20" i="19" s="1"/>
  <c r="Z189" i="25" s="1"/>
  <c r="R20" i="19" a="1"/>
  <c r="R20" i="19" s="1"/>
  <c r="Y189" i="25" s="1"/>
  <c r="P66" i="19"/>
  <c r="W229" i="25" s="1"/>
  <c r="O20" i="19" a="1"/>
  <c r="O20" i="19" s="1"/>
  <c r="V189" i="25" s="1"/>
  <c r="Q20" i="19" a="1"/>
  <c r="Q20" i="19" s="1"/>
  <c r="X189" i="25" s="1"/>
  <c r="V20" i="19" a="1"/>
  <c r="V20" i="19" s="1"/>
  <c r="S113" i="4" a="1"/>
  <c r="S113" i="4" s="1"/>
  <c r="Y109" i="25" s="1"/>
  <c r="P113" i="4" a="1"/>
  <c r="P113" i="4" s="1"/>
  <c r="V109" i="25" s="1"/>
  <c r="Q113" i="4" a="1"/>
  <c r="Q113" i="4" s="1"/>
  <c r="W109" i="25" s="1"/>
  <c r="R113" i="4" a="1"/>
  <c r="R113" i="4" s="1"/>
  <c r="X109" i="25" s="1"/>
  <c r="R97" i="4" a="1"/>
  <c r="R97" i="4" s="1"/>
  <c r="X93" i="25" s="1"/>
  <c r="Q97" i="4" a="1"/>
  <c r="Q97" i="4" s="1"/>
  <c r="W93" i="25" s="1"/>
  <c r="P9" i="4" a="1"/>
  <c r="P9" i="4" s="1"/>
  <c r="V5" i="25" s="1"/>
  <c r="P97" i="4" a="1"/>
  <c r="P97" i="4" s="1"/>
  <c r="V93" i="25" s="1"/>
  <c r="T113" i="4" a="1"/>
  <c r="T113" i="4" s="1"/>
  <c r="Z109" i="25" s="1"/>
  <c r="T9" i="4" a="1"/>
  <c r="T9" i="4" s="1"/>
  <c r="Z5" i="25" s="1"/>
  <c r="Q9" i="4" a="1"/>
  <c r="Q9" i="4" s="1"/>
  <c r="W5" i="25" s="1"/>
  <c r="S9" i="4" a="1"/>
  <c r="S9" i="4" s="1"/>
  <c r="Y5" i="25" s="1"/>
  <c r="B83" i="18"/>
  <c r="AA493" i="25" l="1"/>
  <c r="X9" i="12" a="1"/>
  <c r="X9" i="12" s="1"/>
  <c r="X72" i="19" a="1"/>
  <c r="X72" i="19" s="1"/>
  <c r="V235" i="25"/>
  <c r="X71" i="19" a="1"/>
  <c r="X71" i="19" s="1"/>
  <c r="V234" i="25"/>
  <c r="X73" i="19" a="1"/>
  <c r="X73" i="19" s="1"/>
  <c r="V236" i="25"/>
  <c r="AA529" i="25"/>
  <c r="X45" i="12" a="1"/>
  <c r="X45" i="12" s="1"/>
  <c r="AA528" i="25"/>
  <c r="X44" i="12" a="1"/>
  <c r="X44" i="12" s="1"/>
  <c r="AA572" i="25"/>
  <c r="X95" i="12" a="1"/>
  <c r="X95" i="12" s="1"/>
  <c r="AA517" i="25"/>
  <c r="X33" i="12" a="1"/>
  <c r="X33" i="12" s="1"/>
  <c r="AA582" i="25"/>
  <c r="X105" i="12" a="1"/>
  <c r="X105" i="12" s="1"/>
  <c r="AA518" i="25"/>
  <c r="X34" i="12" a="1"/>
  <c r="X34" i="12" s="1"/>
  <c r="AA561" i="25"/>
  <c r="X84" i="12" a="1"/>
  <c r="X84" i="12" s="1"/>
  <c r="AA579" i="25"/>
  <c r="X102" i="12" a="1"/>
  <c r="X102" i="12" s="1"/>
  <c r="AA570" i="25"/>
  <c r="X93" i="12" a="1"/>
  <c r="X93" i="12" s="1"/>
  <c r="AA520" i="25"/>
  <c r="X36" i="12" a="1"/>
  <c r="X36" i="12" s="1"/>
  <c r="AA580" i="25"/>
  <c r="X103" i="12" a="1"/>
  <c r="X103" i="12" s="1"/>
  <c r="AA525" i="25"/>
  <c r="X41" i="12" a="1"/>
  <c r="X41" i="12" s="1"/>
  <c r="AA519" i="25"/>
  <c r="X35" i="12" a="1"/>
  <c r="X35" i="12" s="1"/>
  <c r="AA527" i="25"/>
  <c r="X43" i="12" a="1"/>
  <c r="X43" i="12" s="1"/>
  <c r="AA526" i="25"/>
  <c r="X42" i="12" a="1"/>
  <c r="X42" i="12" s="1"/>
  <c r="AA522" i="25"/>
  <c r="X38" i="12" a="1"/>
  <c r="X38" i="12" s="1"/>
  <c r="X74" i="19" a="1"/>
  <c r="X74" i="19" s="1"/>
  <c r="X237" i="25"/>
  <c r="AA578" i="25"/>
  <c r="X101" i="12" a="1"/>
  <c r="X101" i="12" s="1"/>
  <c r="AA494" i="25"/>
  <c r="X10" i="12" a="1"/>
  <c r="X10" i="12" s="1"/>
  <c r="AA523" i="25"/>
  <c r="X39" i="12" a="1"/>
  <c r="X39" i="12" s="1"/>
  <c r="AA524" i="25"/>
  <c r="X40" i="12" a="1"/>
  <c r="X40" i="12" s="1"/>
  <c r="AA576" i="25"/>
  <c r="X99" i="12" a="1"/>
  <c r="X99" i="12" s="1"/>
  <c r="AA567" i="25"/>
  <c r="X90" i="12" a="1"/>
  <c r="X90" i="12" s="1"/>
  <c r="AA568" i="25"/>
  <c r="X91" i="12" a="1"/>
  <c r="X91" i="12" s="1"/>
  <c r="V231" i="25"/>
  <c r="U68" i="19"/>
  <c r="AB231" i="25" s="1"/>
  <c r="AA532" i="25"/>
  <c r="X48" i="12" a="1"/>
  <c r="X48" i="12" s="1"/>
  <c r="AA530" i="25"/>
  <c r="X46" i="12" a="1"/>
  <c r="X46" i="12" s="1"/>
  <c r="AA531" i="25"/>
  <c r="X47" i="12" a="1"/>
  <c r="X47" i="12" s="1"/>
  <c r="AA574" i="25"/>
  <c r="X97" i="12" a="1"/>
  <c r="X97" i="12" s="1"/>
  <c r="T68" i="19"/>
  <c r="AA231" i="25" s="1"/>
  <c r="AA521" i="25"/>
  <c r="X37" i="12" a="1"/>
  <c r="X37" i="12" s="1"/>
  <c r="AA573" i="25"/>
  <c r="X96" i="12" a="1"/>
  <c r="X96" i="12" s="1"/>
  <c r="AA577" i="25"/>
  <c r="X100" i="12" a="1"/>
  <c r="X100" i="12" s="1"/>
  <c r="AA569" i="25"/>
  <c r="X92" i="12" a="1"/>
  <c r="X92" i="12" s="1"/>
  <c r="AA575" i="25"/>
  <c r="X98" i="12" a="1"/>
  <c r="X98" i="12" s="1"/>
  <c r="R51" i="19" a="1"/>
  <c r="R51" i="19" s="1"/>
  <c r="Y217" i="25" s="1"/>
  <c r="AA492" i="25"/>
  <c r="X8" i="12" a="1"/>
  <c r="X8" i="12" s="1"/>
  <c r="AA581" i="25"/>
  <c r="X104" i="12" a="1"/>
  <c r="X104" i="12" s="1"/>
  <c r="AA571" i="25"/>
  <c r="X94" i="12" a="1"/>
  <c r="X94" i="12" s="1"/>
  <c r="M123" i="4"/>
  <c r="S116" i="25" s="1"/>
  <c r="AF116" i="25" s="1"/>
  <c r="X67" i="19" a="1"/>
  <c r="X67" i="19" s="1"/>
  <c r="H63" i="19"/>
  <c r="D12" i="26" s="1"/>
  <c r="S117" i="25"/>
  <c r="AF117" i="25" s="1"/>
  <c r="S119" i="25"/>
  <c r="AF119" i="25" s="1"/>
  <c r="S118" i="25"/>
  <c r="AF118" i="25" s="1"/>
  <c r="U110" i="4"/>
  <c r="AA106" i="25" s="1"/>
  <c r="V112" i="4"/>
  <c r="AB108" i="25" s="1"/>
  <c r="U112" i="4"/>
  <c r="AA108" i="25" s="1"/>
  <c r="U103" i="4"/>
  <c r="AA99" i="25" s="1"/>
  <c r="U108" i="4"/>
  <c r="U111" i="4"/>
  <c r="AA107" i="25" s="1"/>
  <c r="U116" i="4"/>
  <c r="V116" i="4"/>
  <c r="AB112" i="25" s="1"/>
  <c r="U104" i="4"/>
  <c r="AA100" i="25" s="1"/>
  <c r="V109" i="4"/>
  <c r="AB105" i="25" s="1"/>
  <c r="V108" i="4"/>
  <c r="AB104" i="25" s="1"/>
  <c r="U109" i="4"/>
  <c r="AA105" i="25" s="1"/>
  <c r="U102" i="4"/>
  <c r="AA98" i="25" s="1"/>
  <c r="V103" i="4"/>
  <c r="AB99" i="25" s="1"/>
  <c r="V104" i="4"/>
  <c r="AB100" i="25" s="1"/>
  <c r="V111" i="4"/>
  <c r="AB107" i="25" s="1"/>
  <c r="V110" i="4"/>
  <c r="AB106" i="25" s="1"/>
  <c r="V102" i="4"/>
  <c r="AB98" i="25" s="1"/>
  <c r="P51" i="19" a="1"/>
  <c r="P51" i="19" s="1"/>
  <c r="W217" i="25" s="1"/>
  <c r="S51" i="19" a="1"/>
  <c r="S51" i="19" s="1"/>
  <c r="Z217" i="25" s="1"/>
  <c r="U113" i="4"/>
  <c r="AA109" i="25" s="1"/>
  <c r="O51" i="19" a="1"/>
  <c r="O51" i="19" s="1"/>
  <c r="V217" i="25" s="1"/>
  <c r="Q51" i="19" a="1"/>
  <c r="Q51" i="19" s="1"/>
  <c r="X217" i="25" s="1"/>
  <c r="V113" i="4"/>
  <c r="AB109" i="25" s="1"/>
  <c r="V51" i="19" a="1"/>
  <c r="V51" i="19" s="1"/>
  <c r="V105" i="4"/>
  <c r="AB101" i="25" s="1"/>
  <c r="U106" i="4"/>
  <c r="U105" i="4"/>
  <c r="V106" i="4"/>
  <c r="AB102" i="25" s="1"/>
  <c r="V66" i="19"/>
  <c r="AC229" i="25" s="1"/>
  <c r="P229" i="25"/>
  <c r="V115" i="4"/>
  <c r="AB111" i="25" s="1"/>
  <c r="U114" i="4"/>
  <c r="U115" i="4"/>
  <c r="AA111" i="25" s="1"/>
  <c r="V114" i="4"/>
  <c r="AB110" i="25" s="1"/>
  <c r="P217" i="25"/>
  <c r="L51" i="19"/>
  <c r="S217" i="25" s="1"/>
  <c r="AF217" i="25" s="1"/>
  <c r="S222" i="25"/>
  <c r="AF222" i="25" s="1"/>
  <c r="T56" i="19"/>
  <c r="AA222" i="25" s="1"/>
  <c r="U56" i="19"/>
  <c r="AB222" i="25" s="1"/>
  <c r="U49" i="19"/>
  <c r="AB215" i="25" s="1"/>
  <c r="T49" i="19"/>
  <c r="AA215" i="25" s="1"/>
  <c r="T50" i="19"/>
  <c r="U50" i="19"/>
  <c r="AB216" i="25" s="1"/>
  <c r="H35" i="18"/>
  <c r="G35" i="18"/>
  <c r="G33" i="18"/>
  <c r="H33" i="18"/>
  <c r="V107" i="4"/>
  <c r="AB103" i="25" s="1"/>
  <c r="U107" i="4"/>
  <c r="AA103" i="25" s="1"/>
  <c r="R66" i="19"/>
  <c r="Y229" i="25" s="1"/>
  <c r="S66" i="19"/>
  <c r="Z229" i="25" s="1"/>
  <c r="O66" i="19"/>
  <c r="V229" i="25" s="1"/>
  <c r="D35" i="18"/>
  <c r="E35" i="18"/>
  <c r="C35" i="18"/>
  <c r="U29" i="19"/>
  <c r="AB198" i="25" s="1"/>
  <c r="T29" i="19"/>
  <c r="T30" i="19"/>
  <c r="U30" i="19"/>
  <c r="AB199" i="25" s="1"/>
  <c r="U27" i="19"/>
  <c r="AB196" i="25" s="1"/>
  <c r="T27" i="19"/>
  <c r="AA196" i="25" s="1"/>
  <c r="U28" i="19"/>
  <c r="AB197" i="25" s="1"/>
  <c r="T28" i="19"/>
  <c r="AA197" i="25" s="1"/>
  <c r="X7" i="12" l="1"/>
  <c r="H6" i="12" s="1"/>
  <c r="X27" i="19" a="1"/>
  <c r="X27" i="19" s="1"/>
  <c r="X83" i="12"/>
  <c r="AA199" i="25"/>
  <c r="X30" i="19" a="1"/>
  <c r="X30" i="19" s="1"/>
  <c r="AA216" i="25"/>
  <c r="X50" i="19" a="1"/>
  <c r="X50" i="19" s="1"/>
  <c r="X49" i="19" a="1"/>
  <c r="X49" i="19" s="1"/>
  <c r="AA198" i="25"/>
  <c r="X29" i="19" a="1"/>
  <c r="X29" i="19" s="1"/>
  <c r="X28" i="19" a="1"/>
  <c r="X28" i="19" s="1"/>
  <c r="X68" i="19" a="1"/>
  <c r="X68" i="19" s="1"/>
  <c r="X56" i="19" a="1"/>
  <c r="X56" i="19" s="1"/>
  <c r="Y102" i="4" a="1"/>
  <c r="Y102" i="4" s="1"/>
  <c r="Y105" i="4" a="1"/>
  <c r="Y105" i="4" s="1"/>
  <c r="Y110" i="4" a="1"/>
  <c r="Y110" i="4" s="1"/>
  <c r="Y113" i="4" a="1"/>
  <c r="Y113" i="4" s="1"/>
  <c r="Y112" i="4" a="1"/>
  <c r="Y112" i="4" s="1"/>
  <c r="Y104" i="4" a="1"/>
  <c r="Y104" i="4" s="1"/>
  <c r="AA102" i="25"/>
  <c r="Y106" i="4" a="1"/>
  <c r="Y106" i="4" s="1"/>
  <c r="Y111" i="4" a="1"/>
  <c r="Y111" i="4" s="1"/>
  <c r="Y109" i="4" a="1"/>
  <c r="Y109" i="4" s="1"/>
  <c r="Y107" i="4" a="1"/>
  <c r="Y107" i="4" s="1"/>
  <c r="AA101" i="25"/>
  <c r="Y115" i="4" a="1"/>
  <c r="Y115" i="4" s="1"/>
  <c r="AA112" i="25"/>
  <c r="Y116" i="4" a="1"/>
  <c r="Y116" i="4" s="1"/>
  <c r="AA110" i="25"/>
  <c r="Y114" i="4" a="1"/>
  <c r="Y114" i="4" s="1"/>
  <c r="AA104" i="25"/>
  <c r="Y108" i="4" a="1"/>
  <c r="Y108" i="4" s="1"/>
  <c r="Y103" i="4" a="1"/>
  <c r="Y103" i="4" s="1"/>
  <c r="I27" i="18"/>
  <c r="U51" i="19"/>
  <c r="AB217" i="25" s="1"/>
  <c r="T51" i="19"/>
  <c r="AA217" i="25" s="1"/>
  <c r="F35" i="18"/>
  <c r="X51" i="19" l="1" a="1"/>
  <c r="X51" i="19" s="1"/>
  <c r="D34" i="18"/>
  <c r="C34" i="18"/>
  <c r="E34" i="18" l="1"/>
  <c r="F34" i="18" s="1"/>
  <c r="B62" i="18"/>
  <c r="B36" i="18"/>
  <c r="F31" i="19"/>
  <c r="M200" i="25" s="1"/>
  <c r="F32" i="19"/>
  <c r="M201" i="25" s="1"/>
  <c r="F33" i="19"/>
  <c r="M202" i="25" s="1"/>
  <c r="F34" i="19"/>
  <c r="M203" i="25" s="1"/>
  <c r="O31" i="19" a="1"/>
  <c r="O31" i="19" s="1"/>
  <c r="V200" i="25" s="1"/>
  <c r="P31" i="19" a="1"/>
  <c r="P31" i="19" s="1"/>
  <c r="W200" i="25" s="1"/>
  <c r="Q31" i="19" a="1"/>
  <c r="Q31" i="19" s="1"/>
  <c r="X200" i="25" s="1"/>
  <c r="R31" i="19" a="1"/>
  <c r="R31" i="19" s="1"/>
  <c r="Y200" i="25" s="1"/>
  <c r="S31" i="19" a="1"/>
  <c r="S31" i="19" s="1"/>
  <c r="Z200" i="25" s="1"/>
  <c r="V31" i="19" a="1"/>
  <c r="V31" i="19" s="1"/>
  <c r="O32" i="19" a="1"/>
  <c r="O32" i="19" s="1"/>
  <c r="V201" i="25" s="1"/>
  <c r="P32" i="19" a="1"/>
  <c r="P32" i="19" s="1"/>
  <c r="W201" i="25" s="1"/>
  <c r="Q32" i="19" a="1"/>
  <c r="Q32" i="19" s="1"/>
  <c r="X201" i="25" s="1"/>
  <c r="R32" i="19" a="1"/>
  <c r="R32" i="19" s="1"/>
  <c r="Y201" i="25" s="1"/>
  <c r="S32" i="19" a="1"/>
  <c r="S32" i="19" s="1"/>
  <c r="Z201" i="25" s="1"/>
  <c r="V32" i="19" a="1"/>
  <c r="V32" i="19" s="1"/>
  <c r="O33" i="19" a="1"/>
  <c r="O33" i="19" s="1"/>
  <c r="V202" i="25" s="1"/>
  <c r="P33" i="19" a="1"/>
  <c r="P33" i="19" s="1"/>
  <c r="W202" i="25" s="1"/>
  <c r="Q33" i="19" a="1"/>
  <c r="Q33" i="19" s="1"/>
  <c r="X202" i="25" s="1"/>
  <c r="R33" i="19" a="1"/>
  <c r="R33" i="19" s="1"/>
  <c r="Y202" i="25" s="1"/>
  <c r="S33" i="19" a="1"/>
  <c r="S33" i="19" s="1"/>
  <c r="Z202" i="25" s="1"/>
  <c r="V33" i="19" a="1"/>
  <c r="V33" i="19" s="1"/>
  <c r="O34" i="19" a="1"/>
  <c r="O34" i="19" s="1"/>
  <c r="V203" i="25" s="1"/>
  <c r="P34" i="19" a="1"/>
  <c r="P34" i="19" s="1"/>
  <c r="W203" i="25" s="1"/>
  <c r="Q34" i="19" a="1"/>
  <c r="Q34" i="19" s="1"/>
  <c r="X203" i="25" s="1"/>
  <c r="R34" i="19" a="1"/>
  <c r="R34" i="19" s="1"/>
  <c r="Y203" i="25" s="1"/>
  <c r="S34" i="19" a="1"/>
  <c r="S34" i="19" s="1"/>
  <c r="Z203" i="25" s="1"/>
  <c r="V34" i="19" a="1"/>
  <c r="V34" i="19" s="1"/>
  <c r="C33" i="18" l="1"/>
  <c r="B16" i="18" l="1"/>
  <c r="B15" i="18"/>
  <c r="J121" i="4" a="1"/>
  <c r="J121" i="4" s="1"/>
  <c r="J122" i="4" a="1"/>
  <c r="J122" i="4" s="1"/>
  <c r="W122" i="4" s="1" a="1"/>
  <c r="W122" i="4" s="1"/>
  <c r="AC115" i="25" s="1"/>
  <c r="G7" i="4"/>
  <c r="L99" i="4" a="1"/>
  <c r="L99" i="4" s="1"/>
  <c r="K21" i="19" a="1"/>
  <c r="K21" i="19" s="1"/>
  <c r="K10" i="19" a="1"/>
  <c r="K10" i="19" s="1"/>
  <c r="R179" i="25" s="1"/>
  <c r="AE179" i="25" s="1"/>
  <c r="K40" i="19" a="1"/>
  <c r="K40" i="19" s="1"/>
  <c r="R206" i="25" s="1"/>
  <c r="AE206" i="25" s="1"/>
  <c r="K12" i="19" a="1"/>
  <c r="K12" i="19" s="1"/>
  <c r="R181" i="25" s="1"/>
  <c r="AE181" i="25" s="1"/>
  <c r="V13" i="17"/>
  <c r="O8" i="17"/>
  <c r="J8" i="4" s="1" a="1"/>
  <c r="J8" i="4" s="1"/>
  <c r="O7" i="17"/>
  <c r="G122" i="4"/>
  <c r="G123" i="4"/>
  <c r="G124" i="4"/>
  <c r="G125" i="4"/>
  <c r="G126" i="4"/>
  <c r="F38" i="19"/>
  <c r="M204" i="25" s="1"/>
  <c r="J61" i="19" a="1"/>
  <c r="J61" i="19" s="1"/>
  <c r="F61" i="19"/>
  <c r="M227" i="25" s="1"/>
  <c r="J60" i="19" a="1"/>
  <c r="J60" i="19" s="1"/>
  <c r="F60" i="19"/>
  <c r="M226" i="25" s="1"/>
  <c r="J59" i="19" a="1"/>
  <c r="J59" i="19" s="1"/>
  <c r="F59" i="19"/>
  <c r="M225" i="25" s="1"/>
  <c r="J58" i="19" a="1"/>
  <c r="J58" i="19" s="1"/>
  <c r="F58" i="19"/>
  <c r="M224" i="25" s="1"/>
  <c r="J57" i="19" a="1"/>
  <c r="J57" i="19" s="1"/>
  <c r="F57" i="19"/>
  <c r="M223" i="25" s="1"/>
  <c r="J43" i="19" a="1"/>
  <c r="J43" i="19" s="1"/>
  <c r="F43" i="19"/>
  <c r="M209" i="25" s="1"/>
  <c r="J42" i="19" a="1"/>
  <c r="J42" i="19" s="1"/>
  <c r="F42" i="19"/>
  <c r="M208" i="25" s="1"/>
  <c r="J41" i="19" a="1"/>
  <c r="J41" i="19" s="1"/>
  <c r="F41" i="19"/>
  <c r="M207" i="25" s="1"/>
  <c r="J40" i="19" a="1"/>
  <c r="J40" i="19" s="1"/>
  <c r="F40" i="19"/>
  <c r="M206" i="25" s="1"/>
  <c r="J39" i="19" a="1"/>
  <c r="J39" i="19" s="1"/>
  <c r="F39" i="19"/>
  <c r="M205" i="25" s="1"/>
  <c r="J38" i="19" a="1"/>
  <c r="J38" i="19" s="1"/>
  <c r="I11" i="19" a="1"/>
  <c r="I11" i="19" s="1"/>
  <c r="I12" i="19" a="1"/>
  <c r="I12" i="19" s="1"/>
  <c r="I31" i="19" a="1"/>
  <c r="I31" i="19" s="1"/>
  <c r="I32" i="19" a="1"/>
  <c r="I32" i="19" s="1"/>
  <c r="I33" i="19" a="1"/>
  <c r="I33" i="19" s="1"/>
  <c r="I34" i="19" a="1"/>
  <c r="I34" i="19" s="1"/>
  <c r="I10" i="19" a="1"/>
  <c r="I10" i="19" s="1"/>
  <c r="M115" i="25" l="1"/>
  <c r="M117" i="25"/>
  <c r="M118" i="25"/>
  <c r="M116" i="25"/>
  <c r="R95" i="25"/>
  <c r="AE95" i="25" s="1"/>
  <c r="M3" i="25"/>
  <c r="P4" i="25"/>
  <c r="W121" i="4" a="1"/>
  <c r="W121" i="4" s="1"/>
  <c r="AC114" i="25" s="1"/>
  <c r="M119" i="25"/>
  <c r="I38" i="19" a="1"/>
  <c r="I38" i="19" s="1"/>
  <c r="Q204" i="25"/>
  <c r="P203" i="25"/>
  <c r="L34" i="19"/>
  <c r="S203" i="25" s="1"/>
  <c r="AF203" i="25" s="1"/>
  <c r="I39" i="19" a="1"/>
  <c r="I39" i="19" s="1"/>
  <c r="Q205" i="25"/>
  <c r="I43" i="19" a="1"/>
  <c r="I43" i="19" s="1"/>
  <c r="Q209" i="25"/>
  <c r="I60" i="19" a="1"/>
  <c r="I60" i="19" s="1"/>
  <c r="Q226" i="25"/>
  <c r="R190" i="25"/>
  <c r="AE190" i="25" s="1"/>
  <c r="L21" i="19"/>
  <c r="S190" i="25" s="1"/>
  <c r="AF190" i="25" s="1"/>
  <c r="P202" i="25"/>
  <c r="L33" i="19"/>
  <c r="S202" i="25" s="1"/>
  <c r="AF202" i="25" s="1"/>
  <c r="M99" i="4"/>
  <c r="S95" i="25" s="1"/>
  <c r="AF95" i="25" s="1"/>
  <c r="I42" i="19" a="1"/>
  <c r="I42" i="19" s="1"/>
  <c r="Q208" i="25"/>
  <c r="P179" i="25"/>
  <c r="L10" i="19"/>
  <c r="S179" i="25" s="1"/>
  <c r="AF179" i="25" s="1"/>
  <c r="P201" i="25"/>
  <c r="L32" i="19"/>
  <c r="S201" i="25" s="1"/>
  <c r="AF201" i="25" s="1"/>
  <c r="I40" i="19" a="1"/>
  <c r="I40" i="19" s="1"/>
  <c r="Q206" i="25"/>
  <c r="I57" i="19" a="1"/>
  <c r="I57" i="19" s="1"/>
  <c r="Q223" i="25"/>
  <c r="I61" i="19" a="1"/>
  <c r="I61" i="19" s="1"/>
  <c r="Q227" i="25"/>
  <c r="W8" i="4" a="1"/>
  <c r="W8" i="4" s="1"/>
  <c r="AC4" i="25" s="1"/>
  <c r="P200" i="25"/>
  <c r="L31" i="19"/>
  <c r="S200" i="25" s="1"/>
  <c r="AF200" i="25" s="1"/>
  <c r="P114" i="25"/>
  <c r="I59" i="19" a="1"/>
  <c r="I59" i="19" s="1"/>
  <c r="Q225" i="25"/>
  <c r="P115" i="25"/>
  <c r="P181" i="25"/>
  <c r="L12" i="19"/>
  <c r="S181" i="25" s="1"/>
  <c r="AF181" i="25" s="1"/>
  <c r="I41" i="19" a="1"/>
  <c r="I41" i="19" s="1"/>
  <c r="Q207" i="25"/>
  <c r="I58" i="19" a="1"/>
  <c r="I58" i="19" s="1"/>
  <c r="Q224" i="25"/>
  <c r="P180" i="25"/>
  <c r="U125" i="4"/>
  <c r="V125" i="4"/>
  <c r="AB118" i="25" s="1"/>
  <c r="V124" i="4"/>
  <c r="AB117" i="25" s="1"/>
  <c r="U124" i="4"/>
  <c r="U123" i="4"/>
  <c r="V123" i="4"/>
  <c r="AB116" i="25" s="1"/>
  <c r="V126" i="4"/>
  <c r="AB119" i="25" s="1"/>
  <c r="U126" i="4"/>
  <c r="S121" i="4" a="1"/>
  <c r="S121" i="4" s="1"/>
  <c r="Y114" i="25" s="1"/>
  <c r="L8" i="4" a="1"/>
  <c r="L8" i="4" s="1"/>
  <c r="R4" i="25" s="1"/>
  <c r="AE4" i="25" s="1"/>
  <c r="L117" i="4" a="1"/>
  <c r="L117" i="4" s="1"/>
  <c r="K38" i="19" a="1"/>
  <c r="K38" i="19" s="1"/>
  <c r="R204" i="25" s="1"/>
  <c r="AE204" i="25" s="1"/>
  <c r="K39" i="19" a="1"/>
  <c r="K39" i="19" s="1"/>
  <c r="R205" i="25" s="1"/>
  <c r="AE205" i="25" s="1"/>
  <c r="L9" i="4" a="1"/>
  <c r="L9" i="4" s="1"/>
  <c r="L98" i="4" a="1"/>
  <c r="L98" i="4" s="1"/>
  <c r="K20" i="19" a="1"/>
  <c r="K20" i="19" s="1"/>
  <c r="K41" i="19" a="1"/>
  <c r="K41" i="19" s="1"/>
  <c r="R207" i="25" s="1"/>
  <c r="AE207" i="25" s="1"/>
  <c r="Q8" i="4" a="1"/>
  <c r="Q8" i="4" s="1"/>
  <c r="W4" i="25" s="1"/>
  <c r="P8" i="4" a="1"/>
  <c r="P8" i="4" s="1"/>
  <c r="V4" i="25" s="1"/>
  <c r="R8" i="4" a="1"/>
  <c r="R8" i="4" s="1"/>
  <c r="X4" i="25" s="1"/>
  <c r="S8" i="4" a="1"/>
  <c r="S8" i="4" s="1"/>
  <c r="Y4" i="25" s="1"/>
  <c r="T8" i="4" a="1"/>
  <c r="T8" i="4" s="1"/>
  <c r="Z4" i="25" s="1"/>
  <c r="K11" i="19" a="1"/>
  <c r="K11" i="19" s="1"/>
  <c r="R180" i="25" s="1"/>
  <c r="AE180" i="25" s="1"/>
  <c r="K8" i="19" a="1"/>
  <c r="K8" i="19" s="1"/>
  <c r="Q7" i="4" a="1"/>
  <c r="Q7" i="4" s="1"/>
  <c r="W3" i="25" s="1"/>
  <c r="C27" i="18"/>
  <c r="D27" i="18"/>
  <c r="Q10" i="19" a="1"/>
  <c r="Q10" i="19" s="1"/>
  <c r="X179" i="25" s="1"/>
  <c r="V10" i="19" a="1"/>
  <c r="V10" i="19" s="1"/>
  <c r="R10" i="19" a="1"/>
  <c r="R10" i="19" s="1"/>
  <c r="Y179" i="25" s="1"/>
  <c r="S10" i="19" a="1"/>
  <c r="S10" i="19" s="1"/>
  <c r="Z179" i="25" s="1"/>
  <c r="O10" i="19" a="1"/>
  <c r="O10" i="19" s="1"/>
  <c r="V179" i="25" s="1"/>
  <c r="P10" i="19" a="1"/>
  <c r="P10" i="19" s="1"/>
  <c r="W179" i="25" s="1"/>
  <c r="O9" i="19" a="1"/>
  <c r="O9" i="19" s="1"/>
  <c r="R9" i="19" a="1"/>
  <c r="R9" i="19" s="1"/>
  <c r="Y178" i="25" s="1"/>
  <c r="P9" i="19" a="1"/>
  <c r="P9" i="19" s="1"/>
  <c r="W178" i="25" s="1"/>
  <c r="V9" i="19" a="1"/>
  <c r="V9" i="19" s="1"/>
  <c r="S9" i="19" a="1"/>
  <c r="S9" i="19" s="1"/>
  <c r="Z178" i="25" s="1"/>
  <c r="Q9" i="19" a="1"/>
  <c r="Q9" i="19" s="1"/>
  <c r="X178" i="25" s="1"/>
  <c r="R8" i="19" a="1"/>
  <c r="R8" i="19" s="1"/>
  <c r="Y177" i="25" s="1"/>
  <c r="P8" i="19" a="1"/>
  <c r="P8" i="19" s="1"/>
  <c r="W177" i="25" s="1"/>
  <c r="V8" i="19" a="1"/>
  <c r="V8" i="19" s="1"/>
  <c r="Q8" i="19" a="1"/>
  <c r="Q8" i="19" s="1"/>
  <c r="X177" i="25" s="1"/>
  <c r="S8" i="19" a="1"/>
  <c r="S8" i="19" s="1"/>
  <c r="Z177" i="25" s="1"/>
  <c r="O8" i="19" a="1"/>
  <c r="O8" i="19" s="1"/>
  <c r="V177" i="25" s="1"/>
  <c r="Q12" i="19" a="1"/>
  <c r="Q12" i="19" s="1"/>
  <c r="X181" i="25" s="1"/>
  <c r="R12" i="19" a="1"/>
  <c r="R12" i="19" s="1"/>
  <c r="Y181" i="25" s="1"/>
  <c r="O12" i="19" a="1"/>
  <c r="O12" i="19" s="1"/>
  <c r="V181" i="25" s="1"/>
  <c r="S12" i="19" a="1"/>
  <c r="S12" i="19" s="1"/>
  <c r="Z181" i="25" s="1"/>
  <c r="P12" i="19" a="1"/>
  <c r="P12" i="19" s="1"/>
  <c r="W181" i="25" s="1"/>
  <c r="V12" i="19" a="1"/>
  <c r="V12" i="19" s="1"/>
  <c r="S11" i="19" a="1"/>
  <c r="S11" i="19" s="1"/>
  <c r="Z180" i="25" s="1"/>
  <c r="Q11" i="19" a="1"/>
  <c r="Q11" i="19" s="1"/>
  <c r="X180" i="25" s="1"/>
  <c r="V11" i="19" a="1"/>
  <c r="V11" i="19" s="1"/>
  <c r="O11" i="19" a="1"/>
  <c r="O11" i="19" s="1"/>
  <c r="V180" i="25" s="1"/>
  <c r="P11" i="19" a="1"/>
  <c r="P11" i="19" s="1"/>
  <c r="W180" i="25" s="1"/>
  <c r="R11" i="19" a="1"/>
  <c r="R11" i="19" s="1"/>
  <c r="Y180" i="25" s="1"/>
  <c r="P121" i="4" a="1"/>
  <c r="P121" i="4" s="1"/>
  <c r="V114" i="25" s="1"/>
  <c r="Q122" i="4" a="1"/>
  <c r="Q122" i="4" s="1"/>
  <c r="W115" i="25" s="1"/>
  <c r="R122" i="4" a="1"/>
  <c r="R122" i="4" s="1"/>
  <c r="X115" i="25" s="1"/>
  <c r="T122" i="4" a="1"/>
  <c r="T122" i="4" s="1"/>
  <c r="Z115" i="25" s="1"/>
  <c r="P122" i="4" a="1"/>
  <c r="P122" i="4" s="1"/>
  <c r="V115" i="25" s="1"/>
  <c r="S122" i="4" a="1"/>
  <c r="S122" i="4" s="1"/>
  <c r="Y115" i="25" s="1"/>
  <c r="Q121" i="4" a="1"/>
  <c r="Q121" i="4" s="1"/>
  <c r="W114" i="25" s="1"/>
  <c r="R121" i="4" a="1"/>
  <c r="R121" i="4" s="1"/>
  <c r="X114" i="25" s="1"/>
  <c r="V43" i="19" l="1" a="1"/>
  <c r="V43" i="19" s="1"/>
  <c r="P40" i="19" a="1"/>
  <c r="P40" i="19" s="1"/>
  <c r="W206" i="25" s="1"/>
  <c r="V178" i="25"/>
  <c r="O39" i="19" a="1"/>
  <c r="O39" i="19" s="1"/>
  <c r="V205" i="25" s="1"/>
  <c r="P41" i="19" a="1"/>
  <c r="P41" i="19" s="1"/>
  <c r="W207" i="25" s="1"/>
  <c r="R177" i="25"/>
  <c r="AE177" i="25" s="1"/>
  <c r="V38" i="19" a="1"/>
  <c r="V38" i="19" s="1"/>
  <c r="P208" i="25"/>
  <c r="R94" i="25"/>
  <c r="AE94" i="25" s="1"/>
  <c r="R5" i="25"/>
  <c r="AE5" i="25" s="1"/>
  <c r="I16" i="18"/>
  <c r="R113" i="25"/>
  <c r="AE113" i="25" s="1"/>
  <c r="Y123" i="4" a="1"/>
  <c r="Y123" i="4" s="1"/>
  <c r="AA117" i="25"/>
  <c r="Y124" i="4" a="1"/>
  <c r="Y124" i="4" s="1"/>
  <c r="AA118" i="25"/>
  <c r="Y125" i="4" a="1"/>
  <c r="Y125" i="4" s="1"/>
  <c r="AA119" i="25"/>
  <c r="Y126" i="4" a="1"/>
  <c r="Y126" i="4" s="1"/>
  <c r="AA116" i="25"/>
  <c r="M122" i="4"/>
  <c r="U122" i="4" s="1"/>
  <c r="AA115" i="25" s="1"/>
  <c r="S42" i="19" a="1"/>
  <c r="S42" i="19" s="1"/>
  <c r="Z208" i="25" s="1"/>
  <c r="O38" i="19" a="1"/>
  <c r="O38" i="19" s="1"/>
  <c r="V204" i="25" s="1"/>
  <c r="R38" i="19" a="1"/>
  <c r="R38" i="19" s="1"/>
  <c r="Y204" i="25" s="1"/>
  <c r="P38" i="19" a="1"/>
  <c r="P38" i="19" s="1"/>
  <c r="W204" i="25" s="1"/>
  <c r="O42" i="19" a="1"/>
  <c r="O42" i="19" s="1"/>
  <c r="V208" i="25" s="1"/>
  <c r="U21" i="19"/>
  <c r="AB190" i="25" s="1"/>
  <c r="T21" i="19"/>
  <c r="AA190" i="25" s="1"/>
  <c r="P43" i="19" a="1"/>
  <c r="P43" i="19" s="1"/>
  <c r="W209" i="25" s="1"/>
  <c r="O43" i="19" a="1"/>
  <c r="O43" i="19" s="1"/>
  <c r="V209" i="25" s="1"/>
  <c r="R43" i="19" a="1"/>
  <c r="R43" i="19" s="1"/>
  <c r="Y209" i="25" s="1"/>
  <c r="S43" i="19" a="1"/>
  <c r="S43" i="19" s="1"/>
  <c r="Z209" i="25" s="1"/>
  <c r="Q43" i="19" a="1"/>
  <c r="Q43" i="19" s="1"/>
  <c r="X209" i="25" s="1"/>
  <c r="U99" i="4"/>
  <c r="AA95" i="25" s="1"/>
  <c r="V99" i="4"/>
  <c r="AB95" i="25" s="1"/>
  <c r="S40" i="19" a="1"/>
  <c r="S40" i="19" s="1"/>
  <c r="Z206" i="25" s="1"/>
  <c r="R40" i="19" a="1"/>
  <c r="R40" i="19" s="1"/>
  <c r="Y206" i="25" s="1"/>
  <c r="Q40" i="19" a="1"/>
  <c r="Q40" i="19" s="1"/>
  <c r="X206" i="25" s="1"/>
  <c r="P39" i="19" a="1"/>
  <c r="P39" i="19" s="1"/>
  <c r="W205" i="25" s="1"/>
  <c r="V40" i="19" a="1"/>
  <c r="V40" i="19" s="1"/>
  <c r="S39" i="19" a="1"/>
  <c r="S39" i="19" s="1"/>
  <c r="Z205" i="25" s="1"/>
  <c r="O40" i="19" a="1"/>
  <c r="O40" i="19" s="1"/>
  <c r="V206" i="25" s="1"/>
  <c r="R39" i="19" a="1"/>
  <c r="R39" i="19" s="1"/>
  <c r="Y205" i="25" s="1"/>
  <c r="Q39" i="19" a="1"/>
  <c r="Q39" i="19" s="1"/>
  <c r="X205" i="25" s="1"/>
  <c r="V39" i="19" a="1"/>
  <c r="V39" i="19" s="1"/>
  <c r="S41" i="19" a="1"/>
  <c r="S41" i="19" s="1"/>
  <c r="Z207" i="25" s="1"/>
  <c r="Q38" i="19" a="1"/>
  <c r="Q38" i="19" s="1"/>
  <c r="X204" i="25" s="1"/>
  <c r="P206" i="25"/>
  <c r="L40" i="19"/>
  <c r="S206" i="25" s="1"/>
  <c r="AF206" i="25" s="1"/>
  <c r="P209" i="25"/>
  <c r="L43" i="19"/>
  <c r="S209" i="25" s="1"/>
  <c r="AF209" i="25" s="1"/>
  <c r="O41" i="19" a="1"/>
  <c r="O41" i="19" s="1"/>
  <c r="V207" i="25" s="1"/>
  <c r="R42" i="19" a="1"/>
  <c r="R42" i="19" s="1"/>
  <c r="Y208" i="25" s="1"/>
  <c r="R41" i="19" a="1"/>
  <c r="R41" i="19" s="1"/>
  <c r="Y207" i="25" s="1"/>
  <c r="L11" i="19"/>
  <c r="S180" i="25" s="1"/>
  <c r="AF180" i="25" s="1"/>
  <c r="M98" i="4"/>
  <c r="S94" i="25" s="1"/>
  <c r="AF94" i="25" s="1"/>
  <c r="Q42" i="19" a="1"/>
  <c r="Q42" i="19" s="1"/>
  <c r="X208" i="25" s="1"/>
  <c r="Q41" i="19" a="1"/>
  <c r="Q41" i="19" s="1"/>
  <c r="X207" i="25" s="1"/>
  <c r="I15" i="18"/>
  <c r="P205" i="25"/>
  <c r="L39" i="19"/>
  <c r="S205" i="25" s="1"/>
  <c r="AF205" i="25" s="1"/>
  <c r="M117" i="4"/>
  <c r="S113" i="25" s="1"/>
  <c r="AF113" i="25" s="1"/>
  <c r="R189" i="25"/>
  <c r="AE189" i="25" s="1"/>
  <c r="L20" i="19"/>
  <c r="S189" i="25" s="1"/>
  <c r="AF189" i="25" s="1"/>
  <c r="M9" i="4"/>
  <c r="S5" i="25" s="1"/>
  <c r="AF5" i="25" s="1"/>
  <c r="V42" i="19" a="1"/>
  <c r="V42" i="19" s="1"/>
  <c r="V41" i="19" a="1"/>
  <c r="V41" i="19" s="1"/>
  <c r="S38" i="19" a="1"/>
  <c r="S38" i="19" s="1"/>
  <c r="Z204" i="25" s="1"/>
  <c r="P42" i="19" a="1"/>
  <c r="P42" i="19" s="1"/>
  <c r="W208" i="25" s="1"/>
  <c r="P224" i="25"/>
  <c r="L58" i="19"/>
  <c r="S58" i="19" a="1"/>
  <c r="S58" i="19" s="1"/>
  <c r="Z224" i="25" s="1"/>
  <c r="P58" i="19" a="1"/>
  <c r="P58" i="19" s="1"/>
  <c r="W224" i="25" s="1"/>
  <c r="V58" i="19" a="1"/>
  <c r="V58" i="19" s="1"/>
  <c r="Q58" i="19" a="1"/>
  <c r="Q58" i="19" s="1"/>
  <c r="X224" i="25" s="1"/>
  <c r="O58" i="19" a="1"/>
  <c r="O58" i="19" s="1"/>
  <c r="V224" i="25" s="1"/>
  <c r="R58" i="19" a="1"/>
  <c r="R58" i="19" s="1"/>
  <c r="Y224" i="25" s="1"/>
  <c r="P225" i="25"/>
  <c r="L59" i="19"/>
  <c r="S59" i="19" a="1"/>
  <c r="S59" i="19" s="1"/>
  <c r="Z225" i="25" s="1"/>
  <c r="O59" i="19" a="1"/>
  <c r="O59" i="19" s="1"/>
  <c r="V225" i="25" s="1"/>
  <c r="V59" i="19" a="1"/>
  <c r="V59" i="19" s="1"/>
  <c r="P59" i="19" a="1"/>
  <c r="P59" i="19" s="1"/>
  <c r="W225" i="25" s="1"/>
  <c r="Q59" i="19" a="1"/>
  <c r="Q59" i="19" s="1"/>
  <c r="X225" i="25" s="1"/>
  <c r="R59" i="19" a="1"/>
  <c r="R59" i="19" s="1"/>
  <c r="Y225" i="25" s="1"/>
  <c r="P227" i="25"/>
  <c r="L61" i="19"/>
  <c r="S61" i="19" a="1"/>
  <c r="S61" i="19" s="1"/>
  <c r="Z227" i="25" s="1"/>
  <c r="V61" i="19" a="1"/>
  <c r="V61" i="19" s="1"/>
  <c r="Q61" i="19" a="1"/>
  <c r="Q61" i="19" s="1"/>
  <c r="X227" i="25" s="1"/>
  <c r="P61" i="19" a="1"/>
  <c r="P61" i="19" s="1"/>
  <c r="W227" i="25" s="1"/>
  <c r="R61" i="19" a="1"/>
  <c r="R61" i="19" s="1"/>
  <c r="Y227" i="25" s="1"/>
  <c r="O61" i="19" a="1"/>
  <c r="O61" i="19" s="1"/>
  <c r="V227" i="25" s="1"/>
  <c r="P207" i="25"/>
  <c r="L41" i="19"/>
  <c r="S207" i="25" s="1"/>
  <c r="AF207" i="25" s="1"/>
  <c r="P223" i="25"/>
  <c r="L57" i="19"/>
  <c r="S57" i="19" a="1"/>
  <c r="S57" i="19" s="1"/>
  <c r="Z223" i="25" s="1"/>
  <c r="O57" i="19" a="1"/>
  <c r="O57" i="19" s="1"/>
  <c r="V223" i="25" s="1"/>
  <c r="V57" i="19" a="1"/>
  <c r="V57" i="19" s="1"/>
  <c r="Q57" i="19" a="1"/>
  <c r="Q57" i="19" s="1"/>
  <c r="X223" i="25" s="1"/>
  <c r="R57" i="19" a="1"/>
  <c r="R57" i="19" s="1"/>
  <c r="Y223" i="25" s="1"/>
  <c r="P57" i="19" a="1"/>
  <c r="P57" i="19" s="1"/>
  <c r="W223" i="25" s="1"/>
  <c r="P226" i="25"/>
  <c r="L60" i="19"/>
  <c r="S60" i="19" a="1"/>
  <c r="S60" i="19" s="1"/>
  <c r="Z226" i="25" s="1"/>
  <c r="P60" i="19" a="1"/>
  <c r="P60" i="19" s="1"/>
  <c r="W226" i="25" s="1"/>
  <c r="V60" i="19" a="1"/>
  <c r="V60" i="19" s="1"/>
  <c r="O60" i="19" a="1"/>
  <c r="O60" i="19" s="1"/>
  <c r="V226" i="25" s="1"/>
  <c r="Q60" i="19" a="1"/>
  <c r="Q60" i="19" s="1"/>
  <c r="X226" i="25" s="1"/>
  <c r="R60" i="19" a="1"/>
  <c r="R60" i="19" s="1"/>
  <c r="Y226" i="25" s="1"/>
  <c r="P204" i="25"/>
  <c r="L42" i="19"/>
  <c r="L8" i="19"/>
  <c r="S177" i="25" s="1"/>
  <c r="AF177" i="25" s="1"/>
  <c r="M8" i="4"/>
  <c r="I25" i="18"/>
  <c r="D16" i="26"/>
  <c r="E16" i="26" s="1"/>
  <c r="T34" i="19"/>
  <c r="AA203" i="25" s="1"/>
  <c r="U34" i="19"/>
  <c r="AB203" i="25" s="1"/>
  <c r="T12" i="19"/>
  <c r="AA181" i="25" s="1"/>
  <c r="U12" i="19"/>
  <c r="AB181" i="25" s="1"/>
  <c r="U31" i="19"/>
  <c r="AB200" i="25" s="1"/>
  <c r="T31" i="19"/>
  <c r="AA200" i="25" s="1"/>
  <c r="U10" i="19"/>
  <c r="AB179" i="25" s="1"/>
  <c r="T10" i="19"/>
  <c r="AA179" i="25" s="1"/>
  <c r="T32" i="19"/>
  <c r="AA201" i="25" s="1"/>
  <c r="U32" i="19"/>
  <c r="AB201" i="25" s="1"/>
  <c r="U9" i="19"/>
  <c r="AB178" i="25" s="1"/>
  <c r="T9" i="19"/>
  <c r="AA178" i="25" s="1"/>
  <c r="U33" i="19"/>
  <c r="AB202" i="25" s="1"/>
  <c r="T33" i="19"/>
  <c r="AA202" i="25" s="1"/>
  <c r="P7" i="4" a="1"/>
  <c r="P7" i="4" s="1"/>
  <c r="V3" i="25" s="1"/>
  <c r="S7" i="4" a="1"/>
  <c r="S7" i="4" s="1"/>
  <c r="Y3" i="25" s="1"/>
  <c r="R7" i="4" a="1"/>
  <c r="R7" i="4" s="1"/>
  <c r="X3" i="25" s="1"/>
  <c r="D33" i="18"/>
  <c r="C36" i="18"/>
  <c r="C25" i="18"/>
  <c r="E25" i="18"/>
  <c r="D25" i="18"/>
  <c r="D16" i="18"/>
  <c r="E33" i="18"/>
  <c r="C16" i="18"/>
  <c r="L38" i="19" l="1"/>
  <c r="S204" i="25" s="1"/>
  <c r="AF204" i="25" s="1"/>
  <c r="X12" i="19" a="1"/>
  <c r="X12" i="19" s="1"/>
  <c r="X21" i="19" a="1"/>
  <c r="X21" i="19" s="1"/>
  <c r="X31" i="19" a="1"/>
  <c r="X31" i="19" s="1"/>
  <c r="X33" i="19" a="1"/>
  <c r="X33" i="19" s="1"/>
  <c r="X9" i="19" a="1"/>
  <c r="X9" i="19" s="1"/>
  <c r="X10" i="19" a="1"/>
  <c r="X10" i="19" s="1"/>
  <c r="X34" i="19" a="1"/>
  <c r="X34" i="19" s="1"/>
  <c r="X32" i="19" a="1"/>
  <c r="X32" i="19" s="1"/>
  <c r="V122" i="4"/>
  <c r="AB115" i="25" s="1"/>
  <c r="Y99" i="4" a="1"/>
  <c r="Y99" i="4" s="1"/>
  <c r="S115" i="25"/>
  <c r="AF115" i="25" s="1"/>
  <c r="E23" i="26"/>
  <c r="V8" i="4"/>
  <c r="AB4" i="25" s="1"/>
  <c r="S4" i="25"/>
  <c r="AF4" i="25" s="1"/>
  <c r="T40" i="19"/>
  <c r="AA206" i="25" s="1"/>
  <c r="T11" i="19"/>
  <c r="AA180" i="25" s="1"/>
  <c r="T39" i="19"/>
  <c r="U40" i="19"/>
  <c r="AB206" i="25" s="1"/>
  <c r="V98" i="4"/>
  <c r="AB94" i="25" s="1"/>
  <c r="U11" i="19"/>
  <c r="AB180" i="25" s="1"/>
  <c r="U98" i="4"/>
  <c r="U117" i="4"/>
  <c r="V117" i="4"/>
  <c r="AB113" i="25" s="1"/>
  <c r="U9" i="4"/>
  <c r="V9" i="4"/>
  <c r="AB5" i="25" s="1"/>
  <c r="U39" i="19"/>
  <c r="AB205" i="25" s="1"/>
  <c r="C26" i="18"/>
  <c r="C28" i="18" s="1"/>
  <c r="U20" i="19"/>
  <c r="AB189" i="25" s="1"/>
  <c r="I26" i="18"/>
  <c r="I28" i="18" s="1"/>
  <c r="E26" i="18"/>
  <c r="T43" i="19"/>
  <c r="AA209" i="25" s="1"/>
  <c r="S226" i="25"/>
  <c r="AF226" i="25" s="1"/>
  <c r="T60" i="19"/>
  <c r="U60" i="19"/>
  <c r="AB226" i="25" s="1"/>
  <c r="S223" i="25"/>
  <c r="AF223" i="25" s="1"/>
  <c r="T57" i="19"/>
  <c r="AA223" i="25" s="1"/>
  <c r="U57" i="19"/>
  <c r="AB223" i="25" s="1"/>
  <c r="S227" i="25"/>
  <c r="AF227" i="25" s="1"/>
  <c r="T61" i="19"/>
  <c r="AA227" i="25" s="1"/>
  <c r="U61" i="19"/>
  <c r="AB227" i="25" s="1"/>
  <c r="T41" i="19"/>
  <c r="AA207" i="25" s="1"/>
  <c r="U8" i="4"/>
  <c r="S225" i="25"/>
  <c r="AF225" i="25" s="1"/>
  <c r="T59" i="19"/>
  <c r="AA225" i="25" s="1"/>
  <c r="U59" i="19"/>
  <c r="AB225" i="25" s="1"/>
  <c r="S224" i="25"/>
  <c r="AF224" i="25" s="1"/>
  <c r="T58" i="19"/>
  <c r="AA224" i="25" s="1"/>
  <c r="U58" i="19"/>
  <c r="AB224" i="25" s="1"/>
  <c r="D26" i="18"/>
  <c r="D28" i="18" s="1"/>
  <c r="U41" i="19"/>
  <c r="AB207" i="25" s="1"/>
  <c r="T20" i="19"/>
  <c r="AA189" i="25" s="1"/>
  <c r="U43" i="19"/>
  <c r="AB209" i="25" s="1"/>
  <c r="T42" i="19"/>
  <c r="AA208" i="25" s="1"/>
  <c r="S208" i="25"/>
  <c r="AF208" i="25" s="1"/>
  <c r="U42" i="19"/>
  <c r="AB208" i="25" s="1"/>
  <c r="T101" i="4" a="1"/>
  <c r="T101" i="4" s="1"/>
  <c r="Z97" i="25" s="1"/>
  <c r="T100" i="4" a="1"/>
  <c r="T100" i="4" s="1"/>
  <c r="Z96" i="25" s="1"/>
  <c r="F25" i="18"/>
  <c r="F33" i="18"/>
  <c r="F36" i="18" s="1"/>
  <c r="T7" i="4" a="1"/>
  <c r="T7" i="4" s="1"/>
  <c r="Z3" i="25" s="1"/>
  <c r="T97" i="4" a="1"/>
  <c r="T97" i="4" s="1"/>
  <c r="Z93" i="25" s="1"/>
  <c r="F24" i="18"/>
  <c r="T38" i="19"/>
  <c r="U38" i="19"/>
  <c r="D36" i="18"/>
  <c r="T121" i="4" a="1"/>
  <c r="T121" i="4" s="1"/>
  <c r="E36" i="18"/>
  <c r="T8" i="19"/>
  <c r="D12" i="11"/>
  <c r="X38" i="19" l="1" a="1"/>
  <c r="X38" i="19" s="1"/>
  <c r="X41" i="19" a="1"/>
  <c r="X41" i="19" s="1"/>
  <c r="X11" i="19" a="1"/>
  <c r="X11" i="19" s="1"/>
  <c r="X57" i="19" a="1"/>
  <c r="X57" i="19" s="1"/>
  <c r="AA226" i="25"/>
  <c r="X60" i="19" a="1"/>
  <c r="X60" i="19" s="1"/>
  <c r="AA205" i="25"/>
  <c r="X39" i="19" a="1"/>
  <c r="X39" i="19" s="1"/>
  <c r="X43" i="19" a="1"/>
  <c r="X43" i="19" s="1"/>
  <c r="X59" i="19" a="1"/>
  <c r="X59" i="19" s="1"/>
  <c r="X20" i="19" a="1"/>
  <c r="X20" i="19" s="1"/>
  <c r="X42" i="19" a="1"/>
  <c r="X42" i="19" s="1"/>
  <c r="X58" i="19" a="1"/>
  <c r="X58" i="19" s="1"/>
  <c r="X40" i="19" a="1"/>
  <c r="X40" i="19" s="1"/>
  <c r="X61" i="19" a="1"/>
  <c r="X61" i="19" s="1"/>
  <c r="Y122" i="4" a="1"/>
  <c r="Y122" i="4" s="1"/>
  <c r="AA4" i="25"/>
  <c r="Y8" i="4" a="1"/>
  <c r="Y8" i="4" s="1"/>
  <c r="AA5" i="25"/>
  <c r="AA113" i="25"/>
  <c r="Y117" i="4" a="1"/>
  <c r="Y117" i="4" s="1"/>
  <c r="AA94" i="25"/>
  <c r="Y98" i="4" a="1"/>
  <c r="Y98" i="4" s="1"/>
  <c r="Y9" i="4" a="1"/>
  <c r="Y9" i="4" s="1"/>
  <c r="E16" i="18"/>
  <c r="F16" i="18" s="1"/>
  <c r="Z114" i="25"/>
  <c r="G26" i="18"/>
  <c r="AA204" i="25"/>
  <c r="H26" i="18"/>
  <c r="AB204" i="25"/>
  <c r="F26" i="18"/>
  <c r="G25" i="18"/>
  <c r="AA177" i="25"/>
  <c r="L100" i="4" a="1"/>
  <c r="L100" i="4" s="1"/>
  <c r="L101" i="4" a="1"/>
  <c r="L101" i="4" s="1"/>
  <c r="V116" i="17"/>
  <c r="L97" i="4" a="1"/>
  <c r="L97" i="4" s="1"/>
  <c r="L121" i="4" a="1"/>
  <c r="L121" i="4" s="1"/>
  <c r="L7" i="4" a="1"/>
  <c r="L7" i="4" s="1"/>
  <c r="U8" i="19"/>
  <c r="X8" i="19" s="1" a="1"/>
  <c r="X8" i="19" s="1"/>
  <c r="Q65" i="19"/>
  <c r="X228" i="25" s="1"/>
  <c r="F12" i="11"/>
  <c r="X7" i="19" l="1"/>
  <c r="H6" i="19" s="1"/>
  <c r="D9" i="26" s="1"/>
  <c r="E9" i="26" s="1"/>
  <c r="R93" i="25"/>
  <c r="AE93" i="25" s="1"/>
  <c r="R96" i="25"/>
  <c r="AE96" i="25" s="1"/>
  <c r="R97" i="25"/>
  <c r="AE97" i="25" s="1"/>
  <c r="R114" i="25"/>
  <c r="AE114" i="25" s="1"/>
  <c r="M101" i="4"/>
  <c r="S97" i="25" s="1"/>
  <c r="AF97" i="25" s="1"/>
  <c r="M100" i="4"/>
  <c r="S96" i="25" s="1"/>
  <c r="AF96" i="25" s="1"/>
  <c r="M97" i="4"/>
  <c r="S93" i="25" s="1"/>
  <c r="AF93" i="25" s="1"/>
  <c r="H25" i="18"/>
  <c r="AB177" i="25"/>
  <c r="M7" i="4"/>
  <c r="S3" i="25" s="1"/>
  <c r="R3" i="25"/>
  <c r="G36" i="18"/>
  <c r="I36" i="18"/>
  <c r="M121" i="4"/>
  <c r="Q66" i="19"/>
  <c r="K66" i="19"/>
  <c r="H36" i="18"/>
  <c r="L8" i="5"/>
  <c r="S255" i="25" l="1"/>
  <c r="AF255" i="25" s="1"/>
  <c r="Z8" i="5" a="1"/>
  <c r="Z8" i="5" s="1"/>
  <c r="E27" i="18"/>
  <c r="F27" i="18" s="1"/>
  <c r="F28" i="18" s="1"/>
  <c r="X229" i="25"/>
  <c r="S114" i="25"/>
  <c r="AF114" i="25" s="1"/>
  <c r="AF3" i="25"/>
  <c r="AE3" i="25"/>
  <c r="U100" i="4"/>
  <c r="AA96" i="25" s="1"/>
  <c r="U97" i="4"/>
  <c r="V97" i="4"/>
  <c r="AB93" i="25" s="1"/>
  <c r="U101" i="4"/>
  <c r="V101" i="4"/>
  <c r="AB97" i="25" s="1"/>
  <c r="V100" i="4"/>
  <c r="AB96" i="25" s="1"/>
  <c r="R229" i="25"/>
  <c r="AE229" i="25" s="1"/>
  <c r="L66" i="19"/>
  <c r="U7" i="4"/>
  <c r="V7" i="4"/>
  <c r="AB3" i="25" s="1"/>
  <c r="U121" i="4"/>
  <c r="V121" i="4"/>
  <c r="K65" i="19"/>
  <c r="E28" i="18" l="1"/>
  <c r="R228" i="25"/>
  <c r="S229" i="25"/>
  <c r="AF229" i="25" s="1"/>
  <c r="Y121" i="4" a="1"/>
  <c r="Y121" i="4" s="1"/>
  <c r="Y120" i="4" s="1"/>
  <c r="I119" i="4" s="1"/>
  <c r="AA3" i="25"/>
  <c r="Z6" i="4"/>
  <c r="AA97" i="25"/>
  <c r="Y101" i="4" a="1"/>
  <c r="Y101" i="4" s="1"/>
  <c r="AA93" i="25"/>
  <c r="Y97" i="4" a="1"/>
  <c r="Y97" i="4" s="1"/>
  <c r="Y100" i="4" a="1"/>
  <c r="Y100" i="4" s="1"/>
  <c r="Y7" i="4" a="1"/>
  <c r="Y7" i="4" s="1"/>
  <c r="U66" i="19"/>
  <c r="AB229" i="25" s="1"/>
  <c r="T66" i="19"/>
  <c r="G16" i="18"/>
  <c r="AA114" i="25"/>
  <c r="H16" i="18"/>
  <c r="AB114" i="25"/>
  <c r="G15" i="18"/>
  <c r="H15" i="18"/>
  <c r="L65" i="19"/>
  <c r="D19" i="18"/>
  <c r="D9" i="18" s="1"/>
  <c r="E29" i="26" s="1"/>
  <c r="E15" i="18"/>
  <c r="E19" i="18" s="1"/>
  <c r="C15" i="18"/>
  <c r="C19" i="18" s="1"/>
  <c r="E28" i="26" s="1"/>
  <c r="E9" i="18" l="1"/>
  <c r="E30" i="26" s="1"/>
  <c r="X66" i="19" a="1"/>
  <c r="X66" i="19" s="1"/>
  <c r="AA229" i="25"/>
  <c r="AE228" i="25"/>
  <c r="E26" i="26" s="1"/>
  <c r="E24" i="26"/>
  <c r="D5" i="26"/>
  <c r="E5" i="26" s="1"/>
  <c r="D6" i="26"/>
  <c r="E6" i="26" s="1"/>
  <c r="Y6" i="4"/>
  <c r="I5" i="4" s="1"/>
  <c r="G19" i="18"/>
  <c r="E12" i="26"/>
  <c r="S228" i="25"/>
  <c r="U65" i="19"/>
  <c r="T65" i="19"/>
  <c r="F15" i="18"/>
  <c r="F19" i="18" s="1"/>
  <c r="F9" i="18" s="1"/>
  <c r="H19" i="18"/>
  <c r="L9" i="5"/>
  <c r="L10" i="5"/>
  <c r="L11" i="5"/>
  <c r="L12" i="5"/>
  <c r="L13" i="5"/>
  <c r="L14" i="5"/>
  <c r="L15" i="5"/>
  <c r="L16" i="5"/>
  <c r="L17" i="5"/>
  <c r="L18" i="5"/>
  <c r="L19" i="5"/>
  <c r="L20" i="5"/>
  <c r="L22" i="5"/>
  <c r="L23" i="5"/>
  <c r="L24" i="5"/>
  <c r="L25" i="5"/>
  <c r="L26" i="5"/>
  <c r="L27" i="5"/>
  <c r="L28" i="5"/>
  <c r="L29" i="5"/>
  <c r="L30" i="5"/>
  <c r="L31" i="5"/>
  <c r="L32" i="5"/>
  <c r="L33" i="5"/>
  <c r="L34" i="5"/>
  <c r="L35" i="5"/>
  <c r="L36" i="5"/>
  <c r="L37" i="5"/>
  <c r="L38" i="5"/>
  <c r="L39" i="5"/>
  <c r="L40" i="5"/>
  <c r="L41" i="5"/>
  <c r="L42" i="5"/>
  <c r="L43" i="5"/>
  <c r="L44" i="5"/>
  <c r="L45" i="5"/>
  <c r="L46" i="5"/>
  <c r="L47" i="5"/>
  <c r="L48" i="5"/>
  <c r="L49" i="5"/>
  <c r="L50" i="5"/>
  <c r="L51" i="5"/>
  <c r="L52" i="5"/>
  <c r="L53" i="5"/>
  <c r="L54" i="5"/>
  <c r="L55" i="5"/>
  <c r="L56" i="5"/>
  <c r="L57" i="5"/>
  <c r="L58" i="5"/>
  <c r="L59" i="5"/>
  <c r="L60" i="5"/>
  <c r="L61" i="5"/>
  <c r="L62" i="5"/>
  <c r="L63" i="5"/>
  <c r="L64" i="5"/>
  <c r="L65" i="5"/>
  <c r="L66" i="5"/>
  <c r="L67" i="5"/>
  <c r="L68" i="5"/>
  <c r="L69" i="5"/>
  <c r="L70" i="5"/>
  <c r="L71" i="5"/>
  <c r="L72" i="5"/>
  <c r="L73" i="5"/>
  <c r="L74" i="5"/>
  <c r="L75" i="5"/>
  <c r="L76" i="5"/>
  <c r="L77" i="5"/>
  <c r="L78" i="5"/>
  <c r="L79" i="5"/>
  <c r="L80" i="5"/>
  <c r="L81" i="5"/>
  <c r="L82" i="5"/>
  <c r="L83" i="5"/>
  <c r="L84" i="5"/>
  <c r="L85" i="5"/>
  <c r="L86" i="5"/>
  <c r="L87" i="5"/>
  <c r="L88" i="5"/>
  <c r="L89" i="5"/>
  <c r="L90" i="5"/>
  <c r="L91" i="5"/>
  <c r="L92" i="5"/>
  <c r="L93" i="5"/>
  <c r="L94" i="5"/>
  <c r="L95" i="5"/>
  <c r="L96" i="5"/>
  <c r="L97" i="5"/>
  <c r="L103" i="5"/>
  <c r="L104" i="5"/>
  <c r="L105" i="5"/>
  <c r="L106" i="5"/>
  <c r="L107" i="5"/>
  <c r="L108" i="5"/>
  <c r="L109" i="5"/>
  <c r="L110" i="5"/>
  <c r="L111" i="5"/>
  <c r="L112" i="5"/>
  <c r="L113" i="5"/>
  <c r="L114" i="5"/>
  <c r="L115" i="5"/>
  <c r="L116" i="5"/>
  <c r="L117" i="5"/>
  <c r="S343" i="25" l="1"/>
  <c r="AF343" i="25" s="1"/>
  <c r="Z96" i="5" a="1"/>
  <c r="Z96" i="5" s="1"/>
  <c r="S311" i="25"/>
  <c r="AF311" i="25" s="1"/>
  <c r="Z64" i="5" a="1"/>
  <c r="Z64" i="5" s="1"/>
  <c r="S287" i="25"/>
  <c r="AF287" i="25" s="1"/>
  <c r="Z40" i="5" a="1"/>
  <c r="Z40" i="5" s="1"/>
  <c r="S262" i="25"/>
  <c r="AF262" i="25" s="1"/>
  <c r="Z15" i="5" a="1"/>
  <c r="Z15" i="5" s="1"/>
  <c r="S334" i="25"/>
  <c r="AF334" i="25" s="1"/>
  <c r="Z87" i="5" a="1"/>
  <c r="Z87" i="5" s="1"/>
  <c r="S302" i="25"/>
  <c r="AF302" i="25" s="1"/>
  <c r="Z55" i="5" a="1"/>
  <c r="Z55" i="5" s="1"/>
  <c r="S286" i="25"/>
  <c r="AF286" i="25" s="1"/>
  <c r="Z39" i="5" a="1"/>
  <c r="Z39" i="5" s="1"/>
  <c r="S354" i="25"/>
  <c r="AF354" i="25" s="1"/>
  <c r="Z107" i="5" a="1"/>
  <c r="Z107" i="5" s="1"/>
  <c r="S317" i="25"/>
  <c r="AF317" i="25" s="1"/>
  <c r="Z70" i="5" a="1"/>
  <c r="Z70" i="5" s="1"/>
  <c r="S351" i="25"/>
  <c r="AF351" i="25" s="1"/>
  <c r="Z104" i="5" a="1"/>
  <c r="Z104" i="5" s="1"/>
  <c r="S330" i="25"/>
  <c r="AF330" i="25" s="1"/>
  <c r="Z83" i="5" a="1"/>
  <c r="Z83" i="5" s="1"/>
  <c r="S314" i="25"/>
  <c r="AF314" i="25" s="1"/>
  <c r="Z67" i="5" a="1"/>
  <c r="Z67" i="5" s="1"/>
  <c r="S298" i="25"/>
  <c r="AF298" i="25" s="1"/>
  <c r="Z51" i="5" a="1"/>
  <c r="Z51" i="5" s="1"/>
  <c r="S282" i="25"/>
  <c r="AF282" i="25" s="1"/>
  <c r="Z35" i="5" a="1"/>
  <c r="Z35" i="5" s="1"/>
  <c r="S265" i="25"/>
  <c r="AF265" i="25" s="1"/>
  <c r="Z18" i="5" a="1"/>
  <c r="Z18" i="5" s="1"/>
  <c r="S358" i="25"/>
  <c r="AF358" i="25" s="1"/>
  <c r="Z111" i="5" a="1"/>
  <c r="Z111" i="5" s="1"/>
  <c r="S350" i="25"/>
  <c r="AF350" i="25" s="1"/>
  <c r="Z103" i="5" a="1"/>
  <c r="Z103" i="5" s="1"/>
  <c r="S337" i="25"/>
  <c r="AF337" i="25" s="1"/>
  <c r="Z90" i="5" a="1"/>
  <c r="Z90" i="5" s="1"/>
  <c r="S329" i="25"/>
  <c r="AF329" i="25" s="1"/>
  <c r="Z82" i="5" a="1"/>
  <c r="Z82" i="5" s="1"/>
  <c r="S321" i="25"/>
  <c r="AF321" i="25" s="1"/>
  <c r="Z74" i="5" a="1"/>
  <c r="Z74" i="5" s="1"/>
  <c r="S313" i="25"/>
  <c r="AF313" i="25" s="1"/>
  <c r="Z66" i="5" a="1"/>
  <c r="Z66" i="5" s="1"/>
  <c r="S305" i="25"/>
  <c r="AF305" i="25" s="1"/>
  <c r="Z58" i="5" a="1"/>
  <c r="Z58" i="5" s="1"/>
  <c r="S297" i="25"/>
  <c r="AF297" i="25" s="1"/>
  <c r="Z50" i="5" a="1"/>
  <c r="Z50" i="5" s="1"/>
  <c r="S289" i="25"/>
  <c r="AF289" i="25" s="1"/>
  <c r="Z42" i="5" a="1"/>
  <c r="Z42" i="5" s="1"/>
  <c r="S281" i="25"/>
  <c r="AF281" i="25" s="1"/>
  <c r="Z34" i="5" a="1"/>
  <c r="Z34" i="5" s="1"/>
  <c r="S273" i="25"/>
  <c r="AF273" i="25" s="1"/>
  <c r="Z26" i="5" a="1"/>
  <c r="Z26" i="5" s="1"/>
  <c r="S264" i="25"/>
  <c r="AF264" i="25" s="1"/>
  <c r="Z17" i="5" a="1"/>
  <c r="Z17" i="5" s="1"/>
  <c r="S256" i="25"/>
  <c r="AF256" i="25" s="1"/>
  <c r="Z9" i="5" a="1"/>
  <c r="Z9" i="5" s="1"/>
  <c r="S335" i="25"/>
  <c r="AF335" i="25" s="1"/>
  <c r="Z88" i="5" a="1"/>
  <c r="Z88" i="5" s="1"/>
  <c r="S327" i="25"/>
  <c r="AF327" i="25" s="1"/>
  <c r="Z80" i="5" a="1"/>
  <c r="Z80" i="5" s="1"/>
  <c r="S303" i="25"/>
  <c r="AF303" i="25" s="1"/>
  <c r="Z56" i="5" a="1"/>
  <c r="Z56" i="5" s="1"/>
  <c r="S279" i="25"/>
  <c r="AF279" i="25" s="1"/>
  <c r="Z32" i="5" a="1"/>
  <c r="Z32" i="5" s="1"/>
  <c r="S363" i="25"/>
  <c r="AF363" i="25" s="1"/>
  <c r="Z116" i="5" a="1"/>
  <c r="Z116" i="5" s="1"/>
  <c r="S318" i="25"/>
  <c r="AF318" i="25" s="1"/>
  <c r="Z71" i="5" a="1"/>
  <c r="Z71" i="5" s="1"/>
  <c r="S294" i="25"/>
  <c r="AF294" i="25" s="1"/>
  <c r="Z47" i="5" a="1"/>
  <c r="Z47" i="5" s="1"/>
  <c r="S270" i="25"/>
  <c r="AF270" i="25" s="1"/>
  <c r="Z23" i="5" a="1"/>
  <c r="Z23" i="5" s="1"/>
  <c r="S325" i="25"/>
  <c r="AF325" i="25" s="1"/>
  <c r="Z78" i="5" a="1"/>
  <c r="Z78" i="5" s="1"/>
  <c r="S359" i="25"/>
  <c r="AF359" i="25" s="1"/>
  <c r="Z112" i="5" a="1"/>
  <c r="Z112" i="5" s="1"/>
  <c r="S338" i="25"/>
  <c r="AF338" i="25" s="1"/>
  <c r="Z91" i="5" a="1"/>
  <c r="Z91" i="5" s="1"/>
  <c r="S322" i="25"/>
  <c r="AF322" i="25" s="1"/>
  <c r="Z75" i="5" a="1"/>
  <c r="Z75" i="5" s="1"/>
  <c r="S306" i="25"/>
  <c r="AF306" i="25" s="1"/>
  <c r="Z59" i="5" a="1"/>
  <c r="Z59" i="5" s="1"/>
  <c r="S290" i="25"/>
  <c r="AF290" i="25" s="1"/>
  <c r="Z43" i="5" a="1"/>
  <c r="Z43" i="5" s="1"/>
  <c r="S274" i="25"/>
  <c r="AF274" i="25" s="1"/>
  <c r="Z27" i="5" a="1"/>
  <c r="Z27" i="5" s="1"/>
  <c r="S257" i="25"/>
  <c r="AF257" i="25" s="1"/>
  <c r="Z10" i="5" a="1"/>
  <c r="Z10" i="5" s="1"/>
  <c r="S357" i="25"/>
  <c r="AF357" i="25" s="1"/>
  <c r="Z110" i="5" a="1"/>
  <c r="Z110" i="5" s="1"/>
  <c r="S344" i="25"/>
  <c r="AF344" i="25" s="1"/>
  <c r="Z97" i="5" a="1"/>
  <c r="Z97" i="5" s="1"/>
  <c r="S336" i="25"/>
  <c r="AF336" i="25" s="1"/>
  <c r="Z89" i="5" a="1"/>
  <c r="Z89" i="5" s="1"/>
  <c r="S328" i="25"/>
  <c r="AF328" i="25" s="1"/>
  <c r="Z81" i="5" a="1"/>
  <c r="Z81" i="5" s="1"/>
  <c r="S320" i="25"/>
  <c r="AF320" i="25" s="1"/>
  <c r="Z73" i="5" a="1"/>
  <c r="Z73" i="5" s="1"/>
  <c r="S312" i="25"/>
  <c r="AF312" i="25" s="1"/>
  <c r="Z65" i="5" a="1"/>
  <c r="Z65" i="5" s="1"/>
  <c r="S304" i="25"/>
  <c r="AF304" i="25" s="1"/>
  <c r="Z57" i="5" a="1"/>
  <c r="Z57" i="5" s="1"/>
  <c r="S296" i="25"/>
  <c r="AF296" i="25" s="1"/>
  <c r="Z49" i="5" a="1"/>
  <c r="Z49" i="5" s="1"/>
  <c r="S288" i="25"/>
  <c r="AF288" i="25" s="1"/>
  <c r="Z41" i="5" a="1"/>
  <c r="Z41" i="5" s="1"/>
  <c r="S280" i="25"/>
  <c r="AF280" i="25" s="1"/>
  <c r="Z33" i="5" a="1"/>
  <c r="Z33" i="5" s="1"/>
  <c r="S263" i="25"/>
  <c r="AF263" i="25" s="1"/>
  <c r="Z16" i="5" a="1"/>
  <c r="Z16" i="5" s="1"/>
  <c r="S356" i="25"/>
  <c r="AF356" i="25" s="1"/>
  <c r="Z109" i="5" a="1"/>
  <c r="Z109" i="5" s="1"/>
  <c r="S319" i="25"/>
  <c r="AF319" i="25" s="1"/>
  <c r="Z72" i="5" a="1"/>
  <c r="Z72" i="5" s="1"/>
  <c r="S295" i="25"/>
  <c r="AF295" i="25" s="1"/>
  <c r="Z48" i="5" a="1"/>
  <c r="Z48" i="5" s="1"/>
  <c r="S271" i="25"/>
  <c r="AF271" i="25" s="1"/>
  <c r="Z24" i="5" a="1"/>
  <c r="Z24" i="5" s="1"/>
  <c r="S355" i="25"/>
  <c r="AF355" i="25" s="1"/>
  <c r="Z108" i="5" a="1"/>
  <c r="Z108" i="5" s="1"/>
  <c r="S326" i="25"/>
  <c r="AF326" i="25" s="1"/>
  <c r="Z79" i="5" a="1"/>
  <c r="Z79" i="5" s="1"/>
  <c r="S261" i="25"/>
  <c r="AF261" i="25" s="1"/>
  <c r="Z14" i="5" a="1"/>
  <c r="Z14" i="5" s="1"/>
  <c r="S341" i="25"/>
  <c r="AF341" i="25" s="1"/>
  <c r="Z94" i="5" a="1"/>
  <c r="Z94" i="5" s="1"/>
  <c r="S309" i="25"/>
  <c r="AF309" i="25" s="1"/>
  <c r="Z62" i="5" a="1"/>
  <c r="Z62" i="5" s="1"/>
  <c r="S293" i="25"/>
  <c r="AF293" i="25" s="1"/>
  <c r="Z46" i="5" a="1"/>
  <c r="Z46" i="5" s="1"/>
  <c r="S269" i="25"/>
  <c r="AF269" i="25" s="1"/>
  <c r="Z22" i="5" a="1"/>
  <c r="Z22" i="5" s="1"/>
  <c r="S361" i="25"/>
  <c r="AF361" i="25" s="1"/>
  <c r="Z114" i="5" a="1"/>
  <c r="Z114" i="5" s="1"/>
  <c r="S340" i="25"/>
  <c r="AF340" i="25" s="1"/>
  <c r="Z93" i="5" a="1"/>
  <c r="Z93" i="5" s="1"/>
  <c r="S324" i="25"/>
  <c r="AF324" i="25" s="1"/>
  <c r="Z77" i="5" a="1"/>
  <c r="Z77" i="5" s="1"/>
  <c r="S316" i="25"/>
  <c r="AF316" i="25" s="1"/>
  <c r="Z69" i="5" a="1"/>
  <c r="Z69" i="5" s="1"/>
  <c r="S308" i="25"/>
  <c r="AF308" i="25" s="1"/>
  <c r="Z61" i="5" a="1"/>
  <c r="Z61" i="5" s="1"/>
  <c r="S300" i="25"/>
  <c r="AF300" i="25" s="1"/>
  <c r="Z53" i="5" a="1"/>
  <c r="Z53" i="5" s="1"/>
  <c r="S292" i="25"/>
  <c r="AF292" i="25" s="1"/>
  <c r="Z45" i="5" a="1"/>
  <c r="Z45" i="5" s="1"/>
  <c r="S284" i="25"/>
  <c r="AF284" i="25" s="1"/>
  <c r="Z37" i="5" a="1"/>
  <c r="Z37" i="5" s="1"/>
  <c r="S276" i="25"/>
  <c r="AF276" i="25" s="1"/>
  <c r="Z29" i="5" a="1"/>
  <c r="Z29" i="5" s="1"/>
  <c r="S267" i="25"/>
  <c r="AF267" i="25" s="1"/>
  <c r="Z20" i="5" a="1"/>
  <c r="Z20" i="5" s="1"/>
  <c r="S259" i="25"/>
  <c r="AF259" i="25" s="1"/>
  <c r="Z12" i="5" a="1"/>
  <c r="Z12" i="5" s="1"/>
  <c r="S364" i="25"/>
  <c r="AF364" i="25" s="1"/>
  <c r="Z117" i="5" a="1"/>
  <c r="Z117" i="5" s="1"/>
  <c r="S342" i="25"/>
  <c r="AF342" i="25" s="1"/>
  <c r="Z95" i="5" a="1"/>
  <c r="Z95" i="5" s="1"/>
  <c r="S278" i="25"/>
  <c r="AF278" i="25" s="1"/>
  <c r="Z31" i="5" a="1"/>
  <c r="Z31" i="5" s="1"/>
  <c r="S362" i="25"/>
  <c r="AF362" i="25" s="1"/>
  <c r="Z115" i="5" a="1"/>
  <c r="Z115" i="5" s="1"/>
  <c r="S333" i="25"/>
  <c r="AF333" i="25" s="1"/>
  <c r="Z86" i="5" a="1"/>
  <c r="Z86" i="5" s="1"/>
  <c r="S301" i="25"/>
  <c r="AF301" i="25" s="1"/>
  <c r="Z54" i="5" a="1"/>
  <c r="Z54" i="5" s="1"/>
  <c r="S285" i="25"/>
  <c r="AF285" i="25" s="1"/>
  <c r="Z38" i="5" a="1"/>
  <c r="Z38" i="5" s="1"/>
  <c r="S277" i="25"/>
  <c r="AF277" i="25" s="1"/>
  <c r="Z30" i="5" a="1"/>
  <c r="Z30" i="5" s="1"/>
  <c r="S260" i="25"/>
  <c r="AF260" i="25" s="1"/>
  <c r="Z13" i="5" a="1"/>
  <c r="Z13" i="5" s="1"/>
  <c r="S332" i="25"/>
  <c r="AF332" i="25" s="1"/>
  <c r="Z85" i="5" a="1"/>
  <c r="Z85" i="5" s="1"/>
  <c r="S360" i="25"/>
  <c r="AF360" i="25" s="1"/>
  <c r="Z113" i="5" a="1"/>
  <c r="Z113" i="5" s="1"/>
  <c r="S352" i="25"/>
  <c r="AF352" i="25" s="1"/>
  <c r="Z105" i="5" a="1"/>
  <c r="Z105" i="5" s="1"/>
  <c r="S339" i="25"/>
  <c r="AF339" i="25" s="1"/>
  <c r="Z92" i="5" a="1"/>
  <c r="Z92" i="5" s="1"/>
  <c r="S331" i="25"/>
  <c r="AF331" i="25" s="1"/>
  <c r="Z84" i="5" a="1"/>
  <c r="Z84" i="5" s="1"/>
  <c r="S323" i="25"/>
  <c r="AF323" i="25" s="1"/>
  <c r="Z76" i="5" a="1"/>
  <c r="Z76" i="5" s="1"/>
  <c r="S315" i="25"/>
  <c r="AF315" i="25" s="1"/>
  <c r="Z68" i="5" a="1"/>
  <c r="Z68" i="5" s="1"/>
  <c r="S307" i="25"/>
  <c r="AF307" i="25" s="1"/>
  <c r="Z60" i="5" a="1"/>
  <c r="Z60" i="5" s="1"/>
  <c r="S299" i="25"/>
  <c r="AF299" i="25" s="1"/>
  <c r="Z52" i="5" a="1"/>
  <c r="Z52" i="5" s="1"/>
  <c r="S291" i="25"/>
  <c r="AF291" i="25" s="1"/>
  <c r="Z44" i="5" a="1"/>
  <c r="Z44" i="5" s="1"/>
  <c r="S283" i="25"/>
  <c r="AF283" i="25" s="1"/>
  <c r="Z36" i="5" a="1"/>
  <c r="Z36" i="5" s="1"/>
  <c r="S275" i="25"/>
  <c r="AF275" i="25" s="1"/>
  <c r="Z28" i="5" a="1"/>
  <c r="Z28" i="5" s="1"/>
  <c r="S266" i="25"/>
  <c r="AF266" i="25" s="1"/>
  <c r="Z19" i="5" a="1"/>
  <c r="Z19" i="5" s="1"/>
  <c r="X65" i="19" a="1"/>
  <c r="X65" i="19" s="1"/>
  <c r="X64" i="19" s="1"/>
  <c r="X37" i="19" s="1"/>
  <c r="H36" i="19" s="1"/>
  <c r="D10" i="26" s="1"/>
  <c r="E10" i="26" s="1"/>
  <c r="S353" i="25"/>
  <c r="AF353" i="25" s="1"/>
  <c r="Z106" i="5" a="1"/>
  <c r="Z106" i="5" s="1"/>
  <c r="S310" i="25"/>
  <c r="AF310" i="25" s="1"/>
  <c r="Z63" i="5" a="1"/>
  <c r="Z63" i="5" s="1"/>
  <c r="S272" i="25"/>
  <c r="AF272" i="25" s="1"/>
  <c r="Z25" i="5" a="1"/>
  <c r="Z25" i="5" s="1"/>
  <c r="S258" i="25"/>
  <c r="AF258" i="25" s="1"/>
  <c r="Z11" i="5" a="1"/>
  <c r="Z11" i="5" s="1"/>
  <c r="D4" i="26"/>
  <c r="E4" i="26" s="1"/>
  <c r="AF228" i="25"/>
  <c r="G27" i="18"/>
  <c r="G28" i="18" s="1"/>
  <c r="G9" i="18" s="1"/>
  <c r="AA228" i="25"/>
  <c r="H27" i="18"/>
  <c r="H28" i="18" s="1"/>
  <c r="H9" i="18" s="1"/>
  <c r="AB228" i="25"/>
  <c r="I19" i="18"/>
  <c r="I9" i="18" s="1"/>
  <c r="E27" i="26" l="1"/>
  <c r="Z7" i="5"/>
  <c r="L6" i="5" s="1"/>
  <c r="D14" i="26" s="1"/>
  <c r="E14" i="26" s="1"/>
  <c r="E25" i="26"/>
  <c r="E31" i="2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<sst xmlns="http://schemas.openxmlformats.org/spreadsheetml/2006/main" count="10745" uniqueCount="1238">
  <si>
    <t>Introduction and Organisation Data</t>
  </si>
  <si>
    <t>Organisational information</t>
  </si>
  <si>
    <t>Organisation type</t>
  </si>
  <si>
    <t>Local Authority</t>
  </si>
  <si>
    <t>Cell colour codes</t>
  </si>
  <si>
    <t>Organisation name</t>
  </si>
  <si>
    <t>Isle of Anglesey County Council</t>
  </si>
  <si>
    <t>Financial year period for reporting</t>
  </si>
  <si>
    <t>Information cell or question</t>
  </si>
  <si>
    <t>Date of report submission</t>
  </si>
  <si>
    <t>Information entry. Some cells have drop down lists</t>
  </si>
  <si>
    <t>Person responsible for this report</t>
  </si>
  <si>
    <t>Activity data. Numeric data entry</t>
  </si>
  <si>
    <t>Calculated data</t>
  </si>
  <si>
    <t>Number of Full Time Equivalent employees</t>
  </si>
  <si>
    <t>Summary data</t>
  </si>
  <si>
    <t xml:space="preserve">Region of Wales </t>
  </si>
  <si>
    <t>North Wales</t>
  </si>
  <si>
    <t>Not used</t>
  </si>
  <si>
    <t>Boundary information</t>
  </si>
  <si>
    <t>Buildings in scope</t>
  </si>
  <si>
    <t>Do you own buildings that you occupy?</t>
  </si>
  <si>
    <t>Do you lease buildings that you occupy?</t>
  </si>
  <si>
    <t>Do you lease out buildings that you own to organisations to deliver public services on your behalf?</t>
  </si>
  <si>
    <t>Do you lease out buildings that you own to other public bodies?</t>
  </si>
  <si>
    <t>Do you lease out buildings that you own to private organisations for their own purposes?</t>
  </si>
  <si>
    <t>Streetlighting in scope</t>
  </si>
  <si>
    <t>Do you own and operate streetlighting or signage</t>
  </si>
  <si>
    <t>Fleet and equipment in scope</t>
  </si>
  <si>
    <t>Do you own or lease fleet and equipment?</t>
  </si>
  <si>
    <t>Agriculture in scope</t>
  </si>
  <si>
    <t>Do you have farms with livestock (not leased out)?</t>
  </si>
  <si>
    <t>Business travel in scope</t>
  </si>
  <si>
    <t>Do staff travel for work using their own cars or other transport modes (not fleet vehicles)</t>
  </si>
  <si>
    <t>Commuting in scope</t>
  </si>
  <si>
    <t>Do staff commute to offices or other sites?</t>
  </si>
  <si>
    <t>Homeworking in scope</t>
  </si>
  <si>
    <t>Do any staff work from home?</t>
  </si>
  <si>
    <t>Supply chain in scope</t>
  </si>
  <si>
    <t>Do you purchase goods and services?</t>
  </si>
  <si>
    <t>Land use in scope</t>
  </si>
  <si>
    <t>Do you own and manage land for providing public services, with a total of more than 10 hectares?</t>
  </si>
  <si>
    <t>Waste in scope</t>
  </si>
  <si>
    <t>Does your organisation produce waste from operations that is collected from your premises by a third party organisation?</t>
  </si>
  <si>
    <t>Does your organisation produce waste from operations and also operate the collection service of this waste?</t>
  </si>
  <si>
    <t>Do you run waste collection services that collect and dispose of municipal waste?</t>
  </si>
  <si>
    <t>Do you contract out a waste collection service that collect and dispose of municipal waste?</t>
  </si>
  <si>
    <t>Reporting comments</t>
  </si>
  <si>
    <t>Peer review (optional)</t>
  </si>
  <si>
    <t>Peer review</t>
  </si>
  <si>
    <t>Peer organisation that has reviewed the data and calculations</t>
  </si>
  <si>
    <t>Date of last review</t>
  </si>
  <si>
    <t>Name of reviewer</t>
  </si>
  <si>
    <t>Brief comments of the review outcomes</t>
  </si>
  <si>
    <t>Summary of results</t>
  </si>
  <si>
    <t>You do not need to input any information into this sheet.</t>
  </si>
  <si>
    <t>Buildings, fleet &amp; other assets</t>
  </si>
  <si>
    <r>
      <t>Units of kgCO</t>
    </r>
    <r>
      <rPr>
        <b/>
        <vertAlign val="subscript"/>
        <sz val="10"/>
        <color rgb="FFFFFFFF"/>
        <rFont val="Calibri"/>
        <family val="2"/>
        <scheme val="minor"/>
      </rPr>
      <t>2</t>
    </r>
    <r>
      <rPr>
        <b/>
        <sz val="10"/>
        <color rgb="FFFFFFFF"/>
        <rFont val="Calibri"/>
        <family val="2"/>
        <scheme val="minor"/>
      </rPr>
      <t>e</t>
    </r>
  </si>
  <si>
    <t>Categories</t>
  </si>
  <si>
    <t>Direct</t>
  </si>
  <si>
    <t>Indirect</t>
  </si>
  <si>
    <t>Total</t>
  </si>
  <si>
    <t>Estimated range</t>
  </si>
  <si>
    <t>Outside of scopes</t>
  </si>
  <si>
    <t>Scope 1</t>
  </si>
  <si>
    <t>Scope 2</t>
  </si>
  <si>
    <t>Scope 3</t>
  </si>
  <si>
    <t>High</t>
  </si>
  <si>
    <t>Low</t>
  </si>
  <si>
    <t>Fleet and equipment</t>
  </si>
  <si>
    <t>Business travel</t>
  </si>
  <si>
    <t>Commuting</t>
  </si>
  <si>
    <t>Homeworking</t>
  </si>
  <si>
    <t>Waste</t>
  </si>
  <si>
    <t>Organisational waste</t>
  </si>
  <si>
    <t>Municipal waste</t>
  </si>
  <si>
    <t>Project waste</t>
  </si>
  <si>
    <t>Land based emissions</t>
  </si>
  <si>
    <t>Renewables</t>
  </si>
  <si>
    <t>Units of kWh</t>
  </si>
  <si>
    <t>Total generated</t>
  </si>
  <si>
    <t>Total exported</t>
  </si>
  <si>
    <t>Onsite renewables - heat</t>
  </si>
  <si>
    <t>Onsite renewables - electricity</t>
  </si>
  <si>
    <t>Onsite renewables - CHP</t>
  </si>
  <si>
    <t>Purchased renewables - heat</t>
  </si>
  <si>
    <t>Purchased renewables - electricity</t>
  </si>
  <si>
    <t>Agriculture, forestry and fishing</t>
  </si>
  <si>
    <t>Total emissions</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</si>
  <si>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</si>
  <si>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</si>
  <si>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</si>
  <si>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</si>
  <si>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</si>
  <si>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</si>
  <si>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</si>
  <si>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</si>
  <si>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</si>
  <si>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Financial and insurance activities</t>
  </si>
  <si>
    <t>Real estate activities</t>
  </si>
  <si>
    <t>Professional, scientific and technical activities</t>
  </si>
  <si>
    <t>Administrative and support service activities</t>
  </si>
  <si>
    <t>Public administration and defence; compulsory social security</t>
  </si>
  <si>
    <t>Education</t>
  </si>
  <si>
    <t>Human health and social work activities</t>
  </si>
  <si>
    <t>Arts, entertainment and recreation</t>
  </si>
  <si>
    <t>Other service activities</t>
  </si>
  <si>
    <t>Activities of households as employers; undifferentiated goods- and services-producing activities of households for own use</t>
  </si>
  <si>
    <t>Cell colour codes:</t>
  </si>
  <si>
    <t>Building, fleet and other assets</t>
  </si>
  <si>
    <t>Buildings</t>
  </si>
  <si>
    <t>Emission data breakdown (kg CO2e)</t>
  </si>
  <si>
    <t>Ownership structure</t>
  </si>
  <si>
    <t>Fuel/emission source</t>
  </si>
  <si>
    <t>Category 1</t>
  </si>
  <si>
    <t>Methodology</t>
  </si>
  <si>
    <t>RSD</t>
  </si>
  <si>
    <t>Data</t>
  </si>
  <si>
    <t>Units</t>
  </si>
  <si>
    <t>Converted data</t>
  </si>
  <si>
    <t>Standard units</t>
  </si>
  <si>
    <t>Total EF (kgCO2e/unit)</t>
  </si>
  <si>
    <t>Notes</t>
  </si>
  <si>
    <t>Ease of collection</t>
  </si>
  <si>
    <t>Indirect generation</t>
  </si>
  <si>
    <t>Indirect service</t>
  </si>
  <si>
    <t>Indirect T&amp;D</t>
  </si>
  <si>
    <t>Indirect WTT</t>
  </si>
  <si>
    <t>Buildings we own and occupy</t>
  </si>
  <si>
    <t>Natural gas</t>
  </si>
  <si>
    <t>All natural gas</t>
  </si>
  <si>
    <t>Tier 3</t>
  </si>
  <si>
    <t>kWh</t>
  </si>
  <si>
    <t>Data complete but requires effort to collect and process</t>
  </si>
  <si>
    <t>Tier 1</t>
  </si>
  <si>
    <t>LPG</t>
  </si>
  <si>
    <t>All LPG</t>
  </si>
  <si>
    <t>Gas oil</t>
  </si>
  <si>
    <t>All gas oil</t>
  </si>
  <si>
    <t>Grid electricity</t>
  </si>
  <si>
    <t>Consumption based</t>
  </si>
  <si>
    <t>Kerosene</t>
  </si>
  <si>
    <t>All kerosene</t>
  </si>
  <si>
    <t>Streetlighting</t>
  </si>
  <si>
    <t>Type of lighting</t>
  </si>
  <si>
    <t>Data complete and easy to collect and process</t>
  </si>
  <si>
    <t>Fleet and equipment - fuel</t>
  </si>
  <si>
    <t>Type</t>
  </si>
  <si>
    <t>Fuel</t>
  </si>
  <si>
    <t>Equipment</t>
  </si>
  <si>
    <t>Fleet - distance</t>
  </si>
  <si>
    <t>Size</t>
  </si>
  <si>
    <t>Agriculture</t>
  </si>
  <si>
    <t>Agriculture emission source</t>
  </si>
  <si>
    <t>Category  1</t>
  </si>
  <si>
    <t>Business travel, commuting and homeworking</t>
  </si>
  <si>
    <t xml:space="preserve">
</t>
  </si>
  <si>
    <t>Emission source</t>
  </si>
  <si>
    <t>Category 2</t>
  </si>
  <si>
    <t>Methodology used</t>
  </si>
  <si>
    <t>Motorbike</t>
  </si>
  <si>
    <t>Average</t>
  </si>
  <si>
    <t>Petrol</t>
  </si>
  <si>
    <t>Tier 2</t>
  </si>
  <si>
    <t>Number of FTE</t>
  </si>
  <si>
    <t>% working hours at home</t>
  </si>
  <si>
    <t>Organisational, municipal and project waste</t>
  </si>
  <si>
    <t>Waste type</t>
  </si>
  <si>
    <t>Disposal</t>
  </si>
  <si>
    <t>Does your organisation collect this waste and include the vehicle fuel in the fleet section?</t>
  </si>
  <si>
    <t>Household residual waste</t>
  </si>
  <si>
    <t>Landfill</t>
  </si>
  <si>
    <t>tonnes</t>
  </si>
  <si>
    <t>Mixed WEEE</t>
  </si>
  <si>
    <t>Recycling</t>
  </si>
  <si>
    <t>Land-based scoping questions</t>
  </si>
  <si>
    <t>Land area</t>
  </si>
  <si>
    <t>Land area in hectares (ha)</t>
  </si>
  <si>
    <t>Land owned and managed by your organisation</t>
  </si>
  <si>
    <t>Land owned by your organisation and leased to a private organisation or individual but still used for delivering public services</t>
  </si>
  <si>
    <t>Land owned by your organisation and leased to another public sector body, where your organisation is responsible for management of the asset</t>
  </si>
  <si>
    <t>Land leased by your organisation from a private organisation or individual and used for delivering public services,</t>
  </si>
  <si>
    <t>Land leased from another public sector body, where your organisation is responsible for management of the asset</t>
  </si>
  <si>
    <t>Scoping result</t>
  </si>
  <si>
    <t>Tier 1 methodology for land-based emissions</t>
  </si>
  <si>
    <t>Current land use type</t>
  </si>
  <si>
    <t>Soil type</t>
  </si>
  <si>
    <t>Previous land use type (select the same type as current if &gt;20 years under same use)</t>
  </si>
  <si>
    <r>
      <t>Emission factor (tCO</t>
    </r>
    <r>
      <rPr>
        <b/>
        <vertAlign val="subscript"/>
        <sz val="10"/>
        <color theme="0"/>
        <rFont val="Calibri"/>
        <family val="2"/>
        <scheme val="minor"/>
      </rPr>
      <t>2</t>
    </r>
    <r>
      <rPr>
        <b/>
        <sz val="10"/>
        <color theme="0"/>
        <rFont val="Calibri"/>
        <family val="2"/>
        <scheme val="minor"/>
      </rPr>
      <t>/ha/year)</t>
    </r>
  </si>
  <si>
    <r>
      <t>Total  kg CO</t>
    </r>
    <r>
      <rPr>
        <b/>
        <vertAlign val="subscript"/>
        <sz val="10"/>
        <color theme="0"/>
        <rFont val="Calibri"/>
        <family val="2"/>
        <scheme val="minor"/>
      </rPr>
      <t>2</t>
    </r>
    <r>
      <rPr>
        <b/>
        <sz val="10"/>
        <color theme="0"/>
        <rFont val="Calibri"/>
        <family val="2"/>
        <scheme val="minor"/>
      </rPr>
      <t>e</t>
    </r>
  </si>
  <si>
    <t>RSD estimate (+/-%)</t>
  </si>
  <si>
    <t>Source of data (e.g. estates team digital maps or estimates)</t>
  </si>
  <si>
    <t>Tier 2 methodology for land-based emissions</t>
  </si>
  <si>
    <t>Land use type</t>
  </si>
  <si>
    <r>
      <t>Emission kg CO</t>
    </r>
    <r>
      <rPr>
        <b/>
        <vertAlign val="subscript"/>
        <sz val="10"/>
        <color theme="0"/>
        <rFont val="Calibri"/>
        <family val="2"/>
        <scheme val="minor"/>
      </rPr>
      <t>2</t>
    </r>
    <r>
      <rPr>
        <b/>
        <sz val="10"/>
        <color theme="0"/>
        <rFont val="Calibri"/>
        <family val="2"/>
        <scheme val="minor"/>
      </rPr>
      <t>e</t>
    </r>
  </si>
  <si>
    <t>Methodology used (IPCC equivalent Tier)</t>
  </si>
  <si>
    <t xml:space="preserve">Notes on data sources </t>
  </si>
  <si>
    <t>Indirect emissions from the supply chain</t>
  </si>
  <si>
    <t>Supply chain - tier 1 methodology</t>
  </si>
  <si>
    <t>Supply chain group</t>
  </si>
  <si>
    <t>SIC code (SIC 2007)</t>
  </si>
  <si>
    <t>Product category</t>
  </si>
  <si>
    <t>Amount spent by product category (£)</t>
  </si>
  <si>
    <t>Notes on data source and exclusions</t>
  </si>
  <si>
    <t>01</t>
  </si>
  <si>
    <t>02</t>
  </si>
  <si>
    <t>03</t>
  </si>
  <si>
    <t>05</t>
  </si>
  <si>
    <t>08</t>
  </si>
  <si>
    <t xml:space="preserve">Other mining and quarrying products           </t>
  </si>
  <si>
    <t>09</t>
  </si>
  <si>
    <t xml:space="preserve">Mining support services             </t>
  </si>
  <si>
    <t>10.1</t>
  </si>
  <si>
    <t xml:space="preserve">Preserved meat and meat products           </t>
  </si>
  <si>
    <t xml:space="preserve">Processed and preserved fish, crustaceans, molluscs, fruit and vegetables       </t>
  </si>
  <si>
    <t>10.4</t>
  </si>
  <si>
    <t xml:space="preserve">Vegetable and animal oils and fats          </t>
  </si>
  <si>
    <t>10.5</t>
  </si>
  <si>
    <t xml:space="preserve">Dairy products              </t>
  </si>
  <si>
    <t>10.6</t>
  </si>
  <si>
    <t xml:space="preserve">Grain mill products, starches and starch products         </t>
  </si>
  <si>
    <t>10.7</t>
  </si>
  <si>
    <t xml:space="preserve">Bakery and farinaceous products            </t>
  </si>
  <si>
    <t>10.8</t>
  </si>
  <si>
    <t xml:space="preserve">Other food products             </t>
  </si>
  <si>
    <t xml:space="preserve">Prepared animal feeds             </t>
  </si>
  <si>
    <t>11.01-6</t>
  </si>
  <si>
    <t xml:space="preserve">Alcoholic beverages              </t>
  </si>
  <si>
    <t xml:space="preserve">Soft drinks              </t>
  </si>
  <si>
    <t xml:space="preserve">Tobacco products              </t>
  </si>
  <si>
    <t xml:space="preserve">Wearing apparel              </t>
  </si>
  <si>
    <t xml:space="preserve">Paper and paper products            </t>
  </si>
  <si>
    <t xml:space="preserve">Printing and recording services            </t>
  </si>
  <si>
    <t xml:space="preserve">Coke and refined petroleum products           </t>
  </si>
  <si>
    <t>20A</t>
  </si>
  <si>
    <t>20B</t>
  </si>
  <si>
    <t>20C</t>
  </si>
  <si>
    <t xml:space="preserve">Paints, varnishes and similar coatings, printing ink and mastics       </t>
  </si>
  <si>
    <t xml:space="preserve">Soap and detergents, cleaning and polishing preparations, perfumes and toilet preparations     </t>
  </si>
  <si>
    <t xml:space="preserve">Basic pharmaceutical products and pharmaceutical preparations          </t>
  </si>
  <si>
    <t xml:space="preserve">Rubber and plastic products            </t>
  </si>
  <si>
    <t>23OTHER</t>
  </si>
  <si>
    <t>23.5-6</t>
  </si>
  <si>
    <t>24.1-3</t>
  </si>
  <si>
    <t xml:space="preserve">Basic iron and steel            </t>
  </si>
  <si>
    <t>24.4-5</t>
  </si>
  <si>
    <t xml:space="preserve">Other basic metals and casting           </t>
  </si>
  <si>
    <t>25OTHER</t>
  </si>
  <si>
    <t xml:space="preserve">Weapons and ammunition             </t>
  </si>
  <si>
    <t xml:space="preserve">Computer, electronic and optical products           </t>
  </si>
  <si>
    <t xml:space="preserve">Electrical equipment              </t>
  </si>
  <si>
    <t xml:space="preserve">Machinery and equipment n.e.c.            </t>
  </si>
  <si>
    <t xml:space="preserve">Motor vehicles, trailers and semi-trailers           </t>
  </si>
  <si>
    <t xml:space="preserve">Ships and boats             </t>
  </si>
  <si>
    <t xml:space="preserve">Air and spacecraft and related machinery          </t>
  </si>
  <si>
    <t>30OTHER</t>
  </si>
  <si>
    <t xml:space="preserve">Other transport equipment - 30.2/4/9           </t>
  </si>
  <si>
    <t xml:space="preserve">Furniture               </t>
  </si>
  <si>
    <t xml:space="preserve">Other manufactured goods             </t>
  </si>
  <si>
    <t xml:space="preserve">Repair and maintenance of ships and boats         </t>
  </si>
  <si>
    <t xml:space="preserve">Repair and maintenance of aircraft and spacecraft         </t>
  </si>
  <si>
    <t>33OTHER</t>
  </si>
  <si>
    <t xml:space="preserve">Rest of repair; Installation - 33.11-14/17/19/20          </t>
  </si>
  <si>
    <t>Electricity, transmission and distribution</t>
  </si>
  <si>
    <t>35.2-3</t>
  </si>
  <si>
    <t xml:space="preserve">Natural water; water treatment and supply services         </t>
  </si>
  <si>
    <t xml:space="preserve">Sewerage services; sewage sludge            </t>
  </si>
  <si>
    <t xml:space="preserve">Waste collection, treatment and disposal services; materials recovery services       </t>
  </si>
  <si>
    <t xml:space="preserve">Remediation services and other waste management services         </t>
  </si>
  <si>
    <t xml:space="preserve">Wholesale and retail trade and repair services of motor vehicles and motorcycles    </t>
  </si>
  <si>
    <t xml:space="preserve">Wholesale trade services, except of motor vehicles and motorcycles       </t>
  </si>
  <si>
    <t xml:space="preserve">Retail trade services, except of motor vehicles and motorcycles       </t>
  </si>
  <si>
    <t>49.1-2</t>
  </si>
  <si>
    <t>49.3-5</t>
  </si>
  <si>
    <t xml:space="preserve">Warehousing and support services for transportation          </t>
  </si>
  <si>
    <t xml:space="preserve">Postal and courier services            </t>
  </si>
  <si>
    <t xml:space="preserve">Accommodation services              </t>
  </si>
  <si>
    <t xml:space="preserve">Food and beverage serving services           </t>
  </si>
  <si>
    <t xml:space="preserve">Publishing services              </t>
  </si>
  <si>
    <t xml:space="preserve">Telecommunications services              </t>
  </si>
  <si>
    <t xml:space="preserve">Computer programming, consultancy and related services          </t>
  </si>
  <si>
    <t xml:space="preserve">Information services              </t>
  </si>
  <si>
    <t xml:space="preserve">Financial services, except insurance and pension funding         </t>
  </si>
  <si>
    <t xml:space="preserve">Services auxiliary to financial services and insurance services        </t>
  </si>
  <si>
    <t xml:space="preserve">Real estate services, excluding on a fee or contract basis and imputed rent   </t>
  </si>
  <si>
    <t>68.2IMP</t>
  </si>
  <si>
    <t>Owner-Occupiers' Housing Services</t>
  </si>
  <si>
    <t xml:space="preserve">Real estate services on a fee or contract basis       </t>
  </si>
  <si>
    <t xml:space="preserve">Legal services              </t>
  </si>
  <si>
    <t xml:space="preserve">Accounting, bookkeeping and auditing services; tax consulting services        </t>
  </si>
  <si>
    <t xml:space="preserve">Services of head offices; management consulting services         </t>
  </si>
  <si>
    <t xml:space="preserve">Architectural and engineering services; technical testing and analysis services       </t>
  </si>
  <si>
    <t xml:space="preserve">Scientific research and development services           </t>
  </si>
  <si>
    <t xml:space="preserve">Advertising and market research services           </t>
  </si>
  <si>
    <t xml:space="preserve">Other professional, scientific and technical services          </t>
  </si>
  <si>
    <t xml:space="preserve">Veterinary services              </t>
  </si>
  <si>
    <t xml:space="preserve">Rental and leasing services            </t>
  </si>
  <si>
    <t xml:space="preserve">Employment services              </t>
  </si>
  <si>
    <t xml:space="preserve">Travel agency, tour operator and other reservation services and related services     </t>
  </si>
  <si>
    <t xml:space="preserve">Security and investigation services            </t>
  </si>
  <si>
    <t xml:space="preserve">Services to buildings and landscape           </t>
  </si>
  <si>
    <t xml:space="preserve">Office administrative, office support and other business support services       </t>
  </si>
  <si>
    <t xml:space="preserve">Public administration and defence services; compulsory social security services       </t>
  </si>
  <si>
    <t xml:space="preserve">Education services              </t>
  </si>
  <si>
    <t xml:space="preserve">Human health services             </t>
  </si>
  <si>
    <t xml:space="preserve">Creative, arts and entertainment services           </t>
  </si>
  <si>
    <t xml:space="preserve">Libraries, archives, museums and other cultural services         </t>
  </si>
  <si>
    <t xml:space="preserve">Gambling and betting services            </t>
  </si>
  <si>
    <t xml:space="preserve">Sports services and amusement and recreation services         </t>
  </si>
  <si>
    <t xml:space="preserve">Services furnished by membership organisations           </t>
  </si>
  <si>
    <t xml:space="preserve">Repair services of computers and personal and household goods       </t>
  </si>
  <si>
    <t xml:space="preserve">Other personal services             </t>
  </si>
  <si>
    <t xml:space="preserve">Services of households as employers of domestic personnel        </t>
  </si>
  <si>
    <t>Supply chain - tier 2 methodology</t>
  </si>
  <si>
    <t>Spend for which Tier 2 method accounts</t>
  </si>
  <si>
    <t>Notes on data source and methods</t>
  </si>
  <si>
    <t>Renewable Type</t>
  </si>
  <si>
    <t>Technology</t>
  </si>
  <si>
    <t>Total kWh generated</t>
  </si>
  <si>
    <t>Renewable heat</t>
  </si>
  <si>
    <t>Water source heat pump</t>
  </si>
  <si>
    <t>Renewable electricity</t>
  </si>
  <si>
    <t>Renewable CHP electricity</t>
  </si>
  <si>
    <t>Biomass CHP</t>
  </si>
  <si>
    <t>Purchased renewables</t>
  </si>
  <si>
    <t>Agreement</t>
  </si>
  <si>
    <t>Total kWh purchased</t>
  </si>
  <si>
    <t>Purchased renewable heat</t>
  </si>
  <si>
    <t>Heat purchased from district heat ring</t>
  </si>
  <si>
    <t>Purchased renewable electricity</t>
  </si>
  <si>
    <t>The carbon footprint of waste streams in a UK hospital, Journal of Cleaner Production, 281, 2021. Rizan et al</t>
  </si>
  <si>
    <t>Fleet &amp; equipment</t>
  </si>
  <si>
    <t>Land use</t>
  </si>
  <si>
    <t>Other typical unit</t>
  </si>
  <si>
    <t>Fuels</t>
  </si>
  <si>
    <t>Bioenergy</t>
  </si>
  <si>
    <t>UK electricity</t>
  </si>
  <si>
    <t>Heat and steam</t>
  </si>
  <si>
    <t>WTT - fuels</t>
  </si>
  <si>
    <t>WTT- bioenergy</t>
  </si>
  <si>
    <t>Transmission and distribution</t>
  </si>
  <si>
    <t>WTT- UK &amp; overseas elec</t>
  </si>
  <si>
    <t>WTT- heat and steam</t>
  </si>
  <si>
    <t>Water supply</t>
  </si>
  <si>
    <t>Water treatment</t>
  </si>
  <si>
    <t>Waste disposal</t>
  </si>
  <si>
    <t>Business travel- air</t>
  </si>
  <si>
    <t>WTT- business travel- air</t>
  </si>
  <si>
    <t>Business travel- sea</t>
  </si>
  <si>
    <t>WTT- business travel- sea</t>
  </si>
  <si>
    <t>Business travel- land</t>
  </si>
  <si>
    <t>WTT- pass vehs &amp; travel- land</t>
  </si>
  <si>
    <t>Freighting goods</t>
  </si>
  <si>
    <t>WTT - delivery vehs &amp; freight</t>
  </si>
  <si>
    <t>Table 2</t>
  </si>
  <si>
    <t>Table 3</t>
  </si>
  <si>
    <t>Table 4</t>
  </si>
  <si>
    <t>UK Efs calculated from 2019 NAEI data</t>
  </si>
  <si>
    <t>Y</t>
  </si>
  <si>
    <t>N</t>
  </si>
  <si>
    <t>Gross CV</t>
  </si>
  <si>
    <t>m3</t>
  </si>
  <si>
    <t>Standard natural gas received through the gas mains grid network in the UK. Note - contains limited biogas content.</t>
  </si>
  <si>
    <t>litres</t>
  </si>
  <si>
    <t>Wood pellets</t>
  </si>
  <si>
    <t>Wood chips</t>
  </si>
  <si>
    <t>Biogas</t>
  </si>
  <si>
    <t>Grid electricity is made up of generation (scope 2) and transmission &amp; distribution (scope 3). Each of these parts have associated WTT emissions.</t>
  </si>
  <si>
    <t>Onsite</t>
  </si>
  <si>
    <t>Use these factors for onsite or adjacent suppliers</t>
  </si>
  <si>
    <t>District</t>
  </si>
  <si>
    <t>Use these factors if the heat and steam are being supplied through a longer network</t>
  </si>
  <si>
    <t>Water</t>
  </si>
  <si>
    <t>Mains supply</t>
  </si>
  <si>
    <t>Mains treatment</t>
  </si>
  <si>
    <t>Onsite supply</t>
  </si>
  <si>
    <t>Assumed that onsite supply from rainwater or borehole requires no additional processing</t>
  </si>
  <si>
    <t>Onsite treatment</t>
  </si>
  <si>
    <t>Assumed that onsite treatment produces no additional emissions</t>
  </si>
  <si>
    <t>Diesel</t>
  </si>
  <si>
    <t>Average biofuel blend</t>
  </si>
  <si>
    <t>100% mineral diesel</t>
  </si>
  <si>
    <t>100% mineral petrol</t>
  </si>
  <si>
    <t>Biodiesel</t>
  </si>
  <si>
    <t>HVO</t>
  </si>
  <si>
    <t>ME</t>
  </si>
  <si>
    <t>Biopetrol</t>
  </si>
  <si>
    <t>100% biopetrol</t>
  </si>
  <si>
    <t>Farmland soils</t>
  </si>
  <si>
    <t>Improved grassland</t>
  </si>
  <si>
    <t>hectares</t>
  </si>
  <si>
    <t>km2</t>
  </si>
  <si>
    <t>Arable land</t>
  </si>
  <si>
    <t>Livestock</t>
  </si>
  <si>
    <t>Dairy cattle</t>
  </si>
  <si>
    <t>Head</t>
  </si>
  <si>
    <t>Non-dairy cattle</t>
  </si>
  <si>
    <t>Pigs</t>
  </si>
  <si>
    <t>Poultry</t>
  </si>
  <si>
    <t>Horses</t>
  </si>
  <si>
    <t>Sheep and goats</t>
  </si>
  <si>
    <t>Van</t>
  </si>
  <si>
    <t>Average (up to 3.5 tonnes)</t>
  </si>
  <si>
    <t>Vehicle km</t>
  </si>
  <si>
    <t>Vehicle miles</t>
  </si>
  <si>
    <t>Battery Electric Vehicle</t>
  </si>
  <si>
    <t>Unknown</t>
  </si>
  <si>
    <t>HGV</t>
  </si>
  <si>
    <t>Average rigid</t>
  </si>
  <si>
    <t>Average laden</t>
  </si>
  <si>
    <t>Average articulated</t>
  </si>
  <si>
    <t>Average HGV</t>
  </si>
  <si>
    <t>Pool car</t>
  </si>
  <si>
    <t>Hybrid</t>
  </si>
  <si>
    <t>Plug-in Hybrid Electric Vehicle</t>
  </si>
  <si>
    <t>Unknown fuel</t>
  </si>
  <si>
    <t>Private car</t>
  </si>
  <si>
    <t>Small</t>
  </si>
  <si>
    <t>Medium</t>
  </si>
  <si>
    <t>Large</t>
  </si>
  <si>
    <t>Hire car</t>
  </si>
  <si>
    <t>Public transport</t>
  </si>
  <si>
    <t>Taxi</t>
  </si>
  <si>
    <t>Taxi - Regular</t>
  </si>
  <si>
    <t>Passenger km</t>
  </si>
  <si>
    <t>Passenger miles</t>
  </si>
  <si>
    <t>Taxi - Black cab</t>
  </si>
  <si>
    <t>Bus</t>
  </si>
  <si>
    <t>Average local bus</t>
  </si>
  <si>
    <t>Coach</t>
  </si>
  <si>
    <t>Rail</t>
  </si>
  <si>
    <t>National rail</t>
  </si>
  <si>
    <t>International rail</t>
  </si>
  <si>
    <t>Light rail and tram</t>
  </si>
  <si>
    <t>London Underground</t>
  </si>
  <si>
    <t>Ferry</t>
  </si>
  <si>
    <t>Ferry - Foot passenger</t>
  </si>
  <si>
    <t>Ferry - Car passenger</t>
  </si>
  <si>
    <t>Flight</t>
  </si>
  <si>
    <t>Domestic</t>
  </si>
  <si>
    <t>Economy</t>
  </si>
  <si>
    <t>Business</t>
  </si>
  <si>
    <t>Home office electricity and heating fuel</t>
  </si>
  <si>
    <t>FTE year</t>
  </si>
  <si>
    <t>Aggregates</t>
  </si>
  <si>
    <t>kg</t>
  </si>
  <si>
    <t>Average construction</t>
  </si>
  <si>
    <t>Asbestos</t>
  </si>
  <si>
    <t>Asphalt</t>
  </si>
  <si>
    <t>Bricks</t>
  </si>
  <si>
    <t>Concrete</t>
  </si>
  <si>
    <t>Insulation</t>
  </si>
  <si>
    <t>Metals</t>
  </si>
  <si>
    <t>Soils</t>
  </si>
  <si>
    <t>Mineral oil</t>
  </si>
  <si>
    <t>Combustion</t>
  </si>
  <si>
    <t>Plasterboard</t>
  </si>
  <si>
    <t>Tyres</t>
  </si>
  <si>
    <t>Wood</t>
  </si>
  <si>
    <t>Composting</t>
  </si>
  <si>
    <t>Anaerobic digestion</t>
  </si>
  <si>
    <t>Table 52, Methodology Paper for Conversion factors 2020. Transport distances and vehicles assumptions for waste transport. Recycling - 50km (1 way) distance, average HGV tonne km 50% laden factor</t>
  </si>
  <si>
    <t>Table 52, Methodology Paper for Conversion factors 2020. Transport distances and vehicles assumptions for waste transport. Combustion - 50km (1 way) distance, Rigid (&gt;17 tonnes) tonne km 50% laden factor</t>
  </si>
  <si>
    <t>Table 52, Methodology Paper for Conversion factors 2020. Transport distances and vehicles assumptions for waste transport. Composting - 10km (1 way) distance, Rigid (&gt;17 tonnes) tonne km 50% laden factor</t>
  </si>
  <si>
    <t>Table 52, Methodology Paper for Conversion factors 2020. Transport distances and vehicles assumptions for waste transport. Landfill - 25km (1 way) distance, average HGV tonne km 50% laden factor</t>
  </si>
  <si>
    <t>Commercial and industrial waste</t>
  </si>
  <si>
    <t>Table 52, Methodology Paper for Conversion factors 2020. Transport distances and vehicles assumptions for waste transport. MSW incineration - 50km (1 way) distance, Rigid (&gt;17 tonnes) tonne km 50% laden factor</t>
  </si>
  <si>
    <t>Table 52, Methodology Paper for Conversion factors 2020. Transport distances and vehicles assumptions for waste transport. Inert landfill - 10km (1 way) distance, average HGV tonne km 50% laden factor</t>
  </si>
  <si>
    <t>Mixed plastics</t>
  </si>
  <si>
    <t>Mixed glass</t>
  </si>
  <si>
    <t>Mixed metal cans</t>
  </si>
  <si>
    <t>Mixed paper</t>
  </si>
  <si>
    <t>Mixed recycling</t>
  </si>
  <si>
    <t>This factor is not available as a mixed recycling stream but it is likely to be collected by Councils. Assumed to be standard recycling EF.</t>
  </si>
  <si>
    <t>Batteries</t>
  </si>
  <si>
    <t>Clothing</t>
  </si>
  <si>
    <t>Organic food and drink</t>
  </si>
  <si>
    <t>Table 52, Methodology Paper for Conversion factors 2020. Transport distances and vehicles assumptions for waste transport. MSW incinerator - 50km (1 way) distance, Rigid (&gt;17 tonnes) tonne km 50% laden factor</t>
  </si>
  <si>
    <t>Table 52, Methodology Paper for Conversion factors 2020. Transport distances and vehicles assumptions for waste transport. CA site - 10km (1 way) distance, Rigid (&gt;17 tonnes) tonne km 50% laden factor</t>
  </si>
  <si>
    <t>Table 52, Methodology Paper for Conversion factors 2020. Transport distances and vehicles assumptions for waste transport. Landfill- 25km (1 way) distance, average HGV tonne km 50% laden factor</t>
  </si>
  <si>
    <t>Table 52, Methodology Paper for Conversion factors 2020. Transport distances and vehicles assumptions for waste transport. CA site - 10km (1 way) distance, average HGV tonne km 50% laden factor</t>
  </si>
  <si>
    <t>Organic garden</t>
  </si>
  <si>
    <t>Organic mixed</t>
  </si>
  <si>
    <t>Non infectious offensive waste</t>
  </si>
  <si>
    <t>Infectious waste</t>
  </si>
  <si>
    <t>Autoclave treatment and combustion</t>
  </si>
  <si>
    <t>Clinical waste</t>
  </si>
  <si>
    <t>High temperature incineration</t>
  </si>
  <si>
    <t>Medical contaminated sharps waste</t>
  </si>
  <si>
    <t>Anatomical waste</t>
  </si>
  <si>
    <t>Medicinal waste</t>
  </si>
  <si>
    <t>Previous landuse</t>
  </si>
  <si>
    <t>Current land use</t>
  </si>
  <si>
    <t>Forest land</t>
  </si>
  <si>
    <t>Cropland</t>
  </si>
  <si>
    <t>Grassland</t>
  </si>
  <si>
    <t>Wetlands</t>
  </si>
  <si>
    <t>Settlements</t>
  </si>
  <si>
    <t>Other land</t>
  </si>
  <si>
    <t>Mineral</t>
  </si>
  <si>
    <t>Organic</t>
  </si>
  <si>
    <t>Coal</t>
  </si>
  <si>
    <t>Benchmarking data</t>
  </si>
  <si>
    <t>Energy use in building benchmarks</t>
  </si>
  <si>
    <t>Water use and waste benchmarks</t>
  </si>
  <si>
    <t>Commuting benchmarks</t>
  </si>
  <si>
    <t>The source of building water benchmarks is a publication by the Better Buildings Partnership (2017 Real Estate Environmental Benchmarks: January 2018 ). Organisations are free to use alternative sources of benchmark water data but any data sources should be carefully documented, along with rationale for selection.</t>
  </si>
  <si>
    <t xml:space="preserve">The average commuting distance in Wales average is 9.5 miles/ 15.3 km and the modal split is shown in the table below. Data source: ‘The Car and the Commute: The journey to work in England and Wales’ report by the RAC Foundation </t>
  </si>
  <si>
    <t>Name</t>
  </si>
  <si>
    <t>Description</t>
  </si>
  <si>
    <t>Travel mode</t>
  </si>
  <si>
    <t>% split</t>
  </si>
  <si>
    <t>Source</t>
  </si>
  <si>
    <t>Offices</t>
  </si>
  <si>
    <t>Car</t>
  </si>
  <si>
    <t>https://www.racfoundation.org/assets/rac_foundation/content/downloadables/car-and-the-commute-web-version.pdf</t>
  </si>
  <si>
    <t>Car passenger</t>
  </si>
  <si>
    <t>Waste benchmarks have been taken from WRAP (Waste &amp; Resources Action Programme) Green Office: A Guide to Running a More Cost-effective and Environmentally Sustainable Office .</t>
  </si>
  <si>
    <t>Taxi/ mini cab</t>
  </si>
  <si>
    <t>Good practice benchmark (quantity per person per year)</t>
  </si>
  <si>
    <t>Walking</t>
  </si>
  <si>
    <t>less than 200kg</t>
  </si>
  <si>
    <t>Moped/ Motorbike</t>
  </si>
  <si>
    <t>Public transport £/passenger km benchmarks</t>
  </si>
  <si>
    <t xml:space="preserve">Where only data on total cost by travel mode is available, and in the absence of any more accurate local estimates, the following estimates of £/passenger km can be used to estimate kilometres travelled from spend. </t>
  </si>
  <si>
    <t>Cycling</t>
  </si>
  <si>
    <t>Work from home</t>
  </si>
  <si>
    <t>£/passenger km</t>
  </si>
  <si>
    <t>Other</t>
  </si>
  <si>
    <t>Table 12.10 Revenue per passenger kilometre and revenue per passenger journey. Office of Rail and Road. UK Government</t>
  </si>
  <si>
    <t>https://www.walesonline.co.uk/news/wales-news/dragon-taxis-cardiff-cost-fares-17767633</t>
  </si>
  <si>
    <t>Air</t>
  </si>
  <si>
    <t>-</t>
  </si>
  <si>
    <t>http://www.webflyer.com/travel/mileage_calculator/</t>
  </si>
  <si>
    <t xml:space="preserve">Calculate distance travelled for each of the journeys taken. Option to choose top ten frequent trips and work out an average £/passenger km to apply to remainder. </t>
  </si>
  <si>
    <t>Waste density table</t>
  </si>
  <si>
    <t>Density factors for waste</t>
  </si>
  <si>
    <t>EWC code</t>
  </si>
  <si>
    <t>Density conversion factor (kg per litre)</t>
  </si>
  <si>
    <t>20 01 01</t>
  </si>
  <si>
    <t>paper and cardboard</t>
  </si>
  <si>
    <t>20 01 02</t>
  </si>
  <si>
    <t>20 01 08</t>
  </si>
  <si>
    <t>biodegradable kitchen and canteen waste</t>
  </si>
  <si>
    <t>20 01 10</t>
  </si>
  <si>
    <t>20 01 36</t>
  </si>
  <si>
    <t>discarded electrical and electronic equipment other than those mentioned in 20 01 21, 20 01 23 and 20 01 35</t>
  </si>
  <si>
    <t>20 01 38</t>
  </si>
  <si>
    <t>wood other than that mentioned in 20 01 37</t>
  </si>
  <si>
    <t>20 01 39</t>
  </si>
  <si>
    <t>20 01 40</t>
  </si>
  <si>
    <t>20 02 01</t>
  </si>
  <si>
    <t>biodegradable waste</t>
  </si>
  <si>
    <t>20 03 01</t>
  </si>
  <si>
    <t>mixed municipal waste</t>
  </si>
  <si>
    <t>General lists</t>
  </si>
  <si>
    <t>Organisational data</t>
  </si>
  <si>
    <t>Business travel, commuting and home working</t>
  </si>
  <si>
    <t>Supply chain</t>
  </si>
  <si>
    <t>Product Category Lookup</t>
  </si>
  <si>
    <t>RSD lookup by tier</t>
  </si>
  <si>
    <t>Ease</t>
  </si>
  <si>
    <t>Yesno</t>
  </si>
  <si>
    <t>Reporting year</t>
  </si>
  <si>
    <t>Land use types</t>
  </si>
  <si>
    <t>Buildings ownership</t>
  </si>
  <si>
    <t>Organisationalwaste</t>
  </si>
  <si>
    <t>Municipalwaste</t>
  </si>
  <si>
    <t>Projectwaste</t>
  </si>
  <si>
    <t>Wasteunits</t>
  </si>
  <si>
    <t>Businesstravel</t>
  </si>
  <si>
    <t>Streetlights</t>
  </si>
  <si>
    <t>Methodologyall</t>
  </si>
  <si>
    <t>Buildings we lease in from other organisations</t>
  </si>
  <si>
    <t>Traffic signs</t>
  </si>
  <si>
    <t>Data incomplete but easy to collect and process</t>
  </si>
  <si>
    <t>Buildings we lease out to deliver services</t>
  </si>
  <si>
    <t>Other public lighting</t>
  </si>
  <si>
    <t>Public Transport</t>
  </si>
  <si>
    <t>Data incomplete and requires effort to collect and processs</t>
  </si>
  <si>
    <t>Fire and Rescue Service</t>
  </si>
  <si>
    <t>Buildings we lease out to another public body</t>
  </si>
  <si>
    <t>All fleet</t>
  </si>
  <si>
    <t>Renewable CHP heat</t>
  </si>
  <si>
    <t>Methodologytier1</t>
  </si>
  <si>
    <t>Data unavailable in the timescales</t>
  </si>
  <si>
    <t>Buildings - all our estate</t>
  </si>
  <si>
    <t>Renewableheattechnology</t>
  </si>
  <si>
    <t>Purchasedrenewableheatagreement</t>
  </si>
  <si>
    <t>Availability of data unknown</t>
  </si>
  <si>
    <t>CHP plant that we own</t>
  </si>
  <si>
    <t>Generator</t>
  </si>
  <si>
    <t>Air source heat pump</t>
  </si>
  <si>
    <t>Emission source not relevant to our organisation</t>
  </si>
  <si>
    <t>Welsh Government</t>
  </si>
  <si>
    <t>Heat purchased from neighbouring site</t>
  </si>
  <si>
    <t>Methodologytier12</t>
  </si>
  <si>
    <t>Ground source heat pump</t>
  </si>
  <si>
    <t>Delivered heat contract</t>
  </si>
  <si>
    <t>Regions</t>
  </si>
  <si>
    <t>Privatecarunits</t>
  </si>
  <si>
    <t>Privatecarcategory1</t>
  </si>
  <si>
    <t>Privatecarcategory2 - multiple</t>
  </si>
  <si>
    <t>Solar thermal</t>
  </si>
  <si>
    <t>Livestockunits</t>
  </si>
  <si>
    <t>Biomass boiler</t>
  </si>
  <si>
    <t>Mid Wales</t>
  </si>
  <si>
    <t>Poolcarfuel</t>
  </si>
  <si>
    <t>PoolcarSize</t>
  </si>
  <si>
    <t>Biogas boiler</t>
  </si>
  <si>
    <t>Methdologytier2</t>
  </si>
  <si>
    <t>South East Wales</t>
  </si>
  <si>
    <t>FarmlandSoilsunits</t>
  </si>
  <si>
    <t>South West Wales</t>
  </si>
  <si>
    <t>Renewableelectricitytechnology</t>
  </si>
  <si>
    <t>Purchasedrenewableelectricityagreement</t>
  </si>
  <si>
    <t>All Wales</t>
  </si>
  <si>
    <t>Wind</t>
  </si>
  <si>
    <t>Private wire</t>
  </si>
  <si>
    <t>Methodologytier23</t>
  </si>
  <si>
    <t>Power purchase agreement</t>
  </si>
  <si>
    <t>Hydro</t>
  </si>
  <si>
    <t xml:space="preserve">Sleeved </t>
  </si>
  <si>
    <t>Blaenau Gwent County Borough Council</t>
  </si>
  <si>
    <t>Hirecarunits</t>
  </si>
  <si>
    <t>Hirecarcategory1</t>
  </si>
  <si>
    <t>Hirecarcategory2 - multiple</t>
  </si>
  <si>
    <t>Green tarrif</t>
  </si>
  <si>
    <t>Bridgend County Borough Council</t>
  </si>
  <si>
    <t>REGO tariff</t>
  </si>
  <si>
    <t>Methodologytier3</t>
  </si>
  <si>
    <t>Cardiff Council</t>
  </si>
  <si>
    <t>Vanfuel</t>
  </si>
  <si>
    <t>Vansize</t>
  </si>
  <si>
    <t>Biogas CHP</t>
  </si>
  <si>
    <t>Carmarthenshire County Council</t>
  </si>
  <si>
    <t>CHP plant</t>
  </si>
  <si>
    <t>Disposal routes</t>
  </si>
  <si>
    <t>Ceredigion County Council</t>
  </si>
  <si>
    <t>Swansea Council</t>
  </si>
  <si>
    <t>Biomass</t>
  </si>
  <si>
    <t>Conwy County Borough Council</t>
  </si>
  <si>
    <t>Farmlandsoils</t>
  </si>
  <si>
    <t>Denbighshire County Council</t>
  </si>
  <si>
    <t>Motorbikeunits</t>
  </si>
  <si>
    <t>Motorbikecategory1</t>
  </si>
  <si>
    <t>Motorbikecategory2 - multiple</t>
  </si>
  <si>
    <t xml:space="preserve">Industrial gases, inorganics and fertilisers (all inorganic chemicals) - 20.11/13/15      </t>
  </si>
  <si>
    <t>Flintshire County Council</t>
  </si>
  <si>
    <t xml:space="preserve">Petrochemicals - 20.14/16/17/60             </t>
  </si>
  <si>
    <t>HGVsize</t>
  </si>
  <si>
    <t xml:space="preserve">Dyestuffs, agro-chemicals - 20.12/20            </t>
  </si>
  <si>
    <t>Farmland Soils</t>
  </si>
  <si>
    <t>Merthyr Tydfil County Borough Council</t>
  </si>
  <si>
    <t>Naturalgasunits</t>
  </si>
  <si>
    <t>Naturalgascategory1</t>
  </si>
  <si>
    <t>HGVfuel</t>
  </si>
  <si>
    <t>Monmouthshire County Council</t>
  </si>
  <si>
    <t>Neath Port Talbot County Borough Council</t>
  </si>
  <si>
    <t>Publictransportunits</t>
  </si>
  <si>
    <t>Publictransportcategory1</t>
  </si>
  <si>
    <t>Publictransporttaxi</t>
  </si>
  <si>
    <t>Publictransportbus</t>
  </si>
  <si>
    <t>Publictransportrail</t>
  </si>
  <si>
    <t>Publictransportferry</t>
  </si>
  <si>
    <t>Newport City Council</t>
  </si>
  <si>
    <t>Allfleetfuel</t>
  </si>
  <si>
    <t>Pembrokeshire County Council</t>
  </si>
  <si>
    <t>LPGunits</t>
  </si>
  <si>
    <t>LPGcategory1</t>
  </si>
  <si>
    <t>Poolcarsizefuel</t>
  </si>
  <si>
    <t xml:space="preserve">Glass, refractory, clay, other porcelain and ceramic, stone and abrasive products - 23.1-4/7-9   </t>
  </si>
  <si>
    <t>Powys County Council</t>
  </si>
  <si>
    <t>Torfaen County Borough Council</t>
  </si>
  <si>
    <t>Rhondda Cynon Taf County Borough Council</t>
  </si>
  <si>
    <t>Vale of Glamorgan Council</t>
  </si>
  <si>
    <t xml:space="preserve">Fabricated metal products, excl. machinery and equipment and weapons &amp; ammunition - 25.1-3/25.5-9   </t>
  </si>
  <si>
    <t>Wrexham County Borough Council</t>
  </si>
  <si>
    <t>Keroseneunits</t>
  </si>
  <si>
    <t>Kerosenecategory1</t>
  </si>
  <si>
    <t>Pembrokeshire College</t>
  </si>
  <si>
    <t>University of South Wales</t>
  </si>
  <si>
    <t>Cardiff Metropolitan University</t>
  </si>
  <si>
    <t>Equipmentfuel</t>
  </si>
  <si>
    <t>Swansea University</t>
  </si>
  <si>
    <t>Gasoilcategory1</t>
  </si>
  <si>
    <t>Vansizefuel</t>
  </si>
  <si>
    <t>Cardiff University</t>
  </si>
  <si>
    <t>Bangor University</t>
  </si>
  <si>
    <t>Aberystwyth University</t>
  </si>
  <si>
    <t>Flightshorthaul</t>
  </si>
  <si>
    <t>Dieselcategory1</t>
  </si>
  <si>
    <t>Flightunits</t>
  </si>
  <si>
    <t>Flightcategory1</t>
  </si>
  <si>
    <t>Flightdomestic</t>
  </si>
  <si>
    <t>Flightlonghaul</t>
  </si>
  <si>
    <t>Short haul</t>
  </si>
  <si>
    <t>Generatorfuel</t>
  </si>
  <si>
    <t>HGVsizefuel</t>
  </si>
  <si>
    <t>Long haul</t>
  </si>
  <si>
    <t>Petrolcategory1</t>
  </si>
  <si>
    <t>Waste Soils</t>
  </si>
  <si>
    <t>Poolcarunits</t>
  </si>
  <si>
    <t>Welsh Revenue Authority</t>
  </si>
  <si>
    <t>Biodieselunits</t>
  </si>
  <si>
    <t>Gridelectricitycategory1</t>
  </si>
  <si>
    <t>Centre for Digital Public Services</t>
  </si>
  <si>
    <t>Estyn</t>
  </si>
  <si>
    <t>Life Sciences Hub Wales</t>
  </si>
  <si>
    <t>Biopetrolunits</t>
  </si>
  <si>
    <t>Heatandsteamcategory1</t>
  </si>
  <si>
    <t>Vanunits</t>
  </si>
  <si>
    <t>Careers Wales</t>
  </si>
  <si>
    <t>Grid electricity units</t>
  </si>
  <si>
    <t>Transport for Wales</t>
  </si>
  <si>
    <t>Bioenergycategory1</t>
  </si>
  <si>
    <t>HGVunits</t>
  </si>
  <si>
    <t>National Library of Wales</t>
  </si>
  <si>
    <t>Sports Council for Wales</t>
  </si>
  <si>
    <t>Heat and steam units</t>
  </si>
  <si>
    <t>Arts Council for Wales</t>
  </si>
  <si>
    <t>Natural Resources Wales</t>
  </si>
  <si>
    <t>Watercategory1</t>
  </si>
  <si>
    <t>Higher Education Funding Council for Wales</t>
  </si>
  <si>
    <t>Bioenergyunits</t>
  </si>
  <si>
    <t>Betsi Cadwaladr University Health Board</t>
  </si>
  <si>
    <t>Cardiff and Vale University Health Board</t>
  </si>
  <si>
    <t>Cwm Taf Morgannwg University Health Board</t>
  </si>
  <si>
    <t>Health Education and Improvement Wales</t>
  </si>
  <si>
    <t>Waterunits</t>
  </si>
  <si>
    <t>Biopetrolcategory1</t>
  </si>
  <si>
    <t>Hywel Dda University Health Board</t>
  </si>
  <si>
    <t>Digital Health and Care Wales</t>
  </si>
  <si>
    <t>Biodieselcategory1</t>
  </si>
  <si>
    <t>Swansea Bay University Health Board</t>
  </si>
  <si>
    <t>Aneurin Bevan University Health Board</t>
  </si>
  <si>
    <t>Powys Teaching Health Board</t>
  </si>
  <si>
    <t>Welsh Ambulance Services NHS Trust</t>
  </si>
  <si>
    <t>Public Health Wales NHS Trust</t>
  </si>
  <si>
    <t>Email address of person responsible for this report</t>
  </si>
  <si>
    <t>Brecon Beacons National Park Authority</t>
  </si>
  <si>
    <t>Pembrokeshire Coast National Park Authority</t>
  </si>
  <si>
    <t>Snowdonia National Park Authority</t>
  </si>
  <si>
    <t>University of Wales Trinity Saint David</t>
  </si>
  <si>
    <t>Not used2</t>
  </si>
  <si>
    <t>Coalunits</t>
  </si>
  <si>
    <t>Coalcategory1</t>
  </si>
  <si>
    <t>UK electricity T&amp;D for Evs</t>
  </si>
  <si>
    <t>UK electricity for Evs</t>
  </si>
  <si>
    <t>Waste EF not including transport</t>
  </si>
  <si>
    <t>Local authority buildings</t>
  </si>
  <si>
    <t>Town Hall</t>
  </si>
  <si>
    <t>Community Centres</t>
  </si>
  <si>
    <t>Residential care homes</t>
  </si>
  <si>
    <t>Depots</t>
  </si>
  <si>
    <t>Sheltered housing</t>
  </si>
  <si>
    <t>Public buildings</t>
  </si>
  <si>
    <t>Library</t>
  </si>
  <si>
    <t>Museum</t>
  </si>
  <si>
    <t>Fire station</t>
  </si>
  <si>
    <t>Police station</t>
  </si>
  <si>
    <t>Local Government office</t>
  </si>
  <si>
    <t>Air conditioned, standard</t>
  </si>
  <si>
    <t>Schools</t>
  </si>
  <si>
    <t>Primary</t>
  </si>
  <si>
    <t>Secondary</t>
  </si>
  <si>
    <t>Special</t>
  </si>
  <si>
    <t>Secondary, with swimming pool</t>
  </si>
  <si>
    <t>Hospital</t>
  </si>
  <si>
    <t>General Acute</t>
  </si>
  <si>
    <t>Teaching/specialist</t>
  </si>
  <si>
    <t>Cottage hospital</t>
  </si>
  <si>
    <t>Education (Higher)</t>
  </si>
  <si>
    <t>Catering / bar</t>
  </si>
  <si>
    <t>Lecture room/conference facility</t>
  </si>
  <si>
    <t>Library or learning centre</t>
  </si>
  <si>
    <t>Sports and recreation</t>
  </si>
  <si>
    <t>Swimming pool</t>
  </si>
  <si>
    <t>Combined centre</t>
  </si>
  <si>
    <t>Dry sports centre (local)</t>
  </si>
  <si>
    <t>Fossil-thermal typical benchmark (kWh/m2)</t>
  </si>
  <si>
    <t>Electricity typical benchmark (kWh/m2)</t>
  </si>
  <si>
    <t>Note: Values are correct as of 20/05/2022</t>
  </si>
  <si>
    <t>17 01 07</t>
  </si>
  <si>
    <t xml:space="preserve">mixtures of concrete, bricks, tiles and ceramics other than those mentioned in 17 01 06 </t>
  </si>
  <si>
    <t>18 01 02</t>
  </si>
  <si>
    <t>Body parts and organs including blood bags and blood preserves (except 18 01 03)</t>
  </si>
  <si>
    <t>17 06 01*</t>
  </si>
  <si>
    <t>insulation materials containing asbestos</t>
  </si>
  <si>
    <t>17 03 02</t>
  </si>
  <si>
    <t>bituminous mixtures other than those mentioned in 17 03 01</t>
  </si>
  <si>
    <t>17 09 04</t>
  </si>
  <si>
    <t>mixed construction and demolition wastes other than those mentioned in 17 09 01, 17 09 02 and 17 09 03</t>
  </si>
  <si>
    <t>20 01 33*</t>
  </si>
  <si>
    <t>batteries and accumulators included in 16 06 01, 16 06 02 or 16 06 03 and unsorted batteries and accumulators containing these batteries</t>
  </si>
  <si>
    <t>17 01 02</t>
  </si>
  <si>
    <t>bricks</t>
  </si>
  <si>
    <t>18 01 03*</t>
  </si>
  <si>
    <t>wastes whose collection and disposal is subject to special requirements in order to prevent infection</t>
  </si>
  <si>
    <t>clothes</t>
  </si>
  <si>
    <t>17 01 01</t>
  </si>
  <si>
    <t>concrete</t>
  </si>
  <si>
    <t>17 06 04</t>
  </si>
  <si>
    <t>insulation materials other than those mentioned in 17 06 01 and 17 06 03</t>
  </si>
  <si>
    <t>18 01 01</t>
  </si>
  <si>
    <t>sharps (except 18 01 03)</t>
  </si>
  <si>
    <t>20 01 32</t>
  </si>
  <si>
    <t>medicines other than those mentioned in 20 01 31</t>
  </si>
  <si>
    <t>17 04 07</t>
  </si>
  <si>
    <t>mixed metals</t>
  </si>
  <si>
    <t>13 03 10*</t>
  </si>
  <si>
    <t>other insulating and heat transmission oils</t>
  </si>
  <si>
    <t>glass</t>
  </si>
  <si>
    <t>metals</t>
  </si>
  <si>
    <t>plastics</t>
  </si>
  <si>
    <t>18 01 04</t>
  </si>
  <si>
    <t>wastes whose collection and disposal is not subject to special requirements in order to prevent infection(for example dressings, plaster casts, linen, disposable clothing, diapers)</t>
  </si>
  <si>
    <t>19 12 07</t>
  </si>
  <si>
    <t>wood other than that mentioned in 19 12 06</t>
  </si>
  <si>
    <t>20 02 02</t>
  </si>
  <si>
    <t>soil and stones</t>
  </si>
  <si>
    <t>16 01 03</t>
  </si>
  <si>
    <t>end-of-life tyres</t>
  </si>
  <si>
    <t>Waste Description</t>
  </si>
  <si>
    <t>This sheet contains the following tables:</t>
  </si>
  <si>
    <t>Waste density factors</t>
  </si>
  <si>
    <t>https://www.cibse.org/Knowledge/Benchmarking</t>
  </si>
  <si>
    <t xml:space="preserve">Where your organisation has information on the estimated volume of waste collected rather than the weight, the following density factors can be used to estimate the weight.
These density conversion factors were developed by the Environment Agency for the 1998/99 commercial and industrial waste survey in England and have since been used across the UK by all of the Agencies including SEPA. The factors were derived from a number of different sources including published research, advice from the waste management industry and some original research at the time (source: https://www.sepa.org.uk/media/163323/uk-conversion-factors-for-waste.xlsx). 		</t>
  </si>
  <si>
    <r>
      <t>Total EF (kgCO</t>
    </r>
    <r>
      <rPr>
        <b/>
        <vertAlign val="subscript"/>
        <sz val="11"/>
        <color rgb="FFFFFFFF"/>
        <rFont val="Calibri"/>
        <family val="2"/>
        <scheme val="minor"/>
      </rPr>
      <t>2</t>
    </r>
    <r>
      <rPr>
        <b/>
        <sz val="11"/>
        <color rgb="FFFFFFFF"/>
        <rFont val="Calibri"/>
        <family val="2"/>
        <scheme val="minor"/>
      </rPr>
      <t>e/unit)</t>
    </r>
  </si>
  <si>
    <r>
      <t>Total emissions (kgCO</t>
    </r>
    <r>
      <rPr>
        <b/>
        <vertAlign val="subscript"/>
        <sz val="11"/>
        <color rgb="FFFFFFFF"/>
        <rFont val="Calibri"/>
        <family val="2"/>
        <scheme val="minor"/>
      </rPr>
      <t>2</t>
    </r>
    <r>
      <rPr>
        <b/>
        <sz val="11"/>
        <color rgb="FFFFFFFF"/>
        <rFont val="Calibri"/>
        <family val="2"/>
        <scheme val="minor"/>
      </rPr>
      <t>e)</t>
    </r>
  </si>
  <si>
    <r>
      <t>Emission data breakdown (kg CO</t>
    </r>
    <r>
      <rPr>
        <b/>
        <vertAlign val="subscript"/>
        <sz val="12"/>
        <color rgb="FF636363"/>
        <rFont val="Calibri"/>
        <family val="2"/>
        <scheme val="minor"/>
      </rPr>
      <t>2</t>
    </r>
    <r>
      <rPr>
        <b/>
        <sz val="12"/>
        <color rgb="FF636363"/>
        <rFont val="Calibri"/>
        <family val="2"/>
        <scheme val="minor"/>
      </rPr>
      <t>e)</t>
    </r>
  </si>
  <si>
    <r>
      <t>Emission factor (kgCO</t>
    </r>
    <r>
      <rPr>
        <b/>
        <vertAlign val="subscript"/>
        <sz val="10"/>
        <color theme="0"/>
        <rFont val="Calibri"/>
        <family val="2"/>
        <scheme val="minor"/>
      </rPr>
      <t>2</t>
    </r>
    <r>
      <rPr>
        <b/>
        <sz val="10"/>
        <color theme="0"/>
        <rFont val="Calibri"/>
        <family val="2"/>
        <scheme val="minor"/>
      </rPr>
      <t>e per £ spent)</t>
    </r>
  </si>
  <si>
    <r>
      <t>Total kg CO</t>
    </r>
    <r>
      <rPr>
        <b/>
        <vertAlign val="subscript"/>
        <sz val="10"/>
        <color theme="0"/>
        <rFont val="Arial"/>
        <family val="2"/>
      </rPr>
      <t>2</t>
    </r>
    <r>
      <rPr>
        <b/>
        <sz val="10"/>
        <color theme="0"/>
        <rFont val="Arial"/>
        <family val="2"/>
      </rPr>
      <t>e</t>
    </r>
  </si>
  <si>
    <t>SupplyChain Tier2RSD</t>
  </si>
  <si>
    <t>RenewableCHPelectricitytechnology</t>
  </si>
  <si>
    <t>RenewableCHPheattechnology</t>
  </si>
  <si>
    <t>Rounded to 3.d.p</t>
  </si>
  <si>
    <t xml:space="preserve">If you wish to use a higher tier method to report your land use emissions, record these in the table below.  </t>
  </si>
  <si>
    <t xml:space="preserve">The source of building energy benchmarks is the Chartered Institution of Building Services (CIBSE) Energy Benchmarking tool. Organisations are free to use alternative sources of benchmark energy data but any data sources should be carefully documented, along with rationale for selection. Benchmarks for other building types are available through the tool, which can be accessed via the link below:
</t>
  </si>
  <si>
    <t>Audit Wales</t>
  </si>
  <si>
    <t>Development Bank of Wales</t>
  </si>
  <si>
    <t>Royal Commission</t>
  </si>
  <si>
    <t>Gas</t>
  </si>
  <si>
    <t>F-gas</t>
  </si>
  <si>
    <t>HFC-23</t>
  </si>
  <si>
    <t>HFC-32</t>
  </si>
  <si>
    <t>HFC-41</t>
  </si>
  <si>
    <t>HFC-125</t>
  </si>
  <si>
    <t>HFC-134</t>
  </si>
  <si>
    <t>HFC-134a</t>
  </si>
  <si>
    <t>HFC-143</t>
  </si>
  <si>
    <t>HFC-143a</t>
  </si>
  <si>
    <t>HFC-152a</t>
  </si>
  <si>
    <t>HFC-227ea</t>
  </si>
  <si>
    <t>HFC-236fa</t>
  </si>
  <si>
    <t>HFC-245fa</t>
  </si>
  <si>
    <t>HFC-43-I0mee</t>
  </si>
  <si>
    <t>Perfluoromethane (PFC-14)</t>
  </si>
  <si>
    <t>Perfluoroethane (PFC-116)</t>
  </si>
  <si>
    <t>Perfluoropropane (PFC-218)</t>
  </si>
  <si>
    <t>Perfluorocyclobutane (PFC-318)</t>
  </si>
  <si>
    <t>Perfluorobutane (PFC-3-1-10)</t>
  </si>
  <si>
    <t>Perfluoropentane (PFC-4-1-12)</t>
  </si>
  <si>
    <t>Perfluorohexane (PFC-5-1-14)</t>
  </si>
  <si>
    <t>PFC-9-1-18</t>
  </si>
  <si>
    <t>Perfluorocyclopropane</t>
  </si>
  <si>
    <t>Sulphur hexafluoride (SF6)</t>
  </si>
  <si>
    <t>HFC-152</t>
  </si>
  <si>
    <t>HFC-161</t>
  </si>
  <si>
    <t>HFC-236cb</t>
  </si>
  <si>
    <t>HFC-236ea</t>
  </si>
  <si>
    <t>HFC-245ca</t>
  </si>
  <si>
    <t>HFC-365mfc</t>
  </si>
  <si>
    <t>Nitrogen trifluoride</t>
  </si>
  <si>
    <t>R401A</t>
  </si>
  <si>
    <t>R401B</t>
  </si>
  <si>
    <t>R401C</t>
  </si>
  <si>
    <t>R402A</t>
  </si>
  <si>
    <t>R402B</t>
  </si>
  <si>
    <t>R403A</t>
  </si>
  <si>
    <t>R403B</t>
  </si>
  <si>
    <t>R404A</t>
  </si>
  <si>
    <t>R405A</t>
  </si>
  <si>
    <t>R406A</t>
  </si>
  <si>
    <t>R407A</t>
  </si>
  <si>
    <t>R407B</t>
  </si>
  <si>
    <t>R407C</t>
  </si>
  <si>
    <t>R407D</t>
  </si>
  <si>
    <t>R407E</t>
  </si>
  <si>
    <t>R407F</t>
  </si>
  <si>
    <t>R408A</t>
  </si>
  <si>
    <t>R409A</t>
  </si>
  <si>
    <t>R409B</t>
  </si>
  <si>
    <t>R410A</t>
  </si>
  <si>
    <t>R410B</t>
  </si>
  <si>
    <t>R411A</t>
  </si>
  <si>
    <t>R411B</t>
  </si>
  <si>
    <t>R412A</t>
  </si>
  <si>
    <t>R413A</t>
  </si>
  <si>
    <t>R414A</t>
  </si>
  <si>
    <t>R414B</t>
  </si>
  <si>
    <t>R415A</t>
  </si>
  <si>
    <t>R415B</t>
  </si>
  <si>
    <t>R416A</t>
  </si>
  <si>
    <t>R417A</t>
  </si>
  <si>
    <t>R417B</t>
  </si>
  <si>
    <t>R417C</t>
  </si>
  <si>
    <t>R418A</t>
  </si>
  <si>
    <t>R419A</t>
  </si>
  <si>
    <t>R419B</t>
  </si>
  <si>
    <t>R420A</t>
  </si>
  <si>
    <t>R421A</t>
  </si>
  <si>
    <t>R421B</t>
  </si>
  <si>
    <t>R422A</t>
  </si>
  <si>
    <t>R422B</t>
  </si>
  <si>
    <t>R422C</t>
  </si>
  <si>
    <t>R422D</t>
  </si>
  <si>
    <t>R422E</t>
  </si>
  <si>
    <t>R423A</t>
  </si>
  <si>
    <t>R424A</t>
  </si>
  <si>
    <t>R425A</t>
  </si>
  <si>
    <t>R426A</t>
  </si>
  <si>
    <t>R427A</t>
  </si>
  <si>
    <t>R428A</t>
  </si>
  <si>
    <t>R429A</t>
  </si>
  <si>
    <t>R430A</t>
  </si>
  <si>
    <t>R431A</t>
  </si>
  <si>
    <t>R432A</t>
  </si>
  <si>
    <t>R433A</t>
  </si>
  <si>
    <t>R433B</t>
  </si>
  <si>
    <t>R433C</t>
  </si>
  <si>
    <t>R434A</t>
  </si>
  <si>
    <t>R435A</t>
  </si>
  <si>
    <t>R436A</t>
  </si>
  <si>
    <t>R436B</t>
  </si>
  <si>
    <t>R437A</t>
  </si>
  <si>
    <t>R438A</t>
  </si>
  <si>
    <t>R439A</t>
  </si>
  <si>
    <t>R440A</t>
  </si>
  <si>
    <t>R441A</t>
  </si>
  <si>
    <t>R442A</t>
  </si>
  <si>
    <t>R443A</t>
  </si>
  <si>
    <t>R444A</t>
  </si>
  <si>
    <t>R445A</t>
  </si>
  <si>
    <t>R500</t>
  </si>
  <si>
    <t>R501</t>
  </si>
  <si>
    <t>R502</t>
  </si>
  <si>
    <t>R503</t>
  </si>
  <si>
    <t>R504</t>
  </si>
  <si>
    <t>R505</t>
  </si>
  <si>
    <t>R506</t>
  </si>
  <si>
    <t>R507A</t>
  </si>
  <si>
    <t>R508A</t>
  </si>
  <si>
    <t>R508B</t>
  </si>
  <si>
    <t>R509A</t>
  </si>
  <si>
    <t>R510A</t>
  </si>
  <si>
    <t>R511A</t>
  </si>
  <si>
    <t>R512A</t>
  </si>
  <si>
    <t>CFC-11/R11 = trichlorofluoromethane</t>
  </si>
  <si>
    <t>CFC-12/R12 = dichlorodifluoromethane</t>
  </si>
  <si>
    <t>CFC-13</t>
  </si>
  <si>
    <t>CFC-113</t>
  </si>
  <si>
    <t>CFC-114</t>
  </si>
  <si>
    <t>CFC-115</t>
  </si>
  <si>
    <t>Halon-1211</t>
  </si>
  <si>
    <t>Halon-1301</t>
  </si>
  <si>
    <t>Halon-2402</t>
  </si>
  <si>
    <t>Carbon tetrachloride</t>
  </si>
  <si>
    <t>Methyl bromide</t>
  </si>
  <si>
    <t>Methyl chloroform</t>
  </si>
  <si>
    <t>HCFC-22/R22 = chlorodifluoromethane</t>
  </si>
  <si>
    <t>HCFC-123</t>
  </si>
  <si>
    <t>HCFC-124</t>
  </si>
  <si>
    <t>HCFC-141b</t>
  </si>
  <si>
    <t>HCFC-142b</t>
  </si>
  <si>
    <t>HCFC-225ca</t>
  </si>
  <si>
    <t>HCFC-225cb</t>
  </si>
  <si>
    <t>HCFC-21</t>
  </si>
  <si>
    <t>HFE-125</t>
  </si>
  <si>
    <t>HFE-134</t>
  </si>
  <si>
    <t>HFE-143a</t>
  </si>
  <si>
    <t>HCFE-235da2</t>
  </si>
  <si>
    <t>HFE-245cb2</t>
  </si>
  <si>
    <t>HFE-245fa2</t>
  </si>
  <si>
    <t>HFE-254cb2</t>
  </si>
  <si>
    <t>HFE-347mcc3</t>
  </si>
  <si>
    <t>HFE-347pcf2</t>
  </si>
  <si>
    <t>HFE-356pcc3</t>
  </si>
  <si>
    <t>HFE-449sl (HFE-7100)</t>
  </si>
  <si>
    <t>HFE-569sf2 (HFE-7200)</t>
  </si>
  <si>
    <t>HFE-43-10pccc124 (H-Galden1040x)</t>
  </si>
  <si>
    <t>HFE-236ca12 (HG-10)</t>
  </si>
  <si>
    <t>HFE-338pcc13 (HG-01)</t>
  </si>
  <si>
    <t>Trifluoromethyl sulphur pentafluoride</t>
  </si>
  <si>
    <t>PFPMIE</t>
  </si>
  <si>
    <t>Dimethylether</t>
  </si>
  <si>
    <t>Methylene chloride</t>
  </si>
  <si>
    <t>Methyl chloride</t>
  </si>
  <si>
    <t>R290 = propane</t>
  </si>
  <si>
    <t>R600A = isobutane</t>
  </si>
  <si>
    <t>R600 = butane</t>
  </si>
  <si>
    <t>R601 = pentane</t>
  </si>
  <si>
    <t>R601A = isopentane</t>
  </si>
  <si>
    <t>R170 = ethane</t>
  </si>
  <si>
    <t>R1270 = propene</t>
  </si>
  <si>
    <t>Refrigerant &amp; other</t>
  </si>
  <si>
    <t>Total financial budget /spend/ turnover £</t>
  </si>
  <si>
    <t>tonne.km</t>
  </si>
  <si>
    <t>Rigid &gt;17 tonnes</t>
  </si>
  <si>
    <t>All</t>
  </si>
  <si>
    <t>Waste collection</t>
  </si>
  <si>
    <t>Nitrous oxide</t>
  </si>
  <si>
    <t>Anaesthetic gas</t>
  </si>
  <si>
    <t>Isoflurane</t>
  </si>
  <si>
    <t>Desflurane</t>
  </si>
  <si>
    <t>Sevoflurane</t>
  </si>
  <si>
    <t>Other gases</t>
  </si>
  <si>
    <t>Othergases</t>
  </si>
  <si>
    <t>F gas</t>
  </si>
  <si>
    <t>FgasUnits</t>
  </si>
  <si>
    <t>AnaestheticgasUnits</t>
  </si>
  <si>
    <t>Supply chain - Tier 1 and Tier 2 combined</t>
  </si>
  <si>
    <t>F-gases in scope</t>
  </si>
  <si>
    <t>Do you have air conditioning or refrigeration systems that require refrigerant gas top-ups, or do you use anaesthetic gases?</t>
  </si>
  <si>
    <r>
      <t xml:space="preserve">If you wish to use a higher tier method for part of your supply chain emissions, you can record the emissions in the table below together with the equivalent spend associated with those emissions. Include brief notes about your method for calculating the emissions, or a reference to further information. 
</t>
    </r>
    <r>
      <rPr>
        <b/>
        <sz val="11"/>
        <color rgb="FF636363"/>
        <rFont val="Calibri"/>
        <family val="2"/>
        <scheme val="minor"/>
      </rPr>
      <t>DO NOT</t>
    </r>
    <r>
      <rPr>
        <sz val="11"/>
        <color rgb="FF636363"/>
        <rFont val="Calibri"/>
        <family val="2"/>
        <scheme val="minor"/>
      </rPr>
      <t xml:space="preserve"> subtract this spend from the data reported in the Tier 1 table (i.e any emissions reported in the table </t>
    </r>
    <r>
      <rPr>
        <b/>
        <sz val="11"/>
        <color rgb="FF636363"/>
        <rFont val="Calibri"/>
        <family val="2"/>
        <scheme val="minor"/>
      </rPr>
      <t>below</t>
    </r>
    <r>
      <rPr>
        <sz val="11"/>
        <color rgb="FF636363"/>
        <rFont val="Calibri"/>
        <family val="2"/>
        <scheme val="minor"/>
      </rPr>
      <t xml:space="preserve"> should also be included in the total spend for that category in the table </t>
    </r>
    <r>
      <rPr>
        <b/>
        <sz val="11"/>
        <color rgb="FF636363"/>
        <rFont val="Calibri"/>
        <family val="2"/>
        <scheme val="minor"/>
      </rPr>
      <t>above</t>
    </r>
    <r>
      <rPr>
        <sz val="11"/>
        <color rgb="FF636363"/>
        <rFont val="Calibri"/>
        <family val="2"/>
        <scheme val="minor"/>
      </rPr>
      <t>. Duplicated emissions will be reconciled when compiling the data. The 'Supply chain group' and 'SIC code' columns will automatically fill once a category has been selected in the 'Product category' column.</t>
    </r>
  </si>
  <si>
    <r>
      <rPr>
        <b/>
        <sz val="11"/>
        <color rgb="FF636363"/>
        <rFont val="Calibri"/>
        <family val="2"/>
        <scheme val="minor"/>
      </rPr>
      <t xml:space="preserve">Guidance for users
</t>
    </r>
    <r>
      <rPr>
        <sz val="11"/>
        <color rgb="FF636363"/>
        <rFont val="Calibri"/>
        <family val="2"/>
        <scheme val="minor"/>
      </rPr>
      <t>This sheet contains two tables: Tier 1 supply chain spend based estimates and Tier 2 supply chain more accurate estimates</t>
    </r>
    <r>
      <rPr>
        <b/>
        <sz val="11"/>
        <color rgb="FF636363"/>
        <rFont val="Calibri"/>
        <family val="2"/>
        <scheme val="minor"/>
      </rPr>
      <t xml:space="preserve"> based on reported carbon.</t>
    </r>
    <r>
      <rPr>
        <sz val="11"/>
        <color rgb="FF636363"/>
        <rFont val="Calibri"/>
        <family val="2"/>
        <scheme val="minor"/>
      </rPr>
      <t xml:space="preserve">
</t>
    </r>
    <r>
      <rPr>
        <b/>
        <sz val="11"/>
        <color rgb="FF636363"/>
        <rFont val="Calibri"/>
        <family val="2"/>
        <scheme val="minor"/>
      </rPr>
      <t>Please see Section 11 of the Welsh Net Zero Public Sector Reporting Guide for further guidance.</t>
    </r>
  </si>
  <si>
    <t>Building internal floor area equivalent to the energy data reported (sq m)</t>
  </si>
  <si>
    <t>Kerosene is listed as burning oil in the conversion factors dataset</t>
  </si>
  <si>
    <t>Emission factor unit is litres rather than kWh. Converted to kWh using gross CV kWh/litre from fuel properties sheet</t>
  </si>
  <si>
    <t>50% laden</t>
  </si>
  <si>
    <t>R1234yf</t>
  </si>
  <si>
    <t>R1234ze</t>
  </si>
  <si>
    <t>There is no specific figure available, however it is known that the GWP factor is less than 1 kg CO2e</t>
  </si>
  <si>
    <t xml:space="preserve">Products of agriculture, hunting and related services         </t>
  </si>
  <si>
    <t xml:space="preserve">Products of forestry, logging and related services         </t>
  </si>
  <si>
    <t xml:space="preserve">Fish and other fishing products; aquaculture products; support services to fishing     </t>
  </si>
  <si>
    <t xml:space="preserve">Coal and lignite             </t>
  </si>
  <si>
    <t xml:space="preserve">Crude petroleum and natural gas           </t>
  </si>
  <si>
    <t xml:space="preserve">Textiles               </t>
  </si>
  <si>
    <t xml:space="preserve">Leather and related products            </t>
  </si>
  <si>
    <t>Wood and of products of wood and cork, except furniture; articles of straw and plaiting materials</t>
  </si>
  <si>
    <t xml:space="preserve">Other chemical products             </t>
  </si>
  <si>
    <t xml:space="preserve">Cement, lime, plaster and articles of concrete, cement and plaster </t>
  </si>
  <si>
    <t xml:space="preserve">Gas; distribution of gaseous fuels through mains; steam and air conditioning supply    </t>
  </si>
  <si>
    <t xml:space="preserve">Buildings and building construction works           </t>
  </si>
  <si>
    <t xml:space="preserve">Constructions and construction works for civil engineering         </t>
  </si>
  <si>
    <t xml:space="preserve">Specialised construction works             </t>
  </si>
  <si>
    <t xml:space="preserve">Rail transport services             </t>
  </si>
  <si>
    <t xml:space="preserve">Land transport services and transport services via pipelines, excluding rail transport     </t>
  </si>
  <si>
    <t xml:space="preserve">Water transport services             </t>
  </si>
  <si>
    <t xml:space="preserve">Air transport services             </t>
  </si>
  <si>
    <t xml:space="preserve">Motion picture, video and TV programme production services, sound recording &amp; music publishing   </t>
  </si>
  <si>
    <t xml:space="preserve">Programming and broadcasting services            </t>
  </si>
  <si>
    <t xml:space="preserve">Insurance and reinsurance services, except compulsory social security      </t>
  </si>
  <si>
    <t xml:space="preserve">Residential care services             </t>
  </si>
  <si>
    <t xml:space="preserve">Social work services without accommodation           </t>
  </si>
  <si>
    <t>06</t>
  </si>
  <si>
    <t>10.2 -3</t>
  </si>
  <si>
    <t>42.1-2</t>
  </si>
  <si>
    <t>65.1-2</t>
  </si>
  <si>
    <r>
      <rPr>
        <b/>
        <sz val="11"/>
        <color rgb="FF636363"/>
        <rFont val="Calibri"/>
        <family val="2"/>
        <scheme val="minor"/>
      </rPr>
      <t>Instructions for users:</t>
    </r>
    <r>
      <rPr>
        <sz val="11"/>
        <color rgb="FF636363"/>
        <rFont val="Calibri"/>
        <family val="2"/>
        <scheme val="minor"/>
      </rPr>
      <t xml:space="preserve">
• Input information into the orange and blue cells. Grey cells should not be edited. Please fill in the notes column with a description of the method and data source used.
• Find out the extent of land holdings that are under the operational control of your organisation
• Complete the scoping table below to determine whether Tier 1 methodology is required
If so,
• Complete the Tier 1 table below with available information and notes about sources of data
</t>
    </r>
    <r>
      <rPr>
        <b/>
        <sz val="11"/>
        <color rgb="FF636363"/>
        <rFont val="Calibri"/>
        <family val="2"/>
        <scheme val="minor"/>
      </rPr>
      <t>OR</t>
    </r>
    <r>
      <rPr>
        <sz val="11"/>
        <color rgb="FF636363"/>
        <rFont val="Calibri"/>
        <family val="2"/>
        <scheme val="minor"/>
      </rPr>
      <t xml:space="preserve">
If you want to use a Tier 2 method to report your emissions, complete the Tier 2 table below, providing notes about data sources and methods used</t>
    </r>
  </si>
  <si>
    <t>Please provide comments on scope and completeness of your report and any significant changes in methods compared to last year.
This comment will be included in your individual organisation report output once data have been reviewed and compared across all organisations. If you wish for some of the comment to be excluded from that report please make that clear.</t>
  </si>
  <si>
    <t>No emission factor available</t>
  </si>
  <si>
    <t>Vancategory1</t>
  </si>
  <si>
    <t>vanaverage</t>
  </si>
  <si>
    <r>
      <rPr>
        <b/>
        <sz val="11"/>
        <color theme="1" tint="0.34998626667073579"/>
        <rFont val="Calibri"/>
        <family val="2"/>
        <scheme val="minor"/>
      </rPr>
      <t>Instructions for users</t>
    </r>
    <r>
      <rPr>
        <sz val="11"/>
        <color theme="1" tint="0.34998626667073579"/>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 Please note that 'Outside of scopes' emissions are not included in the 'Total emissions'</t>
    </r>
  </si>
  <si>
    <r>
      <rPr>
        <b/>
        <sz val="12"/>
        <color theme="1" tint="0.499984740745262"/>
        <rFont val="Calibri"/>
        <family val="2"/>
        <scheme val="minor"/>
      </rPr>
      <t>Instructions for users</t>
    </r>
    <r>
      <rPr>
        <sz val="11"/>
        <color theme="1" tint="0.499984740745262"/>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•Please note that the 'Outside of scopes' emissions are not included in the 'Total emissions'
</t>
    </r>
  </si>
  <si>
    <r>
      <rPr>
        <b/>
        <sz val="11"/>
        <color theme="1" tint="0.499984740745262"/>
        <rFont val="Calibri"/>
        <family val="2"/>
        <scheme val="minor"/>
      </rPr>
      <t>Instructions for users</t>
    </r>
    <r>
      <rPr>
        <sz val="11"/>
        <color theme="1" tint="0.499984740745262"/>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t>
    </r>
  </si>
  <si>
    <t>If you purchase renewable electricity that is supplied through the UK grid, you must also include this electricity in the buildings table.</t>
  </si>
  <si>
    <t xml:space="preserve">Please note, 'Outside of scopes' emissions are not included in 'Total' emissions or 'High' and 'Low' estimates. </t>
  </si>
  <si>
    <r>
      <rPr>
        <b/>
        <sz val="11"/>
        <color rgb="FF636363"/>
        <rFont val="Calibri"/>
        <family val="2"/>
        <scheme val="minor"/>
      </rPr>
      <t>Guidance for users</t>
    </r>
    <r>
      <rPr>
        <sz val="11"/>
        <color rgb="FF636363"/>
        <rFont val="Calibri"/>
        <family val="2"/>
        <scheme val="minor"/>
      </rPr>
      <t xml:space="preserve">
This tab has three tables for entering waste data - every effort has been made to include relevant waste types. If the waste type is not available, choose the closest match and write in the notes what waste type it is. 
The first table is for organisational waste - this is waste produced by your organisation in day to day operations. You can choose from a range of waste types and disposal routes (some disposal routes are not applicable for certain waste types and therefore these option combinations are not available in the drop down lists). 
The second table is for municipal waste collections and is only relevant to Local Authorities who provide this service. There is a question at the start of this table about operation of waste vehicles and recording of fuel used. This question has to be answered. Your answer will determine whether the emission factors applied in this table include the waste transport emissions (they may be already included elsewhere).
The third table is for construction project waste, where this is collected separately. You do not need to complete this table if it is not relevant to your organisation. 
Please note: if your organisation has reported organisational waste based on tonnage, you should remove expenditure on waste collection services in your supply chain data to avoid double-counting. 
</t>
    </r>
    <r>
      <rPr>
        <b/>
        <sz val="11"/>
        <color rgb="FF636363"/>
        <rFont val="Calibri"/>
        <family val="2"/>
        <scheme val="minor"/>
      </rPr>
      <t xml:space="preserve">Please see Section 9 of the Welsh Net Zero Public Sector Reporting Guide for further guidance.
</t>
    </r>
  </si>
  <si>
    <r>
      <rPr>
        <b/>
        <sz val="11"/>
        <color rgb="FF636363"/>
        <rFont val="Calibri"/>
        <family val="2"/>
        <scheme val="minor"/>
      </rPr>
      <t>Guidance for users</t>
    </r>
    <r>
      <rPr>
        <sz val="11"/>
        <color rgb="FF636363"/>
        <rFont val="Calibri"/>
        <family val="2"/>
        <scheme val="minor"/>
      </rPr>
      <t xml:space="preserve">
This sheet contains three tables - business travel, commuting and homeworking.
</t>
    </r>
    <r>
      <rPr>
        <b/>
        <sz val="11"/>
        <color rgb="FF636363"/>
        <rFont val="Calibri"/>
        <family val="2"/>
        <scheme val="minor"/>
      </rPr>
      <t>Please see Section 8 of the Welsh Net Zero Public Sector Reporting Guide for further guidance.</t>
    </r>
  </si>
  <si>
    <r>
      <rPr>
        <b/>
        <sz val="10"/>
        <color rgb="FF636363"/>
        <rFont val="Calibri"/>
        <family val="2"/>
        <scheme val="minor"/>
      </rPr>
      <t>Instructions for users</t>
    </r>
    <r>
      <rPr>
        <sz val="10"/>
        <color rgb="FF636363"/>
        <rFont val="Calibri"/>
        <family val="2"/>
        <scheme val="minor"/>
      </rPr>
      <t xml:space="preserve">
• Input information into the orange and blue cells. Grey cells should not be edited.
• Activity data should only be in kWh unit.  If your data is in other units,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t>
    </r>
  </si>
  <si>
    <t>NHS Wales</t>
  </si>
  <si>
    <t>Financial year 2023/24</t>
  </si>
  <si>
    <t>Academic year 2022/23</t>
  </si>
  <si>
    <t>National Park Authority</t>
  </si>
  <si>
    <t>Other Public Sector Body</t>
  </si>
  <si>
    <t>Caerphilly County Borough Council</t>
  </si>
  <si>
    <t>Gwynedd Council</t>
  </si>
  <si>
    <t>Velindre University NHS Trust</t>
  </si>
  <si>
    <t>Boundary Commission for Wales</t>
  </si>
  <si>
    <t>National Museum of Wales</t>
  </si>
  <si>
    <t>National Resilience Wales</t>
  </si>
  <si>
    <t>Qualifications Wales</t>
  </si>
  <si>
    <t>Bridgend College</t>
  </si>
  <si>
    <t>Glyndwr Wrexham University</t>
  </si>
  <si>
    <t>Mid and West Wales Fire and Rescue Service</t>
  </si>
  <si>
    <t>North Wales Fire and Rescue Service</t>
  </si>
  <si>
    <t>South Wales Fire and Rescue Service</t>
  </si>
  <si>
    <t>Descriptor 1</t>
  </si>
  <si>
    <t>Descriptor 2</t>
  </si>
  <si>
    <t>Descriptor 3</t>
  </si>
  <si>
    <t>Medical gases</t>
  </si>
  <si>
    <t>Medical gases (NHS only)</t>
  </si>
  <si>
    <t>£</t>
  </si>
  <si>
    <t>Converted Data (£)</t>
  </si>
  <si>
    <t>Standard Units</t>
  </si>
  <si>
    <t>Unit</t>
  </si>
  <si>
    <t>Blank</t>
  </si>
  <si>
    <t>ha</t>
  </si>
  <si>
    <r>
      <t>Total EF (kgCO</t>
    </r>
    <r>
      <rPr>
        <b/>
        <vertAlign val="subscript"/>
        <sz val="10"/>
        <color rgb="FFFFFFFF"/>
        <rFont val="Calibri"/>
        <family val="2"/>
        <scheme val="minor"/>
      </rPr>
      <t>2</t>
    </r>
    <r>
      <rPr>
        <b/>
        <sz val="10"/>
        <color rgb="FFFFFFFF"/>
        <rFont val="Calibri"/>
        <family val="2"/>
        <scheme val="minor"/>
      </rPr>
      <t>e/unit)</t>
    </r>
  </si>
  <si>
    <r>
      <t>Total emissions (kgCO</t>
    </r>
    <r>
      <rPr>
        <b/>
        <vertAlign val="subscript"/>
        <sz val="10"/>
        <color rgb="FFFFFFFF"/>
        <rFont val="Calibri"/>
        <family val="2"/>
        <scheme val="minor"/>
      </rPr>
      <t>2</t>
    </r>
    <r>
      <rPr>
        <b/>
        <sz val="10"/>
        <color rgb="FFFFFFFF"/>
        <rFont val="Calibri"/>
        <family val="2"/>
        <scheme val="minor"/>
      </rPr>
      <t>e)</t>
    </r>
  </si>
  <si>
    <t>Year</t>
  </si>
  <si>
    <t>Orgainsation Type</t>
  </si>
  <si>
    <t>Organisation Name</t>
  </si>
  <si>
    <t>Category</t>
  </si>
  <si>
    <t>ID</t>
  </si>
  <si>
    <t>Transport</t>
  </si>
  <si>
    <t>Fleet</t>
  </si>
  <si>
    <t>Sub-Category</t>
  </si>
  <si>
    <t>Refrigerants</t>
  </si>
  <si>
    <t>Organisational</t>
  </si>
  <si>
    <t>Municipal</t>
  </si>
  <si>
    <t>Project</t>
  </si>
  <si>
    <t>Land</t>
  </si>
  <si>
    <t>Transport total</t>
  </si>
  <si>
    <t>Buildings &amp; stationary assets</t>
  </si>
  <si>
    <r>
      <rPr>
        <b/>
        <sz val="12"/>
        <color theme="1" tint="0.499984740745262"/>
        <rFont val="Calibri"/>
        <family val="2"/>
        <scheme val="minor"/>
      </rPr>
      <t>Guidance for users</t>
    </r>
    <r>
      <rPr>
        <sz val="11"/>
        <color theme="1" tint="0.499984740745262"/>
        <rFont val="Calibri"/>
        <family val="2"/>
        <scheme val="minor"/>
      </rPr>
      <t xml:space="preserve">
This sheet contains two tables -  fleet and equipment (fuel) and fleet (distance).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</si>
  <si>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r>
      <rPr>
        <b/>
        <sz val="12"/>
        <color theme="1" tint="0.499984740745262"/>
        <rFont val="Calibri"/>
        <family val="2"/>
        <scheme val="minor"/>
      </rPr>
      <t>Guidance for users</t>
    </r>
    <r>
      <rPr>
        <sz val="11"/>
        <color theme="1" tint="0.499984740745262"/>
        <rFont val="Calibri"/>
        <family val="2"/>
        <scheme val="minor"/>
      </rPr>
      <t xml:space="preserve">
This sheet contains three tables - buildings, streetlighting, and other gases.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</si>
  <si>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r>
      <rPr>
        <b/>
        <sz val="12"/>
        <color theme="1" tint="0.499984740745262"/>
        <rFont val="Calibri"/>
        <family val="2"/>
        <scheme val="minor"/>
      </rPr>
      <t>Guidance for users</t>
    </r>
    <r>
      <rPr>
        <sz val="11"/>
        <color theme="1" tint="0.499984740745262"/>
        <rFont val="Calibri"/>
        <family val="2"/>
        <scheme val="minor"/>
      </rPr>
      <t xml:space="preserve">
This sheet contains one table - medical gases.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</si>
  <si>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t>Source: UK Government GHG Conversion Factors for Company Reporting 2023</t>
  </si>
  <si>
    <t>AKA Bioethanol. Emission factor unit is GJ rather than kWh. Converted to kWh using factor of 278. No conversion unit for litres so used relationship between emission factor for kWh and litres</t>
  </si>
  <si>
    <t>BEIS factor multiplied by 7.5 working hours per day, working 5 days per week for 52 weeks less 28 days of leave.</t>
  </si>
  <si>
    <t>Organisation</t>
  </si>
  <si>
    <t>Cardiff and Vale College</t>
  </si>
  <si>
    <t>Coleg Cambria</t>
  </si>
  <si>
    <t>Coleg Ceredigion</t>
  </si>
  <si>
    <t>Coleg Gwent</t>
  </si>
  <si>
    <t>Coleg Sir Gâr</t>
  </si>
  <si>
    <t>Coleg y Cymoedd</t>
  </si>
  <si>
    <t>Gower College Swansea</t>
  </si>
  <si>
    <t>Merthyr Tydfil College</t>
  </si>
  <si>
    <t>NPTC Group</t>
  </si>
  <si>
    <t>St David's Catholic College</t>
  </si>
  <si>
    <t>University</t>
  </si>
  <si>
    <t>College</t>
  </si>
  <si>
    <t>Medical gas</t>
  </si>
  <si>
    <t>Entonox</t>
  </si>
  <si>
    <t>Litres</t>
  </si>
  <si>
    <t>Modern inhalation anesthetics: Potent greenhouse gases in the global atmosphere</t>
  </si>
  <si>
    <t>Buildings &amp; stationary assets total</t>
  </si>
  <si>
    <t>F gases</t>
  </si>
  <si>
    <t>Land based and agriculture</t>
  </si>
  <si>
    <t>Land based removals</t>
  </si>
  <si>
    <t>Total land based and agriculture</t>
  </si>
  <si>
    <t>Rooftop Solar PV</t>
  </si>
  <si>
    <t>Ground Solar PV</t>
  </si>
  <si>
    <r>
      <t xml:space="preserve">The Tier 1 table is based on the Defra source 'Conversion factors KgCO2 per £ spent, by SIC code 2020', rounded to 3 d.p.
</t>
    </r>
    <r>
      <rPr>
        <u/>
        <sz val="11"/>
        <color rgb="FF636363"/>
        <rFont val="Calibri"/>
        <family val="2"/>
        <scheme val="minor"/>
      </rPr>
      <t xml:space="preserve">www.gov.uk/government/statistics/uks-carbon-footprint  </t>
    </r>
    <r>
      <rPr>
        <sz val="11"/>
        <color rgb="FF636363"/>
        <rFont val="Calibri"/>
        <family val="2"/>
        <scheme val="minor"/>
      </rPr>
      <t xml:space="preserve">
This table only covers indirect emissions from the supply chain and is an estimate of the indirect GHG emissions resulting from expenditure on procuring goods and services. The emission factors were calculated by the University of Leeds as an update to the dataset used previously which were factors for 2011. 
This table also includes a number of activities that are likely to be covered in your operational emissions, such as fuel use and transmission and distribution, travel and water. If you have captured that activity in the Operational emissions tab, you should remove the related expenditure from this table as otherwise you will be double counting your emissions. However, the information in this table may still be useful for a rough initial calculation of the relative importance of these activities in the first instance.
</t>
    </r>
  </si>
  <si>
    <t>Land-based emissions, sequestration and agriculture</t>
  </si>
  <si>
    <r>
      <rPr>
        <b/>
        <sz val="11"/>
        <color rgb="FF636363"/>
        <rFont val="Calibri"/>
        <family val="2"/>
        <scheme val="minor"/>
      </rPr>
      <t>Guidance for users</t>
    </r>
    <r>
      <rPr>
        <sz val="11"/>
        <color rgb="FF636363"/>
        <rFont val="Calibri"/>
        <family val="2"/>
        <scheme val="minor"/>
      </rPr>
      <t xml:space="preserve">
This sheet contains three tables - Land emissions (tier 1), land emissions (tier 2) and agriculture
The organisational boundary should be defined as assets and operations under your organisation’s operational control. This equates to emissions and sequestration in the vegetation and soils of land managed by your organisation for the delivery of public services, whether owned or leased. 
</t>
    </r>
    <r>
      <rPr>
        <b/>
        <sz val="11"/>
        <color rgb="FF636363"/>
        <rFont val="Calibri"/>
        <family val="2"/>
        <scheme val="minor"/>
      </rPr>
      <t>Please see Sections 7 &amp; 10 of the Welsh Net Zero Public Sector Reporting Guide for further guidance.</t>
    </r>
  </si>
  <si>
    <t>Land use emission factors (kgCO2e/ha)</t>
  </si>
  <si>
    <t>Type of ownership</t>
  </si>
  <si>
    <t>kWh exported to grid</t>
  </si>
  <si>
    <t>kWh exported to other PSB</t>
  </si>
  <si>
    <t>Site name</t>
  </si>
  <si>
    <t>Descriptor 4</t>
  </si>
  <si>
    <t>https://www.gov.uk/government/statistical-data-sets/bus-statistics-data-tables - Number of journeys (BUS01a)</t>
  </si>
  <si>
    <t>Good practice benchmark (litre/person/working day)</t>
  </si>
  <si>
    <t>Typical practice benchmark (litre/person/working day)</t>
  </si>
  <si>
    <t>Solar Canopy</t>
  </si>
  <si>
    <t>Generating site name</t>
  </si>
  <si>
    <t>Renewableelectricityownership</t>
  </si>
  <si>
    <t>Public</t>
  </si>
  <si>
    <t>Shared</t>
  </si>
  <si>
    <t>Community</t>
  </si>
  <si>
    <t>Private (Welsh)</t>
  </si>
  <si>
    <t>Private (Non-Welsh)</t>
  </si>
  <si>
    <t>Name of other Public Sector Body</t>
  </si>
  <si>
    <t>Total MWe capacity (at inverter)</t>
  </si>
  <si>
    <t>Table</t>
  </si>
  <si>
    <t>Note</t>
  </si>
  <si>
    <t>Error?</t>
  </si>
  <si>
    <t>Calculated emissions (kgCO2e) for this spend</t>
  </si>
  <si>
    <t>Land tier 1</t>
  </si>
  <si>
    <t>Land tier 2</t>
  </si>
  <si>
    <t>Totals</t>
  </si>
  <si>
    <t>EFs</t>
  </si>
  <si>
    <t>Emissions</t>
  </si>
  <si>
    <t>Missing EFs</t>
  </si>
  <si>
    <t>Missing EF?</t>
  </si>
  <si>
    <t>Missing Emissions?</t>
  </si>
  <si>
    <t>Missing Emissions</t>
  </si>
  <si>
    <t>Fleet &amp; Equipment</t>
  </si>
  <si>
    <t>Social care Wales</t>
  </si>
  <si>
    <t>Grwp Llandrillo Menai</t>
  </si>
  <si>
    <t>TypeOrganisation</t>
  </si>
  <si>
    <t>NWSSP</t>
  </si>
  <si>
    <t>Error Test</t>
  </si>
  <si>
    <t>Blank Test</t>
  </si>
  <si>
    <t>Tier test</t>
  </si>
  <si>
    <r>
      <rPr>
        <sz val="11"/>
        <color rgb="FF636363"/>
        <rFont val="Calibri"/>
        <family val="2"/>
        <scheme val="minor"/>
      </rPr>
      <t>Please send the completed form to</t>
    </r>
    <r>
      <rPr>
        <b/>
        <sz val="11"/>
        <color rgb="FF636363"/>
        <rFont val="Calibri"/>
        <family val="2"/>
        <scheme val="minor"/>
      </rPr>
      <t xml:space="preserve"> </t>
    </r>
    <r>
      <rPr>
        <b/>
        <sz val="11"/>
        <color theme="4"/>
        <rFont val="Calibri"/>
        <family val="2"/>
        <scheme val="minor"/>
      </rPr>
      <t>netzeroreporting@energyservice.wales</t>
    </r>
    <r>
      <rPr>
        <b/>
        <sz val="11"/>
        <color rgb="FF636363"/>
        <rFont val="Calibri"/>
        <family val="2"/>
        <scheme val="minor"/>
      </rPr>
      <t xml:space="preserve"> </t>
    </r>
    <r>
      <rPr>
        <sz val="11"/>
        <color rgb="FF636363"/>
        <rFont val="Calibri"/>
        <family val="2"/>
        <scheme val="minor"/>
      </rPr>
      <t>by</t>
    </r>
    <r>
      <rPr>
        <b/>
        <sz val="11"/>
        <color rgb="FFFF0000"/>
        <rFont val="Calibri"/>
        <family val="2"/>
        <scheme val="minor"/>
      </rPr>
      <t xml:space="preserve"> 2nd September 2024</t>
    </r>
  </si>
  <si>
    <t>Onsite and offsite renewables</t>
  </si>
  <si>
    <t>Location</t>
  </si>
  <si>
    <r>
      <rPr>
        <b/>
        <sz val="10"/>
        <color rgb="FF636363"/>
        <rFont val="Calibri"/>
        <family val="2"/>
        <scheme val="minor"/>
      </rPr>
      <t>Guidance for users</t>
    </r>
    <r>
      <rPr>
        <sz val="10"/>
        <color rgb="FF636363"/>
        <rFont val="Calibri"/>
        <family val="2"/>
        <scheme val="minor"/>
      </rPr>
      <t xml:space="preserve">
This sheet allows users to provide information about any renewable energy that an organisation generates or purchases. It has two tables, one for renewables generated onsite/offsite by your organisation, and one for any renewable electricity or heat that your organisation purchases. 
If your organisation purchases renewable electricity (e.g. through a green tariff) which is reported in this sheet, the activity data should also be included in the 'Buildings' table in the 'Buildings, fleet &amp;other assets' sheet. This is because the Welsh Public Sector has agreed to use a locational based approach to accounting; all the renewable electricity in the grid is already accounted for in the average grid factor. If individual organisations account for this green electricity as zero carbon and the grid average also includes it as a zero carbon component, the benefit is being double counted. 
</t>
    </r>
    <r>
      <rPr>
        <b/>
        <sz val="10"/>
        <color rgb="FF636363"/>
        <rFont val="Calibri"/>
        <family val="2"/>
        <scheme val="minor"/>
      </rPr>
      <t>Please see Section 12 of the Welsh Net Zero Public Sector Reporting Guide for further guidance.</t>
    </r>
    <r>
      <rPr>
        <sz val="10"/>
        <color rgb="FF636363"/>
        <rFont val="Calibri"/>
        <family val="2"/>
        <scheme val="minor"/>
      </rPr>
      <t xml:space="preserve">
</t>
    </r>
  </si>
  <si>
    <t>Age (years)</t>
  </si>
  <si>
    <t>Onsiteandoffsiterenewables</t>
  </si>
  <si>
    <t>Offsite renewables - electricity</t>
  </si>
  <si>
    <t>kWh consumed by reporting organisation</t>
  </si>
  <si>
    <t>Version</t>
  </si>
  <si>
    <t>Data created</t>
  </si>
  <si>
    <t>Updated by</t>
  </si>
  <si>
    <t>Changes</t>
  </si>
  <si>
    <t>HecW</t>
  </si>
  <si>
    <t>V4</t>
  </si>
  <si>
    <t>V3</t>
  </si>
  <si>
    <t>All changes requested for new reporting round, this is version published online</t>
  </si>
  <si>
    <t>HVO added as a fuel option for buildings from Hayley Warren's (TfW) request to net zero inbox</t>
  </si>
  <si>
    <t>V5</t>
  </si>
  <si>
    <t>HVO, ME and other biofuel related fuels have had their WTT and OOS emissions factors updated as per Hayley's(TfW) email see net zero inbox</t>
  </si>
  <si>
    <t>V6</t>
  </si>
  <si>
    <r>
      <rPr>
        <b/>
        <sz val="12"/>
        <color theme="1" tint="0.499984740745262"/>
        <rFont val="Calibri"/>
        <family val="2"/>
        <scheme val="minor"/>
      </rPr>
      <t>Instructions for users</t>
    </r>
    <r>
      <rPr>
        <sz val="11"/>
        <color theme="1" tint="0.499984740745262"/>
        <rFont val="Calibri"/>
        <family val="2"/>
        <scheme val="minor"/>
      </rPr>
      <t xml:space="preserve">
• Use the [+] symbols to the left of column A to show/hide the data tables for entry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•Please note that the 'Outside of scopes' emissions are not included in the 'Total emissions'
•Building level data can be provided now, if providing building level data please add the name of the site, if aggregating all buildings then use the name 'All sites'
</t>
    </r>
  </si>
  <si>
    <t>&lt;&lt; Show/Hide</t>
  </si>
  <si>
    <r>
      <rPr>
        <b/>
        <sz val="11"/>
        <color rgb="FF636363"/>
        <rFont val="Calibri"/>
        <family val="2"/>
        <scheme val="minor"/>
      </rPr>
      <t xml:space="preserve">Instructions for users: </t>
    </r>
    <r>
      <rPr>
        <sz val="11"/>
        <color rgb="FF636363"/>
        <rFont val="Calibri"/>
        <family val="2"/>
        <scheme val="minor"/>
      </rPr>
      <t xml:space="preserve">
• Input information into the orange and blue cells. Grey cells should not be edited. Fill in the notes column describing the data source used and any data exclusions. 
• Identify the amount spent on different product and service groups (in actual prices in £s, including VAT).
• Categroies that are likely to be accounted for elsewhere in this data collection form have been highlighted with an orange box.
• In Tier 1, the amount of spend is automatically multiplied by the conversion factor to get total emissions in kilograms of carbon dioxide equivalent (kg CO</t>
    </r>
    <r>
      <rPr>
        <vertAlign val="subscript"/>
        <sz val="11"/>
        <color rgb="FF636363"/>
        <rFont val="Calibri"/>
        <family val="2"/>
        <scheme val="minor"/>
      </rPr>
      <t>2</t>
    </r>
    <r>
      <rPr>
        <sz val="11"/>
        <color rgb="FF636363"/>
        <rFont val="Calibri"/>
        <family val="2"/>
        <scheme val="minor"/>
      </rPr>
      <t xml:space="preserve">e).  
• If you wish to use a higher tier (Tier 2) method for part of your supply chain emissions, you can record these in the second table below. Please include notes about your method and the amount of spend that these emissions account for. Please </t>
    </r>
    <r>
      <rPr>
        <b/>
        <sz val="11"/>
        <color rgb="FF636363"/>
        <rFont val="Calibri"/>
        <family val="2"/>
        <scheme val="minor"/>
      </rPr>
      <t>DO NOT</t>
    </r>
    <r>
      <rPr>
        <sz val="11"/>
        <color rgb="FF636363"/>
        <rFont val="Calibri"/>
        <family val="2"/>
        <scheme val="minor"/>
      </rPr>
      <t xml:space="preserve"> subtract this spend from the data reported in the Tier 1 table (i.e any emissions reported in the Tier 2 table should also be included in the total spend for that category in the Tier 1 table). Any emissions calculated by Tier 2 methods are included in column J of the Tier 1 table to provide an overall total without double counting. </t>
    </r>
  </si>
  <si>
    <t>Site name column for buildings unlocked for editting (see NRW email). Car size info added to Business trvael tab as per Rachel Gradiner's email through Dale. Ben Turpin's email from Flintshire, updated unit lookup in agriculture table, made clearer where double counting can occur in supply chain table, added info for hiding/showing tables in the stationary assets tab.</t>
  </si>
  <si>
    <t>V7</t>
  </si>
  <si>
    <t>Supply chain combined tier 1 and tier 2 was adding tier 2 spend instead of tier 2 emissions after the first 2/3 of the calc, now fixed</t>
  </si>
  <si>
    <t>V8</t>
  </si>
  <si>
    <t>Unlocked site name for gas in the building tab. Updated the high and low calcs in supply chain table 2, as it had the same issue as that idenitified in v7 update. See Ben Turpins email.</t>
  </si>
  <si>
    <t>V9</t>
  </si>
  <si>
    <t>Corporate Joint Committee</t>
  </si>
  <si>
    <t>Mid Wales CJC</t>
  </si>
  <si>
    <t>North Wales CJC</t>
  </si>
  <si>
    <t>South East Wales CJC</t>
  </si>
  <si>
    <t>South Wales CJC</t>
  </si>
  <si>
    <t>Added more lines for tier 2 suppliers in supply chain tab as per Central NHS request; CJCs added in as organsation options too</t>
  </si>
  <si>
    <t>Penthrox</t>
  </si>
  <si>
    <t>penthrox is 117.7 times lower than entonox for same volume - https://emj.bmj.com/content/emermed/41/2/69.full.pdf</t>
  </si>
  <si>
    <t>V10</t>
  </si>
  <si>
    <t>Added Penthrox to medical gases</t>
  </si>
  <si>
    <t>V11</t>
  </si>
  <si>
    <t>CarO</t>
  </si>
  <si>
    <t>V12</t>
  </si>
  <si>
    <t>&lt;&lt; Fill this first</t>
  </si>
  <si>
    <t>Unlocked columns M and N on the land use and agriculture tabs</t>
  </si>
  <si>
    <t>Made it clearer that C51 needs to be fille din on municipal data tabe otherwise the table will show with errors</t>
  </si>
  <si>
    <t>Version 14</t>
  </si>
  <si>
    <r>
      <t xml:space="preserve">This spreadsheet is the required format for Welsh public sector organisations reporting their carbon emissions for the </t>
    </r>
    <r>
      <rPr>
        <b/>
        <sz val="11"/>
        <color rgb="FF636363"/>
        <rFont val="Calibri"/>
        <family val="2"/>
        <scheme val="minor"/>
      </rPr>
      <t>2023 - 2024 reporting period</t>
    </r>
    <r>
      <rPr>
        <sz val="11"/>
        <color rgb="FF636363"/>
        <rFont val="Calibri"/>
        <family val="2"/>
        <scheme val="minor"/>
      </rPr>
      <t>.
It is based on the Welsh Public Sector Net Zero Carbon Reporting Guide.  
The following updates have been applied to this version of the template:	
• Emission factors have been updated where appropriate
• Various bug fixes
• Medical gases updated and split out	
• The summary sheet has been updated to be more comprehensive
• Additional organisations added
• Fleet split out from buildings
• Site level data can be submitted for building energy consumption
• More details can be entered for renewables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</si>
</sst>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8" formatCode="&quot;£&quot;#,##0.00;[Red]\-&quot;£&quot;#,##0.00"/>
    <numFmt numFmtId="44" formatCode="_-&quot;£&quot;* #,##0.00_-;\-&quot;£&quot;* #,##0.00_-;_-&quot;£&quot;* &quot;-&quot;??_-;_-@_-"/>
    <numFmt numFmtId="43" formatCode="_-* #,##0.00_-;\-* #,##0.00_-;_-* &quot;-&quot;??_-;_-@_-"/>
    <numFmt numFmtId="164" formatCode="&quot;£&quot;#,##0.00"/>
    <numFmt numFmtId="165" formatCode="_-* #,##0_-;\-* #,##0_-;_-* &quot;-&quot;??_-;_-@_-"/>
    <numFmt numFmtId="166" formatCode="0.0000"/>
    <numFmt numFmtId="167" formatCode="0.0"/>
    <numFmt numFmtId="168" formatCode="_-* #,##0.0_-;\-* #,##0.0_-;_-* &quot;-&quot;??_-;_-@_-"/>
    <numFmt numFmtId="169" formatCode="0.000"/>
    <numFmt numFmtId="170" formatCode="0.0%"/>
    <numFmt numFmtId="171" formatCode="0.00000"/>
    <numFmt numFmtId="172" formatCode="_-&quot;£&quot;* #,##0_-;\-&quot;£&quot;* #,##0_-;_-&quot;£&quot;* &quot;-&quot;??_-;_-@_-"/>
    <numFmt numFmtId="173" formatCode="#,##0.000"/>
    <numFmt numFmtId="174" formatCode="_-* #,##0.00_-;\-* #,##0.00_-;_-* &quot;-&quot;?_-;_-@_-"/>
    <numFmt numFmtId="175" formatCode="_-* #,##0.000_-;\-* #,##0.000_-;_-* &quot;-&quot;??_-;_-@_-"/>
  </numFmts>
  <fonts count="87" x14ac:knownFonts="1">
    <font>
      <sz val="11"/>
      <color theme="1"/>
      <name val="Calibri"/>
      <family val="2"/>
      <scheme val="minor"/>
    </font>
    <font>
      <sz val="11"/>
      <color theme="1"/>
      <name val="Calibri"/>
      <family val="2"/>
      <scheme val="minor"/>
    </font>
    <font>
      <b/>
      <sz val="10"/>
      <color rgb="FFFFFFFF"/>
      <name val="Calibri"/>
      <family val="2"/>
      <scheme val="minor"/>
    </font>
    <font>
      <sz val="10"/>
      <color rgb="FF636363"/>
      <name val="Calibri"/>
      <family val="2"/>
      <scheme val="minor"/>
    </font>
    <font>
      <b/>
      <vertAlign val="subscript"/>
      <sz val="10"/>
      <color rgb="FFFFFFFF"/>
      <name val="Calibri"/>
      <family val="2"/>
      <scheme val="minor"/>
    </font>
    <font>
      <i/>
      <sz val="10"/>
      <color rgb="FF636363"/>
      <name val="Calibri"/>
      <family val="2"/>
      <scheme val="minor"/>
    </font>
    <font>
      <sz val="10"/>
      <name val="Arial"/>
      <family val="2"/>
    </font>
    <font>
      <b/>
      <sz val="10"/>
      <color rgb="FF636363"/>
      <name val="Calibri"/>
      <family val="2"/>
      <scheme val="minor"/>
    </font>
    <font>
      <b/>
      <sz val="10"/>
      <color theme="0"/>
      <name val="Calibri"/>
      <family val="2"/>
      <scheme val="minor"/>
    </font>
    <font>
      <sz val="10"/>
      <name val="Calibri"/>
      <family val="2"/>
      <scheme val="minor"/>
    </font>
    <font>
      <sz val="11"/>
      <color rgb="FF636363"/>
      <name val="Calibri"/>
      <family val="2"/>
      <scheme val="minor"/>
    </font>
    <font>
      <i/>
      <sz val="10"/>
      <color rgb="FF0599C7"/>
      <name val="Calibri"/>
      <family val="2"/>
      <scheme val="minor"/>
    </font>
    <font>
      <b/>
      <sz val="12"/>
      <color rgb="FF636363"/>
      <name val="Calibri"/>
      <family val="2"/>
      <scheme val="minor"/>
    </font>
    <font>
      <b/>
      <sz val="11"/>
      <color theme="1"/>
      <name val="Calibri"/>
      <family val="2"/>
      <scheme val="minor"/>
    </font>
    <font>
      <sz val="11"/>
      <color theme="1" tint="0.499984740745262"/>
      <name val="Calibri"/>
      <family val="2"/>
      <scheme val="minor"/>
    </font>
    <font>
      <b/>
      <sz val="11"/>
      <color theme="1" tint="0.34998626667073579"/>
      <name val="Calibri"/>
      <family val="2"/>
      <scheme val="minor"/>
    </font>
    <font>
      <b/>
      <sz val="11"/>
      <color rgb="FFFFFFFF"/>
      <name val="Calibri"/>
      <family val="2"/>
      <scheme val="minor"/>
    </font>
    <font>
      <b/>
      <vertAlign val="subscript"/>
      <sz val="10"/>
      <color theme="0"/>
      <name val="Calibri"/>
      <family val="2"/>
      <scheme val="minor"/>
    </font>
    <font>
      <sz val="11"/>
      <color rgb="FFFF0000"/>
      <name val="Calibri"/>
      <family val="2"/>
      <scheme val="minor"/>
    </font>
    <font>
      <sz val="11"/>
      <name val="Calibri"/>
      <family val="2"/>
      <scheme val="minor"/>
    </font>
    <font>
      <sz val="8"/>
      <name val="Calibri"/>
      <family val="2"/>
      <scheme val="minor"/>
    </font>
    <font>
      <b/>
      <sz val="14"/>
      <color theme="1"/>
      <name val="Calibri"/>
      <family val="2"/>
      <scheme val="minor"/>
    </font>
    <font>
      <b/>
      <sz val="10"/>
      <name val="Calibri"/>
      <family val="2"/>
      <scheme val="minor"/>
    </font>
    <font>
      <b/>
      <sz val="12"/>
      <color theme="1"/>
      <name val="Calibri"/>
      <family val="2"/>
      <scheme val="minor"/>
    </font>
    <font>
      <sz val="11"/>
      <color theme="0"/>
      <name val="Calibri"/>
      <family val="2"/>
      <scheme val="minor"/>
    </font>
    <font>
      <b/>
      <sz val="14"/>
      <color rgb="FF636363"/>
      <name val="Calibri"/>
      <family val="2"/>
      <scheme val="minor"/>
    </font>
    <font>
      <b/>
      <sz val="16"/>
      <color rgb="FF636363"/>
      <name val="Calibri"/>
      <family val="2"/>
      <scheme val="minor"/>
    </font>
    <font>
      <b/>
      <i/>
      <sz val="14"/>
      <color rgb="FF0599C7"/>
      <name val="Calibri"/>
      <family val="2"/>
      <scheme val="minor"/>
    </font>
    <font>
      <sz val="10"/>
      <color theme="1"/>
      <name val="Arial"/>
      <family val="2"/>
    </font>
    <font>
      <u/>
      <sz val="11"/>
      <color indexed="12"/>
      <name val="Calibri"/>
      <family val="2"/>
    </font>
    <font>
      <u/>
      <sz val="10"/>
      <color indexed="12"/>
      <name val="Arial"/>
      <family val="2"/>
    </font>
    <font>
      <i/>
      <sz val="10"/>
      <name val="Calibri"/>
      <family val="2"/>
      <scheme val="minor"/>
    </font>
    <font>
      <b/>
      <i/>
      <sz val="10"/>
      <name val="Calibri"/>
      <family val="2"/>
      <scheme val="minor"/>
    </font>
    <font>
      <sz val="11"/>
      <color rgb="FF000000"/>
      <name val="Calibri"/>
      <family val="2"/>
      <scheme val="minor"/>
    </font>
    <font>
      <b/>
      <sz val="11"/>
      <color theme="0"/>
      <name val="Calibri"/>
      <family val="2"/>
      <scheme val="minor"/>
    </font>
    <font>
      <b/>
      <sz val="11"/>
      <color rgb="FF00B0F0"/>
      <name val="Calibri"/>
      <family val="2"/>
      <scheme val="minor"/>
    </font>
    <font>
      <sz val="11"/>
      <color rgb="FF00B0F0"/>
      <name val="Calibri"/>
      <family val="2"/>
      <scheme val="minor"/>
    </font>
    <font>
      <sz val="10"/>
      <color theme="0" tint="-0.249977111117893"/>
      <name val="Calibri"/>
      <family val="2"/>
      <scheme val="minor"/>
    </font>
    <font>
      <b/>
      <sz val="11"/>
      <color rgb="FF636363"/>
      <name val="Calibri"/>
      <family val="2"/>
      <scheme val="minor"/>
    </font>
    <font>
      <vertAlign val="subscript"/>
      <sz val="11"/>
      <color rgb="FF636363"/>
      <name val="Calibri"/>
      <family val="2"/>
      <scheme val="minor"/>
    </font>
    <font>
      <b/>
      <sz val="12"/>
      <color theme="1" tint="0.499984740745262"/>
      <name val="Calibri"/>
      <family val="2"/>
      <scheme val="minor"/>
    </font>
    <font>
      <sz val="11"/>
      <color theme="2" tint="-0.499984740745262"/>
      <name val="Calibri"/>
      <family val="2"/>
      <scheme val="minor"/>
    </font>
    <font>
      <i/>
      <sz val="11"/>
      <color theme="1"/>
      <name val="Calibri"/>
      <family val="2"/>
      <scheme val="minor"/>
    </font>
    <font>
      <u/>
      <sz val="11"/>
      <color theme="10"/>
      <name val="Calibri"/>
      <family val="2"/>
      <scheme val="minor"/>
    </font>
    <font>
      <b/>
      <sz val="11"/>
      <color theme="2" tint="-0.499984740745262"/>
      <name val="Calibri"/>
      <family val="2"/>
      <scheme val="minor"/>
    </font>
    <font>
      <b/>
      <i/>
      <sz val="11"/>
      <color rgb="FF0599C7"/>
      <name val="Calibri"/>
      <family val="2"/>
      <scheme val="minor"/>
    </font>
    <font>
      <sz val="11"/>
      <color theme="1" tint="0.34998626667073579"/>
      <name val="Calibri"/>
      <family val="2"/>
      <scheme val="minor"/>
    </font>
    <font>
      <b/>
      <sz val="11"/>
      <color theme="1" tint="0.499984740745262"/>
      <name val="Calibri"/>
      <family val="2"/>
      <scheme val="minor"/>
    </font>
    <font>
      <b/>
      <sz val="11"/>
      <name val="Calibri"/>
      <family val="2"/>
      <scheme val="minor"/>
    </font>
    <font>
      <b/>
      <sz val="11"/>
      <color theme="4"/>
      <name val="Calibri"/>
      <family val="2"/>
      <scheme val="minor"/>
    </font>
    <font>
      <sz val="10"/>
      <color theme="6" tint="-0.249977111117893"/>
      <name val="Calibri"/>
      <family val="2"/>
      <scheme val="minor"/>
    </font>
    <font>
      <b/>
      <sz val="11"/>
      <color theme="6" tint="-0.249977111117893"/>
      <name val="Calibri"/>
      <family val="2"/>
      <scheme val="minor"/>
    </font>
    <font>
      <sz val="11"/>
      <color theme="1"/>
      <name val="Calibri"/>
      <family val="2"/>
      <scheme val="minor"/>
    </font>
    <font>
      <sz val="11"/>
      <name val="Calibri"/>
      <family val="2"/>
      <scheme val="minor"/>
    </font>
    <font>
      <sz val="10"/>
      <color rgb="FF636363"/>
      <name val="Calibri"/>
      <family val="2"/>
      <scheme val="minor"/>
    </font>
    <font>
      <sz val="10"/>
      <name val="Calibri"/>
      <family val="2"/>
      <scheme val="minor"/>
    </font>
    <font>
      <i/>
      <sz val="10"/>
      <name val="Calibri"/>
      <family val="2"/>
      <scheme val="minor"/>
    </font>
    <font>
      <b/>
      <sz val="14"/>
      <color theme="1" tint="0.499984740745262"/>
      <name val="Calibri"/>
      <family val="2"/>
      <scheme val="minor"/>
    </font>
    <font>
      <b/>
      <sz val="20"/>
      <color theme="1" tint="0.499984740745262"/>
      <name val="Calibri"/>
      <family val="2"/>
      <scheme val="minor"/>
    </font>
    <font>
      <u/>
      <sz val="14"/>
      <color theme="10"/>
      <name val="Calibri"/>
      <family val="2"/>
      <scheme val="minor"/>
    </font>
    <font>
      <b/>
      <vertAlign val="subscript"/>
      <sz val="11"/>
      <color rgb="FFFFFFFF"/>
      <name val="Calibri"/>
      <family val="2"/>
      <scheme val="minor"/>
    </font>
    <font>
      <b/>
      <vertAlign val="subscript"/>
      <sz val="12"/>
      <color rgb="FF636363"/>
      <name val="Calibri"/>
      <family val="2"/>
      <scheme val="minor"/>
    </font>
    <font>
      <sz val="10"/>
      <color theme="1"/>
      <name val="Calibri"/>
      <family val="2"/>
      <scheme val="minor"/>
    </font>
    <font>
      <b/>
      <sz val="11"/>
      <color rgb="FFFF0000"/>
      <name val="Calibri"/>
      <family val="2"/>
      <scheme val="minor"/>
    </font>
    <font>
      <b/>
      <vertAlign val="subscript"/>
      <sz val="10"/>
      <color theme="0"/>
      <name val="Arial"/>
      <family val="2"/>
    </font>
    <font>
      <b/>
      <sz val="10"/>
      <color theme="0"/>
      <name val="Arial"/>
      <family val="2"/>
    </font>
    <font>
      <sz val="18"/>
      <color theme="3"/>
      <name val="Calibri Light"/>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0"/>
      <color theme="9" tint="-0.499984740745262"/>
      <name val="Arial"/>
      <family val="2"/>
    </font>
    <font>
      <i/>
      <sz val="10"/>
      <color rgb="FFFF0000"/>
      <name val="Arial"/>
      <family val="2"/>
    </font>
    <font>
      <u/>
      <sz val="10"/>
      <color theme="11"/>
      <name val="Arial"/>
      <family val="2"/>
    </font>
    <font>
      <sz val="11"/>
      <color theme="1"/>
      <name val="Arial"/>
      <family val="2"/>
    </font>
    <font>
      <sz val="10"/>
      <color theme="2" tint="-0.499984740745262"/>
      <name val="Calibri"/>
      <family val="2"/>
      <scheme val="minor"/>
    </font>
    <font>
      <sz val="9"/>
      <color theme="0" tint="-0.34998626667073579"/>
      <name val="Calibri"/>
      <family val="2"/>
      <scheme val="minor"/>
    </font>
    <font>
      <sz val="10"/>
      <name val="Calibri"/>
      <family val="2"/>
      <scheme val="minor"/>
    </font>
    <font>
      <sz val="10"/>
      <color rgb="FFFF0000"/>
      <name val="Calibri"/>
      <family val="2"/>
      <scheme val="minor"/>
    </font>
    <font>
      <u/>
      <sz val="11"/>
      <color rgb="FF636363"/>
      <name val="Calibri"/>
      <family val="2"/>
      <scheme val="minor"/>
    </font>
    <font>
      <b/>
      <sz val="10"/>
      <color rgb="FFFFFFFF"/>
      <name val="Calibri"/>
      <family val="2"/>
      <scheme val="minor"/>
    </font>
    <font>
      <i/>
      <sz val="10"/>
      <name val="Calibri"/>
      <family val="2"/>
      <scheme val="minor"/>
    </font>
    <font>
      <sz val="10"/>
      <color rgb="FFC00000"/>
      <name val="Calibri"/>
      <family val="2"/>
      <scheme val="minor"/>
    </font>
    <font>
      <sz val="11"/>
      <name val="Calibri"/>
      <family val="2"/>
      <scheme val="minor"/>
    </font>
    <font>
      <sz val="11"/>
      <color theme="2" tint="-0.249977111117893"/>
      <name val="Calibri"/>
      <family val="2"/>
      <scheme val="minor"/>
    </font>
    <font>
      <sz val="12"/>
      <color theme="1"/>
      <name val="Arial"/>
      <family val="2"/>
    </font>
    <font>
      <sz val="12"/>
      <color rgb="FF000000"/>
      <name val="Aptos"/>
      <family val="2"/>
    </font>
    <font>
      <sz val="11"/>
      <color theme="9" tint="-0.499984740745262"/>
      <name val="Calibri"/>
      <family val="2"/>
      <scheme val="minor"/>
    </font>
  </fonts>
  <fills count="70">
    <fill>
      <patternFill patternType="none"/>
    </fill>
    <fill>
      <patternFill patternType="gray125"/>
    </fill>
    <fill>
      <patternFill patternType="solid">
        <fgColor rgb="FF0599C7"/>
        <bgColor indexed="64"/>
      </patternFill>
    </fill>
    <fill>
      <patternFill patternType="solid">
        <fgColor rgb="FFF2F2F2"/>
        <bgColor indexed="64"/>
      </patternFill>
    </fill>
    <fill>
      <patternFill patternType="darkUp">
        <bgColor rgb="FFF2F2F2"/>
      </patternFill>
    </fill>
    <fill>
      <patternFill patternType="solid">
        <fgColor rgb="FFCBCBCB"/>
        <bgColor indexed="64"/>
      </patternFill>
    </fill>
    <fill>
      <patternFill patternType="solid">
        <fgColor rgb="FF70DBFC"/>
        <bgColor indexed="64"/>
      </patternFill>
    </fill>
    <fill>
      <patternFill patternType="solid">
        <fgColor rgb="FF9FC3CD"/>
        <bgColor indexed="64"/>
      </patternFill>
    </fill>
    <fill>
      <patternFill patternType="solid">
        <fgColor theme="5" tint="0.59999389629810485"/>
        <bgColor indexed="64"/>
      </patternFill>
    </fill>
    <fill>
      <patternFill patternType="solid">
        <fgColor theme="0" tint="-0.34998626667073579"/>
        <bgColor indexed="64"/>
      </patternFill>
    </fill>
    <fill>
      <patternFill patternType="solid">
        <fgColor theme="4"/>
        <bgColor indexed="64"/>
      </patternFill>
    </fill>
    <fill>
      <patternFill patternType="solid">
        <fgColor theme="8"/>
        <bgColor indexed="64"/>
      </patternFill>
    </fill>
    <fill>
      <patternFill patternType="solid">
        <fgColor theme="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theme="6" tint="0.59999389629810485"/>
        <bgColor indexed="64"/>
      </patternFill>
    </fill>
    <fill>
      <patternFill patternType="lightUp">
        <bgColor theme="6" tint="0.59999389629810485"/>
      </patternFill>
    </fill>
    <fill>
      <patternFill patternType="solid">
        <fgColor rgb="FF00B050"/>
        <bgColor indexed="64"/>
      </patternFill>
    </fill>
    <fill>
      <patternFill patternType="solid">
        <fgColor theme="7"/>
        <bgColor indexed="64"/>
      </patternFill>
    </fill>
    <fill>
      <patternFill patternType="solid">
        <fgColor rgb="FFA6A6A6"/>
        <bgColor indexed="64"/>
      </patternFill>
    </fill>
    <fill>
      <patternFill patternType="solid">
        <fgColor theme="6" tint="-0.249977111117893"/>
        <bgColor indexed="64"/>
      </patternFill>
    </fill>
    <fill>
      <patternFill patternType="solid">
        <fgColor rgb="FF27CCF9"/>
        <bgColor indexed="64"/>
      </patternFill>
    </fill>
    <fill>
      <patternFill patternType="darkUp">
        <bgColor theme="2" tint="-0.249977111117893"/>
      </patternFill>
    </fill>
    <fill>
      <patternFill patternType="darkUp">
        <bgColor rgb="FF9FC3CD"/>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
      <patternFill patternType="solid">
        <fgColor rgb="FFCC99FF"/>
        <bgColor indexed="64"/>
      </patternFill>
    </fill>
    <fill>
      <patternFill patternType="solid">
        <fgColor theme="7" tint="0.39997558519241921"/>
        <bgColor rgb="FF000000"/>
      </patternFill>
    </fill>
    <fill>
      <patternFill patternType="solid">
        <fgColor rgb="FFFFFF99"/>
        <bgColor indexed="64"/>
      </patternFill>
    </fill>
    <fill>
      <patternFill patternType="solid">
        <fgColor rgb="FFFFFF99"/>
        <bgColor rgb="FF000000"/>
      </patternFill>
    </fill>
    <fill>
      <patternFill patternType="solid">
        <fgColor rgb="FF002060"/>
        <bgColor indexed="64"/>
      </patternFill>
    </fill>
    <fill>
      <patternFill patternType="solid">
        <fgColor theme="4" tint="0.79998168889431442"/>
        <bgColor rgb="FF000000"/>
      </patternFill>
    </fill>
    <fill>
      <patternFill patternType="solid">
        <fgColor rgb="FFFF00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6" tint="0.79998168889431442"/>
        <bgColor indexed="64"/>
      </patternFill>
    </fill>
  </fills>
  <borders count="130">
    <border>
      <left/>
      <right/>
      <top/>
      <bottom/>
      <diagonal/>
    </border>
    <border>
      <left style="thin">
        <color theme="0"/>
      </left>
      <right style="thin">
        <color theme="0"/>
      </right>
      <top style="thin">
        <color theme="0"/>
      </top>
      <bottom style="thin">
        <color theme="0"/>
      </bottom>
      <diagonal/>
    </border>
    <border>
      <left style="medium">
        <color rgb="FFFFFFFF"/>
      </left>
      <right style="medium">
        <color rgb="FFFFFFFF"/>
      </right>
      <top style="medium">
        <color rgb="FFFFFFFF"/>
      </top>
      <bottom style="medium">
        <color rgb="FFFFFFFF"/>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right style="medium">
        <color rgb="FFFFFFFF"/>
      </right>
      <top/>
      <bottom style="medium">
        <color rgb="FFFFFFFF"/>
      </bottom>
      <diagonal/>
    </border>
    <border>
      <left style="medium">
        <color rgb="FFFFFFFF"/>
      </left>
      <right/>
      <top style="medium">
        <color rgb="FFFFFFFF"/>
      </top>
      <bottom style="medium">
        <color rgb="FFFFFFFF"/>
      </bottom>
      <diagonal/>
    </border>
    <border>
      <left/>
      <right/>
      <top style="medium">
        <color rgb="FFFFFFFF"/>
      </top>
      <bottom style="medium">
        <color rgb="FFFFFFFF"/>
      </bottom>
      <diagonal/>
    </border>
    <border>
      <left style="medium">
        <color rgb="FFFFFFFF"/>
      </left>
      <right style="medium">
        <color rgb="FFFFFFFF"/>
      </right>
      <top style="medium">
        <color rgb="FFFFFFFF"/>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style="thin">
        <color theme="0"/>
      </left>
      <right style="thin">
        <color theme="0"/>
      </right>
      <top style="thin">
        <color theme="0"/>
      </top>
      <bottom/>
      <diagonal/>
    </border>
    <border>
      <left style="thin">
        <color theme="0"/>
      </left>
      <right/>
      <top style="medium">
        <color theme="0" tint="-0.34998626667073579"/>
      </top>
      <bottom style="thin">
        <color theme="0"/>
      </bottom>
      <diagonal/>
    </border>
    <border>
      <left/>
      <right/>
      <top style="medium">
        <color theme="0" tint="-0.34998626667073579"/>
      </top>
      <bottom style="thin">
        <color theme="0"/>
      </bottom>
      <diagonal/>
    </border>
    <border>
      <left/>
      <right style="thin">
        <color theme="0"/>
      </right>
      <top style="medium">
        <color theme="0" tint="-0.34998626667073579"/>
      </top>
      <bottom style="thin">
        <color theme="0"/>
      </bottom>
      <diagonal/>
    </border>
    <border>
      <left style="thin">
        <color theme="0"/>
      </left>
      <right/>
      <top style="thin">
        <color theme="0"/>
      </top>
      <bottom style="medium">
        <color theme="0" tint="-0.34998626667073579"/>
      </bottom>
      <diagonal/>
    </border>
    <border>
      <left/>
      <right/>
      <top style="thin">
        <color theme="0"/>
      </top>
      <bottom style="medium">
        <color theme="0" tint="-0.34998626667073579"/>
      </bottom>
      <diagonal/>
    </border>
    <border>
      <left/>
      <right style="thin">
        <color theme="0"/>
      </right>
      <top style="thin">
        <color theme="0"/>
      </top>
      <bottom style="medium">
        <color theme="0" tint="-0.34998626667073579"/>
      </bottom>
      <diagonal/>
    </border>
    <border>
      <left style="medium">
        <color rgb="FFFFFFFF"/>
      </left>
      <right style="medium">
        <color rgb="FFFFFFFF"/>
      </right>
      <top style="medium">
        <color rgb="FFFFFFFF"/>
      </top>
      <bottom style="medium">
        <color theme="1" tint="0.34998626667073579"/>
      </bottom>
      <diagonal/>
    </border>
    <border>
      <left/>
      <right style="medium">
        <color rgb="FFFFFFFF"/>
      </right>
      <top style="medium">
        <color rgb="FFFFFFFF"/>
      </top>
      <bottom style="medium">
        <color theme="1" tint="0.34998626667073579"/>
      </bottom>
      <diagonal/>
    </border>
    <border>
      <left style="thin">
        <color theme="0"/>
      </left>
      <right style="thin">
        <color theme="0"/>
      </right>
      <top style="thin">
        <color theme="0"/>
      </top>
      <bottom style="medium">
        <color theme="1" tint="0.34998626667073579"/>
      </bottom>
      <diagonal/>
    </border>
    <border>
      <left style="medium">
        <color rgb="FFFFFFFF"/>
      </left>
      <right/>
      <top/>
      <bottom/>
      <diagonal/>
    </border>
    <border>
      <left/>
      <right style="thin">
        <color theme="0"/>
      </right>
      <top/>
      <bottom/>
      <diagonal/>
    </border>
    <border>
      <left style="medium">
        <color rgb="FFFFFFFF"/>
      </left>
      <right/>
      <top/>
      <bottom style="medium">
        <color rgb="FFFFFFFF"/>
      </bottom>
      <diagonal/>
    </border>
    <border>
      <left style="medium">
        <color rgb="FFFFFFFF"/>
      </left>
      <right/>
      <top style="medium">
        <color rgb="FFFFFFFF"/>
      </top>
      <bottom/>
      <diagonal/>
    </border>
    <border>
      <left/>
      <right/>
      <top style="medium">
        <color rgb="FFFFFFFF"/>
      </top>
      <bottom/>
      <diagonal/>
    </border>
    <border>
      <left style="medium">
        <color rgb="FFFFFFFF"/>
      </left>
      <right/>
      <top style="medium">
        <color rgb="FFFFFFFF"/>
      </top>
      <bottom style="medium">
        <color theme="1" tint="0.34998626667073579"/>
      </bottom>
      <diagonal/>
    </border>
    <border>
      <left style="medium">
        <color rgb="FFFFFFFF"/>
      </left>
      <right/>
      <top style="medium">
        <color theme="1" tint="0.34998626667073579"/>
      </top>
      <bottom style="medium">
        <color rgb="FFFFFFFF"/>
      </bottom>
      <diagonal/>
    </border>
    <border>
      <left/>
      <right style="medium">
        <color rgb="FFFFFFFF"/>
      </right>
      <top style="medium">
        <color theme="1" tint="0.34998626667073579"/>
      </top>
      <bottom style="medium">
        <color rgb="FFFFFFFF"/>
      </bottom>
      <diagonal/>
    </border>
    <border>
      <left style="medium">
        <color rgb="FFFFFFFF"/>
      </left>
      <right/>
      <top style="thin">
        <color theme="0"/>
      </top>
      <bottom style="medium">
        <color theme="1" tint="0.34998626667073579"/>
      </bottom>
      <diagonal/>
    </border>
    <border>
      <left style="medium">
        <color rgb="FFFFFFFF"/>
      </left>
      <right style="medium">
        <color theme="0"/>
      </right>
      <top style="thin">
        <color theme="0"/>
      </top>
      <bottom style="medium">
        <color theme="0"/>
      </bottom>
      <diagonal/>
    </border>
    <border>
      <left style="thin">
        <color theme="0"/>
      </left>
      <right/>
      <top/>
      <bottom style="medium">
        <color rgb="FFFFFFFF"/>
      </bottom>
      <diagonal/>
    </border>
    <border>
      <left/>
      <right/>
      <top/>
      <bottom style="medium">
        <color rgb="FFFFFFFF"/>
      </bottom>
      <diagonal/>
    </border>
    <border>
      <left/>
      <right/>
      <top style="thin">
        <color theme="0"/>
      </top>
      <bottom/>
      <diagonal/>
    </border>
    <border>
      <left style="medium">
        <color rgb="FFFFFFFF"/>
      </left>
      <right style="medium">
        <color theme="0"/>
      </right>
      <top style="medium">
        <color rgb="FFFFFFFF"/>
      </top>
      <bottom style="medium">
        <color rgb="FFFFFFFF"/>
      </bottom>
      <diagonal/>
    </border>
    <border>
      <left style="medium">
        <color theme="0"/>
      </left>
      <right/>
      <top style="medium">
        <color rgb="FFFFFFFF"/>
      </top>
      <bottom style="medium">
        <color rgb="FFFFFFFF"/>
      </bottom>
      <diagonal/>
    </border>
    <border>
      <left/>
      <right style="medium">
        <color rgb="FFFFFFFF"/>
      </right>
      <top/>
      <bottom/>
      <diagonal/>
    </border>
    <border>
      <left style="thin">
        <color theme="0"/>
      </left>
      <right style="medium">
        <color theme="0"/>
      </right>
      <top style="medium">
        <color theme="1" tint="0.34998626667073579"/>
      </top>
      <bottom/>
      <diagonal/>
    </border>
    <border>
      <left style="medium">
        <color rgb="FFFFFFFF"/>
      </left>
      <right style="medium">
        <color theme="0"/>
      </right>
      <top style="medium">
        <color theme="1" tint="0.34998626667073579"/>
      </top>
      <bottom/>
      <diagonal/>
    </border>
    <border>
      <left style="thin">
        <color theme="0"/>
      </left>
      <right style="thin">
        <color theme="0"/>
      </right>
      <top/>
      <bottom style="thin">
        <color theme="0"/>
      </bottom>
      <diagonal/>
    </border>
    <border>
      <left style="medium">
        <color theme="0"/>
      </left>
      <right style="medium">
        <color theme="0"/>
      </right>
      <top style="medium">
        <color theme="0"/>
      </top>
      <bottom style="medium">
        <color theme="0"/>
      </bottom>
      <diagonal/>
    </border>
    <border>
      <left/>
      <right style="thin">
        <color theme="0"/>
      </right>
      <top style="thin">
        <color theme="0"/>
      </top>
      <bottom/>
      <diagonal/>
    </border>
    <border>
      <left style="medium">
        <color rgb="FFFFFFFF"/>
      </left>
      <right/>
      <top style="thin">
        <color theme="0"/>
      </top>
      <bottom style="medium">
        <color rgb="FFFFFFFF"/>
      </bottom>
      <diagonal/>
    </border>
    <border>
      <left/>
      <right/>
      <top style="thin">
        <color theme="0"/>
      </top>
      <bottom style="medium">
        <color rgb="FFFFFFFF"/>
      </bottom>
      <diagonal/>
    </border>
    <border>
      <left/>
      <right style="thin">
        <color theme="0"/>
      </right>
      <top style="thin">
        <color theme="0"/>
      </top>
      <bottom style="medium">
        <color rgb="FFFFFFFF"/>
      </bottom>
      <diagonal/>
    </border>
    <border>
      <left/>
      <right style="medium">
        <color theme="0"/>
      </right>
      <top style="medium">
        <color theme="0"/>
      </top>
      <bottom style="medium">
        <color theme="0"/>
      </bottom>
      <diagonal/>
    </border>
    <border>
      <left/>
      <right style="medium">
        <color rgb="FFFFFFFF"/>
      </right>
      <top style="medium">
        <color rgb="FFFFFFFF"/>
      </top>
      <bottom/>
      <diagonal/>
    </border>
    <border>
      <left style="medium">
        <color theme="0"/>
      </left>
      <right style="medium">
        <color theme="0"/>
      </right>
      <top style="medium">
        <color theme="0"/>
      </top>
      <bottom/>
      <diagonal/>
    </border>
    <border>
      <left style="medium">
        <color rgb="FFFFFFFF"/>
      </left>
      <right/>
      <top style="medium">
        <color theme="1" tint="0.34998626667073579"/>
      </top>
      <bottom/>
      <diagonal/>
    </border>
    <border>
      <left style="medium">
        <color rgb="FFFFFFFF"/>
      </left>
      <right style="medium">
        <color theme="0"/>
      </right>
      <top style="medium">
        <color rgb="FFFFFFFF"/>
      </top>
      <bottom/>
      <diagonal/>
    </border>
    <border>
      <left style="medium">
        <color theme="0"/>
      </left>
      <right/>
      <top style="medium">
        <color rgb="FFFFFFFF"/>
      </top>
      <bottom/>
      <diagonal/>
    </border>
    <border>
      <left style="medium">
        <color rgb="FFFFFFFF"/>
      </left>
      <right/>
      <top style="thin">
        <color theme="0"/>
      </top>
      <bottom/>
      <diagonal/>
    </border>
    <border>
      <left/>
      <right style="medium">
        <color rgb="FFFFFFFF"/>
      </right>
      <top style="medium">
        <color rgb="FFFFFFFF"/>
      </top>
      <bottom style="thin">
        <color theme="0"/>
      </bottom>
      <diagonal/>
    </border>
    <border>
      <left style="medium">
        <color rgb="FFFFFFFF"/>
      </left>
      <right style="medium">
        <color theme="0"/>
      </right>
      <top/>
      <bottom/>
      <diagonal/>
    </border>
    <border>
      <left style="thin">
        <color theme="0"/>
      </left>
      <right style="medium">
        <color rgb="FFFFFFFF"/>
      </right>
      <top style="medium">
        <color rgb="FFFFFFFF"/>
      </top>
      <bottom style="thin">
        <color theme="0"/>
      </bottom>
      <diagonal/>
    </border>
    <border>
      <left/>
      <right/>
      <top style="medium">
        <color rgb="FFFFFFFF"/>
      </top>
      <bottom style="thin">
        <color theme="0"/>
      </bottom>
      <diagonal/>
    </border>
    <border>
      <left style="medium">
        <color rgb="FFFFFFFF"/>
      </left>
      <right style="medium">
        <color rgb="FFFFFFFF"/>
      </right>
      <top/>
      <bottom/>
      <diagonal/>
    </border>
    <border>
      <left style="medium">
        <color rgb="FFFFFFFF"/>
      </left>
      <right style="medium">
        <color rgb="FFFFFFFF"/>
      </right>
      <top style="thin">
        <color theme="4" tint="0.39997558519241921"/>
      </top>
      <bottom style="medium">
        <color rgb="FFFFFFFF"/>
      </bottom>
      <diagonal/>
    </border>
    <border>
      <left/>
      <right style="thin">
        <color theme="0"/>
      </right>
      <top/>
      <bottom style="medium">
        <color rgb="FFFFFFFF"/>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top/>
      <bottom style="medium">
        <color theme="3"/>
      </bottom>
      <diagonal/>
    </border>
    <border>
      <left style="medium">
        <color theme="0"/>
      </left>
      <right/>
      <top/>
      <bottom/>
      <diagonal/>
    </border>
    <border>
      <left/>
      <right style="medium">
        <color theme="0"/>
      </right>
      <top style="thin">
        <color theme="0"/>
      </top>
      <bottom style="medium">
        <color theme="0" tint="-0.34998626667073579"/>
      </bottom>
      <diagonal/>
    </border>
    <border>
      <left style="thin">
        <color theme="0"/>
      </left>
      <right/>
      <top/>
      <bottom style="medium">
        <color theme="0" tint="-0.34998626667073579"/>
      </bottom>
      <diagonal/>
    </border>
    <border>
      <left/>
      <right/>
      <top/>
      <bottom style="medium">
        <color theme="0" tint="-0.34998626667073579"/>
      </bottom>
      <diagonal/>
    </border>
    <border>
      <left style="thin">
        <color theme="0"/>
      </left>
      <right style="thin">
        <color theme="0"/>
      </right>
      <top/>
      <bottom/>
      <diagonal/>
    </border>
    <border>
      <left style="medium">
        <color theme="2" tint="-0.499984740745262"/>
      </left>
      <right style="medium">
        <color theme="2" tint="-0.499984740745262"/>
      </right>
      <top style="medium">
        <color theme="2" tint="-0.499984740745262"/>
      </top>
      <bottom style="medium">
        <color theme="2" tint="-0.499984740745262"/>
      </bottom>
      <diagonal/>
    </border>
    <border>
      <left style="thin">
        <color theme="0"/>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right style="thin">
        <color theme="0"/>
      </right>
      <top style="medium">
        <color theme="0" tint="-0.34998626667073579"/>
      </top>
      <bottom style="medium">
        <color theme="0" tint="-0.34998626667073579"/>
      </bottom>
      <diagonal/>
    </border>
    <border>
      <left style="medium">
        <color theme="0"/>
      </left>
      <right style="medium">
        <color rgb="FFFFFFFF"/>
      </right>
      <top style="medium">
        <color rgb="FFFFFFFF"/>
      </top>
      <bottom style="medium">
        <color rgb="FFFFFFFF"/>
      </bottom>
      <diagonal/>
    </border>
    <border>
      <left style="medium">
        <color theme="0"/>
      </left>
      <right style="medium">
        <color theme="0"/>
      </right>
      <top style="medium">
        <color rgb="FFFFFFFF"/>
      </top>
      <bottom style="medium">
        <color rgb="FFFFFFFF"/>
      </bottom>
      <diagonal/>
    </border>
    <border>
      <left style="medium">
        <color theme="0"/>
      </left>
      <right style="medium">
        <color rgb="FFFFFFFF"/>
      </right>
      <top style="medium">
        <color rgb="FFFFFFFF"/>
      </top>
      <bottom style="medium">
        <color theme="1" tint="0.34998626667073579"/>
      </bottom>
      <diagonal/>
    </border>
    <border>
      <left style="medium">
        <color rgb="FFFFFFFF"/>
      </left>
      <right style="medium">
        <color theme="0"/>
      </right>
      <top style="medium">
        <color rgb="FFFFFFFF"/>
      </top>
      <bottom style="medium">
        <color theme="1" tint="0.34998626667073579"/>
      </bottom>
      <diagonal/>
    </border>
    <border>
      <left style="medium">
        <color theme="0"/>
      </left>
      <right style="medium">
        <color rgb="FFFFFFFF"/>
      </right>
      <top/>
      <bottom style="medium">
        <color rgb="FFFFFFF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theme="0"/>
      </left>
      <right/>
      <top style="thin">
        <color theme="0"/>
      </top>
      <bottom style="medium">
        <color rgb="FFFFFFFF"/>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medium">
        <color theme="0"/>
      </left>
      <right style="medium">
        <color theme="0"/>
      </right>
      <top style="medium">
        <color theme="0"/>
      </top>
      <bottom style="thin">
        <color theme="0"/>
      </bottom>
      <diagonal/>
    </border>
    <border>
      <left style="medium">
        <color theme="0"/>
      </left>
      <right style="medium">
        <color theme="0"/>
      </right>
      <top style="thin">
        <color theme="0"/>
      </top>
      <bottom style="thin">
        <color theme="0"/>
      </bottom>
      <diagonal/>
    </border>
    <border>
      <left style="medium">
        <color theme="0"/>
      </left>
      <right style="medium">
        <color theme="0"/>
      </right>
      <top style="thin">
        <color theme="0"/>
      </top>
      <bottom style="medium">
        <color theme="0"/>
      </bottom>
      <diagonal/>
    </border>
    <border>
      <left style="medium">
        <color rgb="FFFFFFFF"/>
      </left>
      <right style="thin">
        <color theme="0"/>
      </right>
      <top style="medium">
        <color rgb="FFFFFFFF"/>
      </top>
      <bottom style="medium">
        <color rgb="FFFFFFFF"/>
      </bottom>
      <diagonal/>
    </border>
    <border>
      <left style="medium">
        <color theme="0"/>
      </left>
      <right style="medium">
        <color theme="0"/>
      </right>
      <top style="medium">
        <color rgb="FFFFFFFF"/>
      </top>
      <bottom/>
      <diagonal/>
    </border>
    <border>
      <left style="medium">
        <color theme="0"/>
      </left>
      <right style="thin">
        <color theme="0"/>
      </right>
      <top style="thin">
        <color theme="0"/>
      </top>
      <bottom style="thin">
        <color theme="0"/>
      </bottom>
      <diagonal/>
    </border>
    <border>
      <left style="medium">
        <color theme="0"/>
      </left>
      <right style="medium">
        <color theme="0"/>
      </right>
      <top style="medium">
        <color theme="0"/>
      </top>
      <bottom style="medium">
        <color rgb="FFFFFFFF"/>
      </bottom>
      <diagonal/>
    </border>
    <border>
      <left/>
      <right style="medium">
        <color rgb="FFFFFFFF"/>
      </right>
      <top style="thin">
        <color theme="0"/>
      </top>
      <bottom style="medium">
        <color rgb="FFFFFFFF"/>
      </bottom>
      <diagonal/>
    </border>
    <border>
      <left/>
      <right style="medium">
        <color theme="0"/>
      </right>
      <top style="thin">
        <color theme="0"/>
      </top>
      <bottom style="medium">
        <color rgb="FFFFFFFF"/>
      </bottom>
      <diagonal/>
    </border>
    <border>
      <left/>
      <right style="medium">
        <color theme="0"/>
      </right>
      <top style="medium">
        <color rgb="FFFFFFFF"/>
      </top>
      <bottom style="medium">
        <color rgb="FFFFFFFF"/>
      </bottom>
      <diagonal/>
    </border>
    <border>
      <left style="thin">
        <color theme="0"/>
      </left>
      <right style="medium">
        <color theme="0"/>
      </right>
      <top/>
      <bottom style="thin">
        <color theme="0"/>
      </bottom>
      <diagonal/>
    </border>
    <border>
      <left style="thin">
        <color theme="0"/>
      </left>
      <right style="medium">
        <color theme="0"/>
      </right>
      <top style="thin">
        <color theme="0"/>
      </top>
      <bottom style="thin">
        <color theme="0"/>
      </bottom>
      <diagonal/>
    </border>
    <border>
      <left/>
      <right style="medium">
        <color theme="0"/>
      </right>
      <top/>
      <bottom style="medium">
        <color rgb="FFFFFFFF"/>
      </bottom>
      <diagonal/>
    </border>
    <border>
      <left style="medium">
        <color rgb="FFFFFFFF"/>
      </left>
      <right style="medium">
        <color rgb="FFFFFFFF"/>
      </right>
      <top style="thin">
        <color theme="0"/>
      </top>
      <bottom style="thin">
        <color theme="0"/>
      </bottom>
      <diagonal/>
    </border>
    <border>
      <left style="medium">
        <color theme="0"/>
      </left>
      <right style="medium">
        <color theme="0"/>
      </right>
      <top/>
      <bottom style="medium">
        <color rgb="FFFFFFFF"/>
      </bottom>
      <diagonal/>
    </border>
    <border>
      <left style="medium">
        <color theme="0"/>
      </left>
      <right style="medium">
        <color theme="0"/>
      </right>
      <top style="medium">
        <color rgb="FFFFFFFF"/>
      </top>
      <bottom style="medium">
        <color theme="0"/>
      </bottom>
      <diagonal/>
    </border>
    <border>
      <left style="medium">
        <color theme="0"/>
      </left>
      <right style="medium">
        <color theme="0"/>
      </right>
      <top style="medium">
        <color theme="0"/>
      </top>
      <bottom style="medium">
        <color theme="1" tint="0.249977111117893"/>
      </bottom>
      <diagonal/>
    </border>
    <border>
      <left/>
      <right style="medium">
        <color theme="0"/>
      </right>
      <top style="medium">
        <color rgb="FFFFFFFF"/>
      </top>
      <bottom/>
      <diagonal/>
    </border>
    <border>
      <left style="medium">
        <color theme="0"/>
      </left>
      <right style="medium">
        <color theme="0"/>
      </right>
      <top/>
      <bottom style="thin">
        <color theme="0"/>
      </bottom>
      <diagonal/>
    </border>
    <border>
      <left style="medium">
        <color theme="0"/>
      </left>
      <right/>
      <top style="medium">
        <color theme="0"/>
      </top>
      <bottom style="thin">
        <color theme="0"/>
      </bottom>
      <diagonal/>
    </border>
    <border>
      <left style="medium">
        <color theme="0"/>
      </left>
      <right/>
      <top style="medium">
        <color rgb="FFFFFFFF"/>
      </top>
      <bottom style="thin">
        <color theme="0"/>
      </bottom>
      <diagonal/>
    </border>
    <border>
      <left style="medium">
        <color theme="0"/>
      </left>
      <right style="medium">
        <color theme="0"/>
      </right>
      <top/>
      <bottom/>
      <diagonal/>
    </border>
    <border>
      <left style="medium">
        <color theme="0"/>
      </left>
      <right/>
      <top/>
      <bottom style="medium">
        <color rgb="FFFFFFFF"/>
      </bottom>
      <diagonal/>
    </border>
    <border>
      <left style="medium">
        <color theme="0"/>
      </left>
      <right style="medium">
        <color theme="0"/>
      </right>
      <top style="medium">
        <color theme="1" tint="0.34998626667073579"/>
      </top>
      <bottom/>
      <diagonal/>
    </border>
    <border>
      <left style="medium">
        <color theme="0"/>
      </left>
      <right/>
      <top style="thin">
        <color theme="0"/>
      </top>
      <bottom style="thin">
        <color theme="0"/>
      </bottom>
      <diagonal/>
    </border>
    <border>
      <left style="medium">
        <color theme="0"/>
      </left>
      <right/>
      <top style="medium">
        <color theme="1" tint="0.34998626667073579"/>
      </top>
      <bottom/>
      <diagonal/>
    </border>
    <border>
      <left style="medium">
        <color theme="0"/>
      </left>
      <right/>
      <top style="medium">
        <color rgb="FFFFFFFF"/>
      </top>
      <bottom style="medium">
        <color theme="0"/>
      </bottom>
      <diagonal/>
    </border>
    <border>
      <left style="medium">
        <color theme="0"/>
      </left>
      <right style="medium">
        <color theme="0"/>
      </right>
      <top/>
      <bottom style="medium">
        <color theme="0"/>
      </bottom>
      <diagonal/>
    </border>
    <border>
      <left style="medium">
        <color rgb="FFFFFFFF"/>
      </left>
      <right style="medium">
        <color theme="0"/>
      </right>
      <top/>
      <bottom style="medium">
        <color rgb="FFFFFFFF"/>
      </bottom>
      <diagonal/>
    </border>
    <border>
      <left style="medium">
        <color rgb="FFFFFFFF"/>
      </left>
      <right style="medium">
        <color rgb="FFFFFFFF"/>
      </right>
      <top style="medium">
        <color rgb="FFFFFFFF"/>
      </top>
      <bottom style="thin">
        <color indexed="64"/>
      </bottom>
      <diagonal/>
    </border>
    <border>
      <left style="medium">
        <color rgb="FFFFFFFF"/>
      </left>
      <right/>
      <top style="medium">
        <color rgb="FFFFFFFF"/>
      </top>
      <bottom style="thin">
        <color indexed="64"/>
      </bottom>
      <diagonal/>
    </border>
    <border>
      <left style="hair">
        <color auto="1"/>
      </left>
      <right style="hair">
        <color auto="1"/>
      </right>
      <top style="hair">
        <color auto="1"/>
      </top>
      <bottom style="hair">
        <color auto="1"/>
      </bottom>
      <diagonal/>
    </border>
    <border>
      <left/>
      <right style="medium">
        <color theme="0"/>
      </right>
      <top/>
      <bottom style="medium">
        <color theme="0"/>
      </bottom>
      <diagonal/>
    </border>
    <border>
      <left/>
      <right style="medium">
        <color theme="0"/>
      </right>
      <top style="medium">
        <color theme="0"/>
      </top>
      <bottom/>
      <diagonal/>
    </border>
    <border>
      <left/>
      <right/>
      <top style="hair">
        <color auto="1"/>
      </top>
      <bottom style="hair">
        <color auto="1"/>
      </bottom>
      <diagonal/>
    </border>
    <border>
      <left/>
      <right/>
      <top/>
      <bottom style="hair">
        <color auto="1"/>
      </bottom>
      <diagonal/>
    </border>
    <border>
      <left style="hair">
        <color auto="1"/>
      </left>
      <right style="hair">
        <color auto="1"/>
      </right>
      <top style="hair">
        <color auto="1"/>
      </top>
      <bottom/>
      <diagonal/>
    </border>
    <border>
      <left/>
      <right/>
      <top/>
      <bottom style="thin">
        <color auto="1"/>
      </bottom>
      <diagonal/>
    </border>
    <border>
      <left/>
      <right/>
      <top style="hair">
        <color auto="1"/>
      </top>
      <bottom/>
      <diagonal/>
    </border>
    <border>
      <left style="medium">
        <color theme="5"/>
      </left>
      <right style="medium">
        <color theme="5"/>
      </right>
      <top style="medium">
        <color theme="5"/>
      </top>
      <bottom style="medium">
        <color theme="5"/>
      </bottom>
      <diagonal/>
    </border>
  </borders>
  <cellStyleXfs count="66">
    <xf numFmtId="0" fontId="0" fillId="0" borderId="0"/>
    <xf numFmtId="9" fontId="1" fillId="0" borderId="0" applyFont="0" applyFill="0" applyBorder="0" applyAlignment="0" applyProtection="0"/>
    <xf numFmtId="0" fontId="6" fillId="0" borderId="0"/>
    <xf numFmtId="43" fontId="1" fillId="0" borderId="0" applyFont="0" applyFill="0" applyBorder="0" applyAlignment="0" applyProtection="0"/>
    <xf numFmtId="0" fontId="28" fillId="0" borderId="0"/>
    <xf numFmtId="0" fontId="29" fillId="0" borderId="0" applyNumberFormat="0" applyFill="0" applyBorder="0" applyAlignment="0" applyProtection="0">
      <alignment vertical="top"/>
      <protection locked="0"/>
    </xf>
    <xf numFmtId="44" fontId="1" fillId="0" borderId="0" applyFont="0" applyFill="0" applyBorder="0" applyAlignment="0" applyProtection="0"/>
    <xf numFmtId="43" fontId="1" fillId="0" borderId="0" applyFont="0" applyFill="0" applyBorder="0" applyAlignment="0" applyProtection="0"/>
    <xf numFmtId="0" fontId="30" fillId="0" borderId="0" applyNumberFormat="0" applyFill="0" applyBorder="0" applyAlignment="0" applyProtection="0">
      <alignment vertical="top"/>
      <protection locked="0"/>
    </xf>
    <xf numFmtId="43" fontId="1" fillId="0" borderId="0" applyFont="0" applyFill="0" applyBorder="0" applyAlignment="0" applyProtection="0"/>
    <xf numFmtId="0" fontId="43" fillId="0" borderId="0" applyNumberFormat="0" applyFill="0" applyBorder="0" applyAlignment="0" applyProtection="0"/>
    <xf numFmtId="0" fontId="66" fillId="0" borderId="0" applyNumberFormat="0" applyFill="0" applyBorder="0" applyAlignment="0" applyProtection="0"/>
    <xf numFmtId="0" fontId="67" fillId="28" borderId="0" applyNumberFormat="0" applyBorder="0" applyAlignment="0" applyProtection="0"/>
    <xf numFmtId="0" fontId="68" fillId="29" borderId="0" applyNumberFormat="0" applyBorder="0" applyAlignment="0" applyProtection="0"/>
    <xf numFmtId="0" fontId="69" fillId="30" borderId="0" applyNumberFormat="0" applyBorder="0" applyAlignment="0" applyProtection="0"/>
    <xf numFmtId="0" fontId="34" fillId="31" borderId="82" applyNumberFormat="0" applyAlignment="0" applyProtection="0"/>
    <xf numFmtId="0" fontId="24"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24"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24"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24"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4" fillId="49" borderId="0" applyNumberFormat="0" applyBorder="0" applyAlignment="0" applyProtection="0"/>
    <xf numFmtId="0" fontId="1" fillId="50"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24" fillId="53" borderId="0" applyNumberFormat="0" applyBorder="0" applyAlignment="0" applyProtection="0"/>
    <xf numFmtId="0" fontId="1" fillId="54"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6" fillId="58" borderId="85" applyNumberFormat="0" applyAlignment="0" applyProtection="0"/>
    <xf numFmtId="0" fontId="70" fillId="59" borderId="86" applyNumberFormat="0" applyProtection="0">
      <alignment vertical="center"/>
    </xf>
    <xf numFmtId="43" fontId="28" fillId="0" borderId="0" applyFont="0" applyFill="0" applyBorder="0" applyAlignment="0" applyProtection="0"/>
    <xf numFmtId="43" fontId="28" fillId="0" borderId="0" applyFont="0" applyFill="0" applyBorder="0" applyAlignment="0" applyProtection="0"/>
    <xf numFmtId="0" fontId="71" fillId="0" borderId="0" applyNumberFormat="0" applyFill="0" applyBorder="0" applyAlignment="0" applyProtection="0"/>
    <xf numFmtId="0" fontId="72" fillId="0" borderId="0" applyNumberFormat="0" applyFill="0" applyBorder="0" applyAlignment="0" applyProtection="0"/>
    <xf numFmtId="0" fontId="6" fillId="60" borderId="81" applyNumberFormat="0" applyBorder="0" applyAlignment="0" applyProtection="0"/>
    <xf numFmtId="0" fontId="6" fillId="61" borderId="0">
      <alignment vertical="center"/>
    </xf>
    <xf numFmtId="0" fontId="6" fillId="57" borderId="87" applyNumberFormat="0" applyAlignment="0" applyProtection="0"/>
    <xf numFmtId="0" fontId="73" fillId="0" borderId="0"/>
    <xf numFmtId="0" fontId="28" fillId="32" borderId="83" applyNumberFormat="0" applyFont="0" applyAlignment="0" applyProtection="0"/>
    <xf numFmtId="0" fontId="65" fillId="62" borderId="88" applyNumberFormat="0" applyAlignment="0" applyProtection="0"/>
    <xf numFmtId="9" fontId="73" fillId="0" borderId="0" applyFont="0" applyFill="0" applyBorder="0" applyAlignment="0" applyProtection="0"/>
    <xf numFmtId="0" fontId="6" fillId="63" borderId="89" applyNumberFormat="0" applyProtection="0">
      <alignment vertical="center"/>
    </xf>
    <xf numFmtId="0" fontId="65" fillId="64"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cellStyleXfs>
  <cellXfs count="597">
    <xf numFmtId="0" fontId="0" fillId="0" borderId="0" xfId="0"/>
    <xf numFmtId="0" fontId="0" fillId="0" borderId="1" xfId="0" applyBorder="1"/>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3" fillId="3" borderId="4" xfId="0" applyFont="1" applyFill="1" applyBorder="1" applyAlignment="1">
      <alignment vertical="center" wrapText="1"/>
    </xf>
    <xf numFmtId="0" fontId="3" fillId="3" borderId="5" xfId="0" applyFont="1" applyFill="1" applyBorder="1" applyAlignment="1">
      <alignment vertical="center" wrapText="1"/>
    </xf>
    <xf numFmtId="0" fontId="3" fillId="4" borderId="4" xfId="0" applyFont="1" applyFill="1" applyBorder="1" applyAlignment="1">
      <alignment vertical="center" wrapText="1"/>
    </xf>
    <xf numFmtId="0" fontId="8" fillId="2" borderId="3" xfId="0" applyFont="1" applyFill="1" applyBorder="1" applyAlignment="1">
      <alignment vertical="center" wrapText="1"/>
    </xf>
    <xf numFmtId="0" fontId="8" fillId="2" borderId="2" xfId="0" applyFont="1" applyFill="1" applyBorder="1" applyAlignment="1">
      <alignment vertical="center" wrapText="1"/>
    </xf>
    <xf numFmtId="0" fontId="11" fillId="0" borderId="0" xfId="0" applyFont="1" applyAlignment="1">
      <alignment vertical="center"/>
    </xf>
    <xf numFmtId="0" fontId="5" fillId="8" borderId="4" xfId="0" applyFont="1" applyFill="1" applyBorder="1" applyAlignment="1">
      <alignment vertical="center" wrapText="1"/>
    </xf>
    <xf numFmtId="0" fontId="0" fillId="0" borderId="16" xfId="0" applyBorder="1"/>
    <xf numFmtId="0" fontId="2" fillId="2" borderId="5" xfId="0" applyFont="1" applyFill="1" applyBorder="1" applyAlignment="1">
      <alignment horizontal="center" vertical="center" wrapText="1"/>
    </xf>
    <xf numFmtId="0" fontId="15" fillId="0" borderId="25" xfId="0" applyFont="1" applyBorder="1"/>
    <xf numFmtId="0" fontId="0" fillId="0" borderId="0" xfId="0" applyAlignment="1">
      <alignment horizontal="left" vertical="top" wrapText="1"/>
    </xf>
    <xf numFmtId="0" fontId="13" fillId="0" borderId="1" xfId="0" applyFont="1" applyBorder="1"/>
    <xf numFmtId="0" fontId="2" fillId="2" borderId="8" xfId="0" applyFont="1" applyFill="1" applyBorder="1" applyAlignment="1">
      <alignment vertical="center" wrapText="1"/>
    </xf>
    <xf numFmtId="165" fontId="9" fillId="7" borderId="3" xfId="3" applyNumberFormat="1" applyFont="1" applyFill="1" applyBorder="1" applyAlignment="1">
      <alignment vertical="center" wrapText="1"/>
    </xf>
    <xf numFmtId="0" fontId="18" fillId="0" borderId="1" xfId="0" applyFont="1" applyBorder="1"/>
    <xf numFmtId="0" fontId="18" fillId="0" borderId="1" xfId="0" applyFont="1" applyBorder="1" applyAlignment="1">
      <alignment vertical="top"/>
    </xf>
    <xf numFmtId="0" fontId="2" fillId="2" borderId="6" xfId="0" applyFont="1" applyFill="1" applyBorder="1" applyAlignment="1">
      <alignmen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vertical="center" wrapText="1"/>
    </xf>
    <xf numFmtId="0" fontId="3" fillId="3" borderId="3" xfId="0" applyFont="1" applyFill="1" applyBorder="1" applyAlignment="1">
      <alignment vertical="center" wrapText="1"/>
    </xf>
    <xf numFmtId="165" fontId="9" fillId="7" borderId="39" xfId="3" applyNumberFormat="1" applyFont="1" applyFill="1" applyBorder="1" applyAlignment="1">
      <alignment vertical="center" wrapText="1"/>
    </xf>
    <xf numFmtId="165" fontId="22" fillId="7" borderId="7" xfId="3" applyNumberFormat="1" applyFont="1" applyFill="1" applyBorder="1" applyAlignment="1">
      <alignment vertical="center" wrapText="1"/>
    </xf>
    <xf numFmtId="0" fontId="3" fillId="3" borderId="41" xfId="0" applyFont="1" applyFill="1" applyBorder="1" applyAlignment="1">
      <alignment vertical="center" wrapText="1"/>
    </xf>
    <xf numFmtId="0" fontId="7" fillId="3" borderId="42" xfId="0" applyFont="1" applyFill="1" applyBorder="1" applyAlignment="1">
      <alignment vertical="center" wrapText="1"/>
    </xf>
    <xf numFmtId="165" fontId="22" fillId="7" borderId="43" xfId="3" applyNumberFormat="1" applyFont="1" applyFill="1" applyBorder="1" applyAlignment="1">
      <alignment vertical="center" wrapText="1"/>
    </xf>
    <xf numFmtId="0" fontId="23" fillId="0" borderId="1" xfId="0" applyFont="1" applyBorder="1"/>
    <xf numFmtId="0" fontId="3" fillId="3" borderId="4" xfId="0" applyFont="1" applyFill="1" applyBorder="1" applyAlignment="1">
      <alignment horizontal="center" vertical="center" wrapText="1"/>
    </xf>
    <xf numFmtId="0" fontId="2" fillId="2" borderId="2" xfId="0" applyFont="1" applyFill="1" applyBorder="1" applyAlignment="1">
      <alignment horizontal="center" textRotation="90" wrapText="1"/>
    </xf>
    <xf numFmtId="0" fontId="0" fillId="0" borderId="12" xfId="0" applyBorder="1"/>
    <xf numFmtId="0" fontId="0" fillId="0" borderId="44" xfId="0" applyBorder="1"/>
    <xf numFmtId="0" fontId="16" fillId="2" borderId="2" xfId="0" applyFont="1" applyFill="1" applyBorder="1" applyAlignment="1">
      <alignment horizontal="center" vertical="center" wrapText="1"/>
    </xf>
    <xf numFmtId="0" fontId="0" fillId="9" borderId="2" xfId="0" applyFill="1" applyBorder="1"/>
    <xf numFmtId="165" fontId="0" fillId="9" borderId="2" xfId="3" applyNumberFormat="1" applyFont="1" applyFill="1" applyBorder="1"/>
    <xf numFmtId="0" fontId="27" fillId="0" borderId="0" xfId="0" applyFont="1" applyAlignment="1">
      <alignment vertical="center"/>
    </xf>
    <xf numFmtId="43" fontId="0" fillId="9" borderId="2" xfId="3" applyFont="1" applyFill="1" applyBorder="1"/>
    <xf numFmtId="0" fontId="2" fillId="2" borderId="4" xfId="0" applyFont="1" applyFill="1" applyBorder="1" applyAlignment="1">
      <alignment horizontal="left" textRotation="90" wrapText="1"/>
    </xf>
    <xf numFmtId="0" fontId="3" fillId="3" borderId="5" xfId="0" applyFont="1" applyFill="1" applyBorder="1" applyAlignment="1">
      <alignment horizontal="center" vertical="center" wrapText="1"/>
    </xf>
    <xf numFmtId="0" fontId="24" fillId="0" borderId="1" xfId="0" applyFont="1" applyBorder="1"/>
    <xf numFmtId="165" fontId="32" fillId="7" borderId="43" xfId="3" applyNumberFormat="1" applyFont="1" applyFill="1" applyBorder="1" applyAlignment="1">
      <alignment vertical="center" wrapText="1"/>
    </xf>
    <xf numFmtId="165" fontId="31" fillId="7" borderId="40" xfId="3" applyNumberFormat="1" applyFont="1" applyFill="1" applyBorder="1" applyAlignment="1">
      <alignment horizontal="center" vertical="center" wrapText="1"/>
    </xf>
    <xf numFmtId="0" fontId="23" fillId="12" borderId="1" xfId="0" applyFont="1" applyFill="1" applyBorder="1"/>
    <xf numFmtId="0" fontId="33" fillId="0" borderId="2" xfId="0" applyFont="1" applyBorder="1" applyAlignment="1">
      <alignment vertical="center"/>
    </xf>
    <xf numFmtId="0" fontId="33" fillId="0" borderId="4" xfId="0" applyFont="1" applyBorder="1" applyAlignment="1">
      <alignment vertical="center"/>
    </xf>
    <xf numFmtId="165" fontId="9" fillId="9" borderId="3" xfId="3" applyNumberFormat="1" applyFont="1" applyFill="1" applyBorder="1" applyAlignment="1">
      <alignment vertical="center" wrapText="1"/>
    </xf>
    <xf numFmtId="0" fontId="2" fillId="2" borderId="37" xfId="0" applyFont="1" applyFill="1" applyBorder="1" applyAlignment="1">
      <alignment horizontal="center" vertical="center" wrapText="1"/>
    </xf>
    <xf numFmtId="1" fontId="9" fillId="9" borderId="3" xfId="0" applyNumberFormat="1" applyFont="1" applyFill="1" applyBorder="1" applyAlignment="1">
      <alignment vertical="center" wrapText="1"/>
    </xf>
    <xf numFmtId="0" fontId="25" fillId="0" borderId="1" xfId="0" applyFont="1" applyBorder="1"/>
    <xf numFmtId="0" fontId="12" fillId="0" borderId="1" xfId="0" applyFont="1" applyBorder="1"/>
    <xf numFmtId="0" fontId="16" fillId="2" borderId="3" xfId="0" applyFont="1" applyFill="1" applyBorder="1" applyAlignment="1">
      <alignment horizontal="center" vertical="center" wrapText="1"/>
    </xf>
    <xf numFmtId="165" fontId="0" fillId="9" borderId="8" xfId="3" applyNumberFormat="1" applyFont="1" applyFill="1" applyBorder="1"/>
    <xf numFmtId="0" fontId="0" fillId="9" borderId="8" xfId="0" applyFill="1" applyBorder="1"/>
    <xf numFmtId="165" fontId="22" fillId="0" borderId="43" xfId="3" applyNumberFormat="1" applyFont="1" applyFill="1" applyBorder="1" applyAlignment="1">
      <alignment vertical="center" wrapText="1"/>
    </xf>
    <xf numFmtId="0" fontId="0" fillId="14" borderId="1" xfId="0" applyFill="1" applyBorder="1"/>
    <xf numFmtId="0" fontId="13" fillId="14" borderId="1" xfId="0" applyFont="1" applyFill="1" applyBorder="1"/>
    <xf numFmtId="0" fontId="0" fillId="14" borderId="44" xfId="0" applyFill="1" applyBorder="1"/>
    <xf numFmtId="0" fontId="18" fillId="0" borderId="16" xfId="0" applyFont="1" applyBorder="1"/>
    <xf numFmtId="0" fontId="2" fillId="14" borderId="3" xfId="0" applyFont="1" applyFill="1" applyBorder="1" applyAlignment="1">
      <alignment horizontal="center" vertical="center" wrapText="1"/>
    </xf>
    <xf numFmtId="165" fontId="9" fillId="14" borderId="3" xfId="3" applyNumberFormat="1" applyFont="1" applyFill="1" applyBorder="1" applyAlignment="1">
      <alignment vertical="center" wrapText="1"/>
    </xf>
    <xf numFmtId="165" fontId="9" fillId="14" borderId="39" xfId="3" applyNumberFormat="1" applyFont="1" applyFill="1" applyBorder="1" applyAlignment="1">
      <alignment vertical="center" wrapText="1"/>
    </xf>
    <xf numFmtId="165" fontId="22" fillId="14" borderId="7" xfId="3" applyNumberFormat="1" applyFont="1" applyFill="1" applyBorder="1" applyAlignment="1">
      <alignment vertical="center" wrapText="1"/>
    </xf>
    <xf numFmtId="165" fontId="31" fillId="14" borderId="40" xfId="3" applyNumberFormat="1" applyFont="1" applyFill="1" applyBorder="1" applyAlignment="1">
      <alignment horizontal="center" vertical="center" wrapText="1"/>
    </xf>
    <xf numFmtId="165" fontId="22" fillId="7" borderId="53" xfId="3" applyNumberFormat="1" applyFont="1" applyFill="1" applyBorder="1" applyAlignment="1">
      <alignment vertical="center" wrapText="1"/>
    </xf>
    <xf numFmtId="0" fontId="0" fillId="0" borderId="14" xfId="0" applyBorder="1"/>
    <xf numFmtId="165" fontId="9" fillId="14" borderId="51" xfId="3" applyNumberFormat="1" applyFont="1" applyFill="1" applyBorder="1" applyAlignment="1">
      <alignment vertical="center" wrapText="1"/>
    </xf>
    <xf numFmtId="165" fontId="9" fillId="14" borderId="54" xfId="3" applyNumberFormat="1" applyFont="1" applyFill="1" applyBorder="1" applyAlignment="1">
      <alignment vertical="center" wrapText="1"/>
    </xf>
    <xf numFmtId="165" fontId="22" fillId="14" borderId="30" xfId="3" applyNumberFormat="1" applyFont="1" applyFill="1" applyBorder="1" applyAlignment="1">
      <alignment vertical="center" wrapText="1"/>
    </xf>
    <xf numFmtId="165" fontId="31" fillId="14" borderId="55" xfId="3" applyNumberFormat="1" applyFont="1" applyFill="1" applyBorder="1" applyAlignment="1">
      <alignment horizontal="center" vertical="center" wrapText="1"/>
    </xf>
    <xf numFmtId="165" fontId="9" fillId="14" borderId="0" xfId="3" applyNumberFormat="1" applyFont="1" applyFill="1" applyBorder="1" applyAlignment="1">
      <alignment vertical="center" wrapText="1"/>
    </xf>
    <xf numFmtId="165" fontId="22" fillId="14" borderId="0" xfId="3" applyNumberFormat="1" applyFont="1" applyFill="1" applyBorder="1" applyAlignment="1">
      <alignment vertical="center" wrapText="1"/>
    </xf>
    <xf numFmtId="165" fontId="31" fillId="14" borderId="0" xfId="3" applyNumberFormat="1" applyFont="1" applyFill="1" applyBorder="1" applyAlignment="1">
      <alignment horizontal="center" vertical="center" wrapText="1"/>
    </xf>
    <xf numFmtId="0" fontId="0" fillId="14" borderId="16" xfId="0" applyFill="1" applyBorder="1"/>
    <xf numFmtId="0" fontId="0" fillId="14" borderId="0" xfId="0" applyFill="1"/>
    <xf numFmtId="0" fontId="19" fillId="0" borderId="1" xfId="0" applyFont="1" applyBorder="1"/>
    <xf numFmtId="0" fontId="2" fillId="0" borderId="5" xfId="0" applyFont="1" applyBorder="1" applyAlignment="1">
      <alignment horizontal="center" vertical="center" wrapText="1"/>
    </xf>
    <xf numFmtId="165" fontId="31" fillId="0" borderId="3" xfId="3" applyNumberFormat="1" applyFont="1" applyFill="1" applyBorder="1" applyAlignment="1">
      <alignment vertical="center" wrapText="1"/>
    </xf>
    <xf numFmtId="0" fontId="0" fillId="0" borderId="13" xfId="0" applyBorder="1"/>
    <xf numFmtId="0" fontId="0" fillId="0" borderId="46" xfId="0" applyBorder="1"/>
    <xf numFmtId="165" fontId="22" fillId="0" borderId="58" xfId="3" applyNumberFormat="1" applyFont="1" applyFill="1" applyBorder="1" applyAlignment="1">
      <alignment vertical="center" wrapText="1"/>
    </xf>
    <xf numFmtId="165" fontId="32" fillId="0" borderId="58" xfId="3" applyNumberFormat="1" applyFont="1" applyFill="1" applyBorder="1" applyAlignment="1">
      <alignment vertical="center" wrapText="1"/>
    </xf>
    <xf numFmtId="165" fontId="31" fillId="0" borderId="59" xfId="3" applyNumberFormat="1" applyFont="1" applyFill="1" applyBorder="1" applyAlignment="1">
      <alignment vertical="center" wrapText="1"/>
    </xf>
    <xf numFmtId="0" fontId="0" fillId="15" borderId="1" xfId="0" applyFill="1" applyBorder="1"/>
    <xf numFmtId="0" fontId="13" fillId="15" borderId="1" xfId="0" applyFont="1" applyFill="1" applyBorder="1"/>
    <xf numFmtId="0" fontId="0" fillId="7" borderId="1" xfId="0" applyFill="1" applyBorder="1"/>
    <xf numFmtId="0" fontId="14" fillId="0" borderId="1" xfId="0" applyFont="1" applyBorder="1"/>
    <xf numFmtId="0" fontId="35" fillId="14" borderId="0" xfId="0" applyFont="1" applyFill="1"/>
    <xf numFmtId="0" fontId="36" fillId="14" borderId="0" xfId="0" applyFont="1" applyFill="1"/>
    <xf numFmtId="0" fontId="23" fillId="16" borderId="1" xfId="0" applyFont="1" applyFill="1" applyBorder="1"/>
    <xf numFmtId="0" fontId="0" fillId="16" borderId="1" xfId="0" applyFill="1" applyBorder="1"/>
    <xf numFmtId="0" fontId="35" fillId="14" borderId="0" xfId="0" applyFont="1" applyFill="1" applyAlignment="1">
      <alignment wrapText="1"/>
    </xf>
    <xf numFmtId="0" fontId="18" fillId="14" borderId="0" xfId="0" applyFont="1" applyFill="1"/>
    <xf numFmtId="165" fontId="37" fillId="14" borderId="3" xfId="3" applyNumberFormat="1" applyFont="1" applyFill="1" applyBorder="1" applyAlignment="1">
      <alignment vertical="center"/>
    </xf>
    <xf numFmtId="0" fontId="16" fillId="2" borderId="5"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28" xfId="0" applyFont="1" applyFill="1" applyBorder="1" applyAlignment="1">
      <alignment horizontal="center" vertical="center" wrapText="1"/>
    </xf>
    <xf numFmtId="49" fontId="9" fillId="3" borderId="5" xfId="0" applyNumberFormat="1" applyFont="1" applyFill="1" applyBorder="1" applyAlignment="1">
      <alignment vertical="center" wrapText="1"/>
    </xf>
    <xf numFmtId="0" fontId="31" fillId="3" borderId="4" xfId="0" applyFont="1" applyFill="1" applyBorder="1" applyAlignment="1">
      <alignment vertical="center" wrapText="1"/>
    </xf>
    <xf numFmtId="0" fontId="9" fillId="4" borderId="4" xfId="0" applyFont="1" applyFill="1" applyBorder="1" applyAlignment="1">
      <alignment vertical="center" wrapText="1"/>
    </xf>
    <xf numFmtId="2" fontId="22" fillId="5" borderId="4" xfId="0" applyNumberFormat="1" applyFont="1" applyFill="1" applyBorder="1" applyAlignment="1">
      <alignment vertical="center" wrapText="1"/>
    </xf>
    <xf numFmtId="0" fontId="8" fillId="2" borderId="56" xfId="0" applyFont="1" applyFill="1" applyBorder="1" applyAlignment="1">
      <alignment vertical="center" wrapText="1"/>
    </xf>
    <xf numFmtId="0" fontId="27" fillId="0" borderId="1" xfId="0" applyFont="1" applyBorder="1"/>
    <xf numFmtId="0" fontId="16" fillId="2" borderId="34" xfId="0" applyFont="1" applyFill="1" applyBorder="1" applyAlignment="1">
      <alignment vertical="center" wrapText="1"/>
    </xf>
    <xf numFmtId="0" fontId="7" fillId="5" borderId="32" xfId="0" applyFont="1" applyFill="1" applyBorder="1" applyAlignment="1">
      <alignment vertical="center" wrapText="1"/>
    </xf>
    <xf numFmtId="0" fontId="0" fillId="6" borderId="1" xfId="0" applyFill="1" applyBorder="1"/>
    <xf numFmtId="0" fontId="41" fillId="0" borderId="16" xfId="0" applyFont="1" applyBorder="1"/>
    <xf numFmtId="0" fontId="21" fillId="17" borderId="1" xfId="0" applyFont="1" applyFill="1" applyBorder="1"/>
    <xf numFmtId="0" fontId="9" fillId="18" borderId="5" xfId="0" applyFont="1" applyFill="1" applyBorder="1" applyAlignment="1">
      <alignment vertical="center" wrapText="1"/>
    </xf>
    <xf numFmtId="0" fontId="9" fillId="19" borderId="5" xfId="0" applyFont="1" applyFill="1" applyBorder="1" applyAlignment="1">
      <alignment vertical="center" wrapText="1"/>
    </xf>
    <xf numFmtId="0" fontId="2" fillId="2" borderId="4" xfId="0" applyFont="1" applyFill="1" applyBorder="1" applyAlignment="1">
      <alignment horizontal="center" textRotation="90" wrapText="1"/>
    </xf>
    <xf numFmtId="0" fontId="2" fillId="2" borderId="45" xfId="0" applyFont="1" applyFill="1" applyBorder="1" applyAlignment="1">
      <alignment horizontal="center" vertical="center" wrapText="1"/>
    </xf>
    <xf numFmtId="167" fontId="0" fillId="9" borderId="2" xfId="0" applyNumberFormat="1" applyFill="1" applyBorder="1"/>
    <xf numFmtId="168" fontId="19" fillId="9" borderId="45" xfId="3" applyNumberFormat="1" applyFont="1" applyFill="1" applyBorder="1" applyAlignment="1">
      <alignment vertical="center" wrapText="1"/>
    </xf>
    <xf numFmtId="168" fontId="0" fillId="9" borderId="2" xfId="3" applyNumberFormat="1" applyFont="1" applyFill="1" applyBorder="1"/>
    <xf numFmtId="0" fontId="23" fillId="14" borderId="1" xfId="0" applyFont="1" applyFill="1" applyBorder="1"/>
    <xf numFmtId="0" fontId="23" fillId="20" borderId="1" xfId="0" applyFont="1" applyFill="1" applyBorder="1"/>
    <xf numFmtId="0" fontId="0" fillId="20" borderId="1" xfId="0" applyFill="1" applyBorder="1"/>
    <xf numFmtId="0" fontId="0" fillId="10" borderId="1" xfId="0" applyFill="1" applyBorder="1"/>
    <xf numFmtId="0" fontId="0" fillId="10" borderId="12" xfId="0" applyFill="1" applyBorder="1"/>
    <xf numFmtId="169" fontId="22" fillId="18" borderId="5" xfId="0" applyNumberFormat="1" applyFont="1" applyFill="1" applyBorder="1" applyAlignment="1">
      <alignment vertical="center" wrapText="1"/>
    </xf>
    <xf numFmtId="170" fontId="0" fillId="0" borderId="1" xfId="0" applyNumberFormat="1" applyBorder="1"/>
    <xf numFmtId="170" fontId="0" fillId="0" borderId="1" xfId="1" applyNumberFormat="1" applyFont="1" applyBorder="1"/>
    <xf numFmtId="0" fontId="42" fillId="14" borderId="66" xfId="0" applyFont="1" applyFill="1" applyBorder="1"/>
    <xf numFmtId="0" fontId="44" fillId="14" borderId="0" xfId="0" applyFont="1" applyFill="1"/>
    <xf numFmtId="8" fontId="3" fillId="3" borderId="5" xfId="0" applyNumberFormat="1" applyFont="1" applyFill="1" applyBorder="1" applyAlignment="1">
      <alignment vertical="center" wrapText="1"/>
    </xf>
    <xf numFmtId="0" fontId="43" fillId="3" borderId="41" xfId="10" applyFill="1" applyBorder="1" applyAlignment="1">
      <alignment vertical="center" wrapText="1"/>
    </xf>
    <xf numFmtId="9" fontId="3" fillId="3" borderId="5" xfId="0" applyNumberFormat="1" applyFont="1" applyFill="1" applyBorder="1" applyAlignment="1">
      <alignment vertical="center" wrapText="1"/>
    </xf>
    <xf numFmtId="10" fontId="3" fillId="3" borderId="5" xfId="0" applyNumberFormat="1" applyFont="1" applyFill="1" applyBorder="1" applyAlignment="1">
      <alignment vertical="center" wrapText="1"/>
    </xf>
    <xf numFmtId="0" fontId="0" fillId="0" borderId="11" xfId="0" applyBorder="1"/>
    <xf numFmtId="0" fontId="2" fillId="2" borderId="0" xfId="0" applyFont="1" applyFill="1" applyAlignment="1">
      <alignment horizontal="center" vertical="center" wrapText="1"/>
    </xf>
    <xf numFmtId="0" fontId="27" fillId="0" borderId="1" xfId="0" applyFont="1" applyBorder="1" applyAlignment="1">
      <alignment vertical="center"/>
    </xf>
    <xf numFmtId="165" fontId="22" fillId="0" borderId="1" xfId="3" applyNumberFormat="1" applyFont="1" applyFill="1" applyBorder="1" applyAlignment="1">
      <alignment vertical="center" wrapText="1"/>
    </xf>
    <xf numFmtId="0" fontId="23" fillId="21" borderId="1" xfId="0" applyFont="1" applyFill="1" applyBorder="1"/>
    <xf numFmtId="0" fontId="0" fillId="21" borderId="1" xfId="0" applyFill="1" applyBorder="1"/>
    <xf numFmtId="9" fontId="0" fillId="0" borderId="1" xfId="0" applyNumberFormat="1" applyBorder="1"/>
    <xf numFmtId="9" fontId="0" fillId="9" borderId="2" xfId="1" applyFont="1" applyFill="1" applyBorder="1" applyAlignment="1">
      <alignment horizontal="center"/>
    </xf>
    <xf numFmtId="9" fontId="0" fillId="9" borderId="8" xfId="1" applyFont="1" applyFill="1" applyBorder="1" applyAlignment="1">
      <alignment horizontal="center"/>
    </xf>
    <xf numFmtId="9" fontId="0" fillId="9" borderId="2" xfId="1" applyFont="1" applyFill="1" applyBorder="1" applyAlignment="1">
      <alignment horizontal="center" vertical="center"/>
    </xf>
    <xf numFmtId="0" fontId="3" fillId="14" borderId="3" xfId="0" applyFont="1" applyFill="1" applyBorder="1" applyAlignment="1">
      <alignment vertical="center" wrapText="1"/>
    </xf>
    <xf numFmtId="0" fontId="3" fillId="14" borderId="51" xfId="0" applyFont="1" applyFill="1" applyBorder="1" applyAlignment="1">
      <alignment vertical="center" wrapText="1"/>
    </xf>
    <xf numFmtId="0" fontId="3" fillId="14" borderId="0" xfId="0" applyFont="1" applyFill="1" applyAlignment="1">
      <alignment vertical="center" wrapText="1"/>
    </xf>
    <xf numFmtId="0" fontId="7" fillId="14" borderId="0" xfId="0" applyFont="1" applyFill="1" applyAlignment="1">
      <alignment vertical="center" wrapText="1"/>
    </xf>
    <xf numFmtId="9" fontId="0" fillId="9" borderId="6" xfId="1" applyFont="1" applyFill="1" applyBorder="1" applyAlignment="1">
      <alignment horizontal="center"/>
    </xf>
    <xf numFmtId="0" fontId="3" fillId="14" borderId="0" xfId="0" applyFont="1" applyFill="1" applyAlignment="1">
      <alignment vertical="top" wrapText="1"/>
    </xf>
    <xf numFmtId="0" fontId="12" fillId="14" borderId="0" xfId="0" applyFont="1" applyFill="1" applyAlignment="1">
      <alignment horizontal="left" vertical="center" indent="5"/>
    </xf>
    <xf numFmtId="0" fontId="11" fillId="14" borderId="0" xfId="0" applyFont="1" applyFill="1" applyAlignment="1">
      <alignment vertical="center"/>
    </xf>
    <xf numFmtId="165" fontId="19" fillId="6" borderId="45" xfId="3" applyNumberFormat="1" applyFont="1" applyFill="1" applyBorder="1" applyAlignment="1" applyProtection="1">
      <alignment vertical="center" wrapText="1"/>
      <protection locked="0"/>
    </xf>
    <xf numFmtId="0" fontId="0" fillId="0" borderId="1" xfId="0" applyBorder="1" applyProtection="1">
      <protection locked="0"/>
    </xf>
    <xf numFmtId="0" fontId="3" fillId="8" borderId="45" xfId="0" applyFont="1" applyFill="1" applyBorder="1" applyAlignment="1" applyProtection="1">
      <alignment vertical="center" wrapText="1"/>
      <protection locked="0"/>
    </xf>
    <xf numFmtId="0" fontId="0" fillId="8" borderId="45" xfId="0" applyFill="1" applyBorder="1" applyProtection="1">
      <protection locked="0"/>
    </xf>
    <xf numFmtId="0" fontId="3" fillId="8" borderId="52" xfId="0" applyFont="1" applyFill="1" applyBorder="1" applyAlignment="1" applyProtection="1">
      <alignment vertical="center" wrapText="1"/>
      <protection locked="0"/>
    </xf>
    <xf numFmtId="0" fontId="0" fillId="8" borderId="52" xfId="0" applyFill="1" applyBorder="1" applyProtection="1">
      <protection locked="0"/>
    </xf>
    <xf numFmtId="165" fontId="0" fillId="9" borderId="45" xfId="3" applyNumberFormat="1" applyFont="1" applyFill="1" applyBorder="1" applyProtection="1"/>
    <xf numFmtId="0" fontId="0" fillId="8" borderId="50" xfId="0" applyFill="1" applyBorder="1" applyProtection="1">
      <protection locked="0"/>
    </xf>
    <xf numFmtId="0" fontId="24" fillId="0" borderId="1" xfId="0" applyFont="1" applyBorder="1" applyProtection="1">
      <protection locked="0"/>
    </xf>
    <xf numFmtId="9" fontId="0" fillId="9" borderId="45" xfId="1" applyFont="1" applyFill="1" applyBorder="1" applyAlignment="1" applyProtection="1">
      <alignment horizontal="center" vertical="center"/>
    </xf>
    <xf numFmtId="9" fontId="0" fillId="9" borderId="39" xfId="1" applyFont="1" applyFill="1" applyBorder="1" applyAlignment="1">
      <alignment horizontal="center" vertical="center"/>
    </xf>
    <xf numFmtId="0" fontId="19" fillId="0" borderId="1" xfId="0" applyFont="1" applyBorder="1" applyProtection="1">
      <protection locked="0"/>
    </xf>
    <xf numFmtId="0" fontId="48" fillId="0" borderId="1" xfId="0" applyFont="1" applyBorder="1"/>
    <xf numFmtId="0" fontId="13" fillId="0" borderId="12" xfId="0" applyFont="1" applyBorder="1" applyAlignment="1" applyProtection="1">
      <alignment horizontal="right"/>
      <protection locked="0"/>
    </xf>
    <xf numFmtId="0" fontId="0" fillId="0" borderId="12" xfId="0" applyBorder="1" applyProtection="1">
      <protection locked="0"/>
    </xf>
    <xf numFmtId="0" fontId="22" fillId="8" borderId="64" xfId="0" applyFont="1" applyFill="1" applyBorder="1" applyAlignment="1">
      <alignment vertical="center"/>
    </xf>
    <xf numFmtId="0" fontId="22" fillId="3" borderId="64" xfId="0" applyFont="1" applyFill="1" applyBorder="1" applyAlignment="1">
      <alignment vertical="center"/>
    </xf>
    <xf numFmtId="0" fontId="22" fillId="6" borderId="64" xfId="0" applyFont="1" applyFill="1" applyBorder="1"/>
    <xf numFmtId="1" fontId="22" fillId="22" borderId="64" xfId="0" applyNumberFormat="1" applyFont="1" applyFill="1" applyBorder="1" applyAlignment="1">
      <alignment vertical="center" wrapText="1"/>
    </xf>
    <xf numFmtId="0" fontId="13" fillId="14" borderId="12" xfId="0" applyFont="1" applyFill="1" applyBorder="1" applyAlignment="1" applyProtection="1">
      <alignment horizontal="right"/>
      <protection locked="0"/>
    </xf>
    <xf numFmtId="0" fontId="26" fillId="14" borderId="68" xfId="0" applyFont="1" applyFill="1" applyBorder="1" applyAlignment="1">
      <alignment vertical="top"/>
    </xf>
    <xf numFmtId="0" fontId="0" fillId="0" borderId="71" xfId="0" applyBorder="1"/>
    <xf numFmtId="0" fontId="12" fillId="14" borderId="0" xfId="0" applyFont="1" applyFill="1" applyAlignment="1">
      <alignment vertical="top"/>
    </xf>
    <xf numFmtId="0" fontId="10" fillId="0" borderId="10" xfId="0" applyFont="1" applyBorder="1" applyAlignment="1">
      <alignment horizontal="left" vertical="top" wrapText="1"/>
    </xf>
    <xf numFmtId="0" fontId="10" fillId="14" borderId="10" xfId="0" applyFont="1" applyFill="1" applyBorder="1" applyAlignment="1">
      <alignment horizontal="left" vertical="top" wrapText="1"/>
    </xf>
    <xf numFmtId="1" fontId="9" fillId="9" borderId="3" xfId="0" applyNumberFormat="1" applyFont="1" applyFill="1" applyBorder="1" applyAlignment="1">
      <alignment vertical="center"/>
    </xf>
    <xf numFmtId="0" fontId="2" fillId="2" borderId="8" xfId="0" applyFont="1" applyFill="1" applyBorder="1" applyAlignment="1">
      <alignment horizontal="center" textRotation="90" wrapText="1"/>
    </xf>
    <xf numFmtId="0" fontId="3" fillId="14" borderId="4" xfId="0" applyFont="1" applyFill="1" applyBorder="1" applyAlignment="1">
      <alignment horizontal="center" vertical="center" wrapText="1"/>
    </xf>
    <xf numFmtId="0" fontId="50" fillId="14" borderId="1" xfId="0" applyFont="1" applyFill="1" applyBorder="1"/>
    <xf numFmtId="0" fontId="3" fillId="14" borderId="5" xfId="0" applyFont="1" applyFill="1" applyBorder="1" applyAlignment="1">
      <alignment vertical="center" wrapText="1"/>
    </xf>
    <xf numFmtId="0" fontId="2" fillId="23" borderId="8" xfId="0" applyFont="1" applyFill="1" applyBorder="1" applyAlignment="1">
      <alignment vertical="center" wrapText="1"/>
    </xf>
    <xf numFmtId="9" fontId="0" fillId="9" borderId="2" xfId="0" applyNumberFormat="1" applyFill="1" applyBorder="1" applyAlignment="1">
      <alignment horizontal="center"/>
    </xf>
    <xf numFmtId="0" fontId="18" fillId="0" borderId="11" xfId="0" applyFont="1" applyBorder="1"/>
    <xf numFmtId="9" fontId="0" fillId="0" borderId="1" xfId="1" applyFont="1" applyBorder="1"/>
    <xf numFmtId="9" fontId="19" fillId="9" borderId="2" xfId="1" applyFont="1" applyFill="1" applyBorder="1" applyAlignment="1">
      <alignment horizontal="center"/>
    </xf>
    <xf numFmtId="0" fontId="45" fillId="0" borderId="12" xfId="0" applyFont="1" applyBorder="1" applyAlignment="1">
      <alignment vertical="center" wrapText="1"/>
    </xf>
    <xf numFmtId="165" fontId="19" fillId="25" borderId="2" xfId="3" applyNumberFormat="1" applyFont="1" applyFill="1" applyBorder="1" applyAlignment="1">
      <alignment vertical="center" wrapText="1"/>
    </xf>
    <xf numFmtId="0" fontId="16" fillId="17" borderId="4" xfId="0" applyFont="1" applyFill="1" applyBorder="1" applyAlignment="1">
      <alignment horizontal="center" vertical="center" wrapText="1"/>
    </xf>
    <xf numFmtId="0" fontId="51" fillId="14" borderId="1" xfId="0" applyFont="1" applyFill="1" applyBorder="1"/>
    <xf numFmtId="170" fontId="0" fillId="9" borderId="45" xfId="1" applyNumberFormat="1" applyFont="1" applyFill="1" applyBorder="1" applyAlignment="1" applyProtection="1">
      <alignment horizontal="center"/>
    </xf>
    <xf numFmtId="0" fontId="13" fillId="0" borderId="12" xfId="0" applyFont="1" applyBorder="1" applyAlignment="1">
      <alignment horizontal="right"/>
    </xf>
    <xf numFmtId="0" fontId="24" fillId="0" borderId="12" xfId="0" applyFont="1" applyBorder="1"/>
    <xf numFmtId="0" fontId="16" fillId="2" borderId="50"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0" fillId="9" borderId="45" xfId="0" applyFill="1" applyBorder="1"/>
    <xf numFmtId="166" fontId="0" fillId="9" borderId="45" xfId="0" applyNumberFormat="1" applyFill="1" applyBorder="1"/>
    <xf numFmtId="0" fontId="27" fillId="0" borderId="0" xfId="0" applyFont="1"/>
    <xf numFmtId="9" fontId="52" fillId="9" borderId="6" xfId="1" applyFont="1" applyFill="1" applyBorder="1" applyAlignment="1">
      <alignment horizontal="center"/>
    </xf>
    <xf numFmtId="165" fontId="52" fillId="9" borderId="2" xfId="3" applyNumberFormat="1" applyFont="1" applyFill="1" applyBorder="1"/>
    <xf numFmtId="0" fontId="52" fillId="9" borderId="2" xfId="0" applyFont="1" applyFill="1" applyBorder="1"/>
    <xf numFmtId="0" fontId="0" fillId="8" borderId="3" xfId="0" applyFill="1" applyBorder="1" applyProtection="1">
      <protection locked="0"/>
    </xf>
    <xf numFmtId="0" fontId="0" fillId="8" borderId="2" xfId="0" applyFill="1" applyBorder="1" applyProtection="1">
      <protection locked="0"/>
    </xf>
    <xf numFmtId="0" fontId="0" fillId="8" borderId="8" xfId="0" applyFill="1" applyBorder="1" applyProtection="1">
      <protection locked="0"/>
    </xf>
    <xf numFmtId="0" fontId="3" fillId="8" borderId="2" xfId="0" applyFont="1" applyFill="1" applyBorder="1" applyAlignment="1" applyProtection="1">
      <alignment vertical="center" wrapText="1"/>
      <protection locked="0"/>
    </xf>
    <xf numFmtId="0" fontId="3" fillId="8" borderId="8" xfId="0" applyFont="1" applyFill="1" applyBorder="1" applyAlignment="1" applyProtection="1">
      <alignment vertical="center" wrapText="1"/>
      <protection locked="0"/>
    </xf>
    <xf numFmtId="0" fontId="0" fillId="8" borderId="72" xfId="0" applyFill="1" applyBorder="1" applyAlignment="1" applyProtection="1">
      <alignment horizontal="center" vertical="center"/>
      <protection locked="0"/>
    </xf>
    <xf numFmtId="2" fontId="9" fillId="24" borderId="3" xfId="0" applyNumberFormat="1" applyFont="1" applyFill="1" applyBorder="1" applyAlignment="1" applyProtection="1">
      <alignment vertical="center" wrapText="1"/>
      <protection locked="0"/>
    </xf>
    <xf numFmtId="2" fontId="9" fillId="24" borderId="23" xfId="0" applyNumberFormat="1" applyFont="1" applyFill="1" applyBorder="1" applyAlignment="1" applyProtection="1">
      <alignment vertical="center" wrapText="1"/>
      <protection locked="0"/>
    </xf>
    <xf numFmtId="0" fontId="9" fillId="8" borderId="5" xfId="0" applyFont="1" applyFill="1" applyBorder="1" applyAlignment="1" applyProtection="1">
      <alignment vertical="center" wrapText="1"/>
      <protection locked="0"/>
    </xf>
    <xf numFmtId="165" fontId="9" fillId="6" borderId="45" xfId="3" applyNumberFormat="1" applyFont="1" applyFill="1" applyBorder="1" applyAlignment="1" applyProtection="1">
      <alignment vertical="center" wrapText="1"/>
      <protection locked="0"/>
    </xf>
    <xf numFmtId="0" fontId="9" fillId="8" borderId="41" xfId="0" applyFont="1" applyFill="1" applyBorder="1" applyAlignment="1" applyProtection="1">
      <alignment vertical="center" wrapText="1"/>
      <protection locked="0"/>
    </xf>
    <xf numFmtId="9" fontId="9" fillId="8" borderId="5" xfId="1" applyFont="1" applyFill="1" applyBorder="1" applyAlignment="1" applyProtection="1">
      <alignment vertical="center" wrapText="1"/>
      <protection locked="0"/>
    </xf>
    <xf numFmtId="164" fontId="9" fillId="6" borderId="3" xfId="0" applyNumberFormat="1" applyFont="1" applyFill="1" applyBorder="1" applyAlignment="1" applyProtection="1">
      <alignment vertical="center" wrapText="1"/>
      <protection locked="0"/>
    </xf>
    <xf numFmtId="49" fontId="9" fillId="8" borderId="3" xfId="0" applyNumberFormat="1" applyFont="1" applyFill="1" applyBorder="1" applyAlignment="1" applyProtection="1">
      <alignment vertical="center" wrapText="1"/>
      <protection locked="0"/>
    </xf>
    <xf numFmtId="0" fontId="19" fillId="8" borderId="3" xfId="0" applyFont="1" applyFill="1" applyBorder="1" applyProtection="1">
      <protection locked="0"/>
    </xf>
    <xf numFmtId="0" fontId="19" fillId="8" borderId="2" xfId="0" applyFont="1" applyFill="1" applyBorder="1" applyProtection="1">
      <protection locked="0"/>
    </xf>
    <xf numFmtId="0" fontId="19" fillId="8" borderId="51" xfId="0" applyFont="1" applyFill="1" applyBorder="1" applyProtection="1">
      <protection locked="0"/>
    </xf>
    <xf numFmtId="0" fontId="19" fillId="8" borderId="8" xfId="0" applyFont="1" applyFill="1" applyBorder="1" applyProtection="1">
      <protection locked="0"/>
    </xf>
    <xf numFmtId="165" fontId="19" fillId="6" borderId="2" xfId="3" applyNumberFormat="1" applyFont="1" applyFill="1" applyBorder="1" applyAlignment="1" applyProtection="1">
      <alignment vertical="center" wrapText="1"/>
      <protection locked="0"/>
    </xf>
    <xf numFmtId="165" fontId="19" fillId="6" borderId="8" xfId="3" applyNumberFormat="1" applyFont="1" applyFill="1" applyBorder="1" applyAlignment="1" applyProtection="1">
      <alignment vertical="center" wrapText="1"/>
      <protection locked="0"/>
    </xf>
    <xf numFmtId="0" fontId="19" fillId="8" borderId="6" xfId="0" applyFont="1" applyFill="1" applyBorder="1" applyProtection="1">
      <protection locked="0"/>
    </xf>
    <xf numFmtId="0" fontId="19" fillId="8" borderId="29" xfId="0" applyFont="1" applyFill="1" applyBorder="1" applyProtection="1">
      <protection locked="0"/>
    </xf>
    <xf numFmtId="14" fontId="19" fillId="8" borderId="45" xfId="3" applyNumberFormat="1" applyFont="1" applyFill="1" applyBorder="1" applyAlignment="1" applyProtection="1">
      <alignment vertical="center" wrapText="1"/>
      <protection locked="0"/>
    </xf>
    <xf numFmtId="165" fontId="19" fillId="8" borderId="45" xfId="3" applyNumberFormat="1" applyFont="1" applyFill="1" applyBorder="1" applyAlignment="1" applyProtection="1">
      <alignment vertical="center" wrapText="1"/>
      <protection locked="0"/>
    </xf>
    <xf numFmtId="0" fontId="9" fillId="8" borderId="37" xfId="0" applyFont="1" applyFill="1" applyBorder="1" applyAlignment="1" applyProtection="1">
      <alignment horizontal="center" vertical="center" wrapText="1"/>
      <protection locked="0"/>
    </xf>
    <xf numFmtId="0" fontId="3" fillId="3" borderId="0" xfId="0" applyFont="1" applyFill="1" applyAlignment="1">
      <alignment vertical="center" wrapText="1"/>
    </xf>
    <xf numFmtId="0" fontId="3" fillId="3" borderId="0" xfId="0" applyFont="1" applyFill="1" applyAlignment="1">
      <alignment horizontal="left" vertical="center" wrapText="1"/>
    </xf>
    <xf numFmtId="0" fontId="14" fillId="14" borderId="0" xfId="0" applyFont="1" applyFill="1"/>
    <xf numFmtId="0" fontId="42" fillId="14" borderId="0" xfId="0" applyFont="1" applyFill="1"/>
    <xf numFmtId="0" fontId="43" fillId="14" borderId="0" xfId="10" applyFill="1" applyAlignment="1">
      <alignment vertical="top"/>
    </xf>
    <xf numFmtId="0" fontId="58" fillId="14" borderId="66" xfId="0" applyFont="1" applyFill="1" applyBorder="1"/>
    <xf numFmtId="0" fontId="57" fillId="14" borderId="0" xfId="0" applyFont="1" applyFill="1"/>
    <xf numFmtId="0" fontId="59" fillId="14" borderId="0" xfId="10" applyFont="1" applyFill="1" applyBorder="1"/>
    <xf numFmtId="0" fontId="59" fillId="14" borderId="0" xfId="10" applyFont="1" applyFill="1"/>
    <xf numFmtId="0" fontId="3" fillId="14" borderId="4" xfId="0" applyFont="1" applyFill="1" applyBorder="1" applyAlignment="1">
      <alignment vertical="center" wrapText="1"/>
    </xf>
    <xf numFmtId="17" fontId="19" fillId="8" borderId="5" xfId="0" applyNumberFormat="1" applyFont="1" applyFill="1" applyBorder="1" applyAlignment="1" applyProtection="1">
      <alignment vertical="center" wrapText="1"/>
      <protection locked="0"/>
    </xf>
    <xf numFmtId="14" fontId="19" fillId="8" borderId="5" xfId="0" applyNumberFormat="1" applyFont="1" applyFill="1" applyBorder="1" applyAlignment="1" applyProtection="1">
      <alignment vertical="center" wrapText="1"/>
      <protection locked="0"/>
    </xf>
    <xf numFmtId="165" fontId="9" fillId="7" borderId="76" xfId="3" applyNumberFormat="1" applyFont="1" applyFill="1" applyBorder="1" applyAlignment="1">
      <alignment vertical="center" wrapText="1"/>
    </xf>
    <xf numFmtId="165" fontId="31" fillId="7" borderId="77" xfId="3" applyNumberFormat="1" applyFont="1" applyFill="1" applyBorder="1" applyAlignment="1">
      <alignment horizontal="center" vertical="center" wrapText="1"/>
    </xf>
    <xf numFmtId="165" fontId="9" fillId="7" borderId="78" xfId="3" applyNumberFormat="1" applyFont="1" applyFill="1" applyBorder="1" applyAlignment="1">
      <alignment vertical="center" wrapText="1"/>
    </xf>
    <xf numFmtId="165" fontId="22" fillId="7" borderId="80" xfId="3" applyNumberFormat="1" applyFont="1" applyFill="1" applyBorder="1" applyAlignment="1">
      <alignment vertical="center" wrapText="1"/>
    </xf>
    <xf numFmtId="165" fontId="22" fillId="7" borderId="79" xfId="3" applyNumberFormat="1" applyFont="1" applyFill="1" applyBorder="1" applyAlignment="1">
      <alignment vertical="center" wrapText="1"/>
    </xf>
    <xf numFmtId="165" fontId="22" fillId="7" borderId="54" xfId="3" applyNumberFormat="1" applyFont="1" applyFill="1" applyBorder="1" applyAlignment="1">
      <alignment vertical="center" wrapText="1"/>
    </xf>
    <xf numFmtId="0" fontId="3" fillId="4" borderId="28" xfId="0" applyFont="1" applyFill="1" applyBorder="1" applyAlignment="1">
      <alignment vertical="center" wrapText="1"/>
    </xf>
    <xf numFmtId="165" fontId="9" fillId="26" borderId="3" xfId="3" applyNumberFormat="1" applyFont="1" applyFill="1" applyBorder="1" applyAlignment="1">
      <alignment vertical="center" wrapText="1"/>
    </xf>
    <xf numFmtId="0" fontId="54" fillId="8" borderId="2" xfId="0" applyFont="1" applyFill="1" applyBorder="1" applyAlignment="1" applyProtection="1">
      <alignment vertical="center" wrapText="1"/>
      <protection locked="0"/>
    </xf>
    <xf numFmtId="0" fontId="52" fillId="8" borderId="2" xfId="0" applyFont="1" applyFill="1" applyBorder="1" applyProtection="1">
      <protection locked="0"/>
    </xf>
    <xf numFmtId="0" fontId="52" fillId="8" borderId="3" xfId="0" applyFont="1" applyFill="1" applyBorder="1" applyProtection="1">
      <protection locked="0"/>
    </xf>
    <xf numFmtId="165" fontId="53" fillId="6" borderId="2" xfId="3" applyNumberFormat="1" applyFont="1" applyFill="1" applyBorder="1" applyAlignment="1" applyProtection="1">
      <alignment vertical="center" wrapText="1"/>
      <protection locked="0"/>
    </xf>
    <xf numFmtId="0" fontId="19" fillId="6" borderId="2" xfId="0" applyFont="1" applyFill="1" applyBorder="1" applyProtection="1">
      <protection locked="0"/>
    </xf>
    <xf numFmtId="9" fontId="0" fillId="6" borderId="2" xfId="1" applyFont="1" applyFill="1" applyBorder="1" applyProtection="1">
      <protection locked="0"/>
    </xf>
    <xf numFmtId="0" fontId="0" fillId="8" borderId="51" xfId="0" applyFill="1" applyBorder="1" applyProtection="1">
      <protection locked="0"/>
    </xf>
    <xf numFmtId="9" fontId="0" fillId="6" borderId="8" xfId="1" applyFont="1" applyFill="1" applyBorder="1" applyProtection="1">
      <protection locked="0"/>
    </xf>
    <xf numFmtId="9" fontId="9" fillId="9" borderId="5" xfId="1" applyFont="1" applyFill="1" applyBorder="1" applyAlignment="1" applyProtection="1">
      <alignment vertical="center" wrapText="1"/>
    </xf>
    <xf numFmtId="0" fontId="0" fillId="14" borderId="14" xfId="0" applyFill="1" applyBorder="1"/>
    <xf numFmtId="0" fontId="8" fillId="2" borderId="40" xfId="0" applyFont="1" applyFill="1" applyBorder="1" applyAlignment="1">
      <alignment horizontal="center" vertical="center" wrapText="1"/>
    </xf>
    <xf numFmtId="0" fontId="8" fillId="2" borderId="55" xfId="0" applyFont="1" applyFill="1" applyBorder="1" applyAlignment="1">
      <alignment horizontal="center" vertical="center" wrapText="1"/>
    </xf>
    <xf numFmtId="167" fontId="62" fillId="17" borderId="45" xfId="0" applyNumberFormat="1" applyFont="1" applyFill="1" applyBorder="1" applyAlignment="1">
      <alignment horizontal="center" vertical="center"/>
    </xf>
    <xf numFmtId="0" fontId="8" fillId="2" borderId="3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63" fillId="27" borderId="44" xfId="0" applyFont="1" applyFill="1" applyBorder="1"/>
    <xf numFmtId="0" fontId="18" fillId="14" borderId="10" xfId="0" applyFont="1" applyFill="1" applyBorder="1" applyAlignment="1">
      <alignment horizontal="left" vertical="top" wrapText="1"/>
    </xf>
    <xf numFmtId="0" fontId="3" fillId="3" borderId="28" xfId="0" applyFont="1" applyFill="1" applyBorder="1" applyAlignment="1">
      <alignment horizontal="center" vertical="center" wrapText="1"/>
    </xf>
    <xf numFmtId="0" fontId="74" fillId="13" borderId="1" xfId="0" applyFont="1" applyFill="1" applyBorder="1" applyAlignment="1">
      <alignment vertical="center" wrapText="1"/>
    </xf>
    <xf numFmtId="0" fontId="3" fillId="13" borderId="5" xfId="0" applyFont="1" applyFill="1" applyBorder="1" applyAlignment="1">
      <alignment vertical="center" wrapText="1"/>
    </xf>
    <xf numFmtId="0" fontId="9" fillId="19" borderId="41" xfId="0" applyFont="1" applyFill="1" applyBorder="1" applyAlignment="1">
      <alignment vertical="center" wrapText="1"/>
    </xf>
    <xf numFmtId="0" fontId="3" fillId="3" borderId="37" xfId="0" applyFont="1" applyFill="1" applyBorder="1" applyAlignment="1">
      <alignment vertical="center" wrapText="1"/>
    </xf>
    <xf numFmtId="0" fontId="9" fillId="19" borderId="93" xfId="0" applyFont="1" applyFill="1" applyBorder="1" applyAlignment="1">
      <alignment vertical="center" wrapText="1"/>
    </xf>
    <xf numFmtId="0" fontId="9" fillId="19" borderId="37" xfId="0" applyFont="1" applyFill="1" applyBorder="1" applyAlignment="1">
      <alignment vertical="center" wrapText="1"/>
    </xf>
    <xf numFmtId="0" fontId="0" fillId="0" borderId="95" xfId="0" applyBorder="1"/>
    <xf numFmtId="0" fontId="2" fillId="14" borderId="48" xfId="0" applyFont="1" applyFill="1" applyBorder="1" applyAlignment="1">
      <alignment horizontal="center" vertical="center" wrapText="1"/>
    </xf>
    <xf numFmtId="172" fontId="19" fillId="6" borderId="45" xfId="3" applyNumberFormat="1" applyFont="1" applyFill="1" applyBorder="1" applyAlignment="1" applyProtection="1">
      <alignment vertical="center" wrapText="1"/>
      <protection locked="0"/>
    </xf>
    <xf numFmtId="0" fontId="36" fillId="0" borderId="0" xfId="0" applyFont="1"/>
    <xf numFmtId="43" fontId="9" fillId="7" borderId="3" xfId="3" applyFont="1" applyFill="1" applyBorder="1" applyAlignment="1">
      <alignment vertical="center" wrapText="1"/>
    </xf>
    <xf numFmtId="0" fontId="0" fillId="0" borderId="15" xfId="0" applyBorder="1"/>
    <xf numFmtId="0" fontId="0" fillId="0" borderId="9" xfId="0" applyBorder="1"/>
    <xf numFmtId="0" fontId="3" fillId="0" borderId="5" xfId="0" applyFont="1" applyBorder="1" applyAlignment="1">
      <alignment vertical="center" wrapText="1"/>
    </xf>
    <xf numFmtId="0" fontId="9" fillId="65" borderId="5" xfId="0" applyFont="1" applyFill="1" applyBorder="1" applyAlignment="1">
      <alignment vertical="center" wrapText="1"/>
    </xf>
    <xf numFmtId="49" fontId="76" fillId="3" borderId="5" xfId="0" applyNumberFormat="1" applyFont="1" applyFill="1" applyBorder="1" applyAlignment="1">
      <alignment vertical="center" wrapText="1"/>
    </xf>
    <xf numFmtId="164" fontId="77" fillId="6" borderId="3" xfId="0" applyNumberFormat="1" applyFont="1" applyFill="1" applyBorder="1" applyAlignment="1" applyProtection="1">
      <alignment vertical="center" wrapText="1"/>
      <protection locked="0"/>
    </xf>
    <xf numFmtId="0" fontId="0" fillId="0" borderId="1" xfId="0" applyBorder="1" applyAlignment="1">
      <alignment horizontal="left"/>
    </xf>
    <xf numFmtId="0" fontId="3" fillId="3" borderId="5" xfId="0" applyFont="1" applyFill="1" applyBorder="1" applyAlignment="1">
      <alignment vertical="center"/>
    </xf>
    <xf numFmtId="0" fontId="2" fillId="2" borderId="2" xfId="0" applyFont="1" applyFill="1" applyBorder="1" applyAlignment="1">
      <alignment horizontal="right" vertical="center" wrapText="1"/>
    </xf>
    <xf numFmtId="49" fontId="9" fillId="3" borderId="4" xfId="0" applyNumberFormat="1" applyFont="1" applyFill="1" applyBorder="1" applyAlignment="1">
      <alignment horizontal="center" vertical="center" wrapText="1"/>
    </xf>
    <xf numFmtId="1" fontId="9" fillId="9" borderId="3" xfId="0" applyNumberFormat="1" applyFont="1" applyFill="1" applyBorder="1" applyAlignment="1">
      <alignment horizontal="center" vertical="center" wrapText="1"/>
    </xf>
    <xf numFmtId="43" fontId="9" fillId="9" borderId="2" xfId="3" applyFont="1" applyFill="1" applyBorder="1" applyAlignment="1">
      <alignment vertical="center" wrapText="1"/>
    </xf>
    <xf numFmtId="174" fontId="0" fillId="9" borderId="45" xfId="3" applyNumberFormat="1" applyFont="1" applyFill="1" applyBorder="1" applyProtection="1"/>
    <xf numFmtId="43" fontId="9" fillId="9" borderId="3" xfId="3" applyFont="1" applyFill="1" applyBorder="1" applyAlignment="1" applyProtection="1">
      <alignment vertical="center" wrapText="1"/>
    </xf>
    <xf numFmtId="43" fontId="31" fillId="9" borderId="3" xfId="3" applyFont="1" applyFill="1" applyBorder="1" applyAlignment="1" applyProtection="1">
      <alignment vertical="center" wrapText="1"/>
    </xf>
    <xf numFmtId="43" fontId="31" fillId="9" borderId="7" xfId="3" applyFont="1" applyFill="1" applyBorder="1" applyAlignment="1" applyProtection="1">
      <alignment vertical="center" wrapText="1"/>
    </xf>
    <xf numFmtId="43" fontId="9" fillId="22" borderId="3" xfId="3" applyFont="1" applyFill="1" applyBorder="1" applyAlignment="1" applyProtection="1">
      <alignment vertical="center" wrapText="1"/>
    </xf>
    <xf numFmtId="43" fontId="9" fillId="9" borderId="3" xfId="3" applyFont="1" applyFill="1" applyBorder="1" applyAlignment="1">
      <alignment vertical="center" wrapText="1"/>
    </xf>
    <xf numFmtId="43" fontId="31" fillId="9" borderId="3" xfId="3" applyFont="1" applyFill="1" applyBorder="1" applyAlignment="1">
      <alignment vertical="center" wrapText="1"/>
    </xf>
    <xf numFmtId="43" fontId="55" fillId="9" borderId="3" xfId="3" applyFont="1" applyFill="1" applyBorder="1" applyAlignment="1">
      <alignment vertical="center" wrapText="1"/>
    </xf>
    <xf numFmtId="43" fontId="56" fillId="9" borderId="3" xfId="3" applyFont="1" applyFill="1" applyBorder="1" applyAlignment="1">
      <alignment vertical="center" wrapText="1"/>
    </xf>
    <xf numFmtId="43" fontId="9" fillId="9" borderId="51" xfId="3" applyFont="1" applyFill="1" applyBorder="1" applyAlignment="1">
      <alignment vertical="center" wrapText="1"/>
    </xf>
    <xf numFmtId="43" fontId="31" fillId="9" borderId="51" xfId="3" applyFont="1" applyFill="1" applyBorder="1" applyAlignment="1">
      <alignment vertical="center" wrapText="1"/>
    </xf>
    <xf numFmtId="43" fontId="9" fillId="9" borderId="57" xfId="3" applyFont="1" applyFill="1" applyBorder="1" applyAlignment="1">
      <alignment vertical="center" wrapText="1"/>
    </xf>
    <xf numFmtId="43" fontId="9" fillId="9" borderId="60" xfId="3" applyFont="1" applyFill="1" applyBorder="1" applyAlignment="1">
      <alignment vertical="center" wrapText="1"/>
    </xf>
    <xf numFmtId="43" fontId="9" fillId="9" borderId="30" xfId="3" applyFont="1" applyFill="1" applyBorder="1" applyAlignment="1">
      <alignment vertical="center" wrapText="1"/>
    </xf>
    <xf numFmtId="43" fontId="9" fillId="9" borderId="57" xfId="3" applyFont="1" applyFill="1" applyBorder="1" applyAlignment="1" applyProtection="1">
      <alignment vertical="center" wrapText="1"/>
    </xf>
    <xf numFmtId="43" fontId="9" fillId="9" borderId="2" xfId="3" applyFont="1" applyFill="1" applyBorder="1" applyAlignment="1">
      <alignment horizontal="left" vertical="center" wrapText="1" indent="3"/>
    </xf>
    <xf numFmtId="0" fontId="2" fillId="2" borderId="41" xfId="0" applyFont="1" applyFill="1" applyBorder="1" applyAlignment="1">
      <alignment horizontal="center" vertical="center" wrapText="1"/>
    </xf>
    <xf numFmtId="43" fontId="9" fillId="9" borderId="97" xfId="3" applyFont="1" applyFill="1" applyBorder="1" applyAlignment="1" applyProtection="1">
      <alignment vertical="center" wrapText="1"/>
    </xf>
    <xf numFmtId="0" fontId="0" fillId="0" borderId="14" xfId="0" applyBorder="1" applyProtection="1">
      <protection locked="0"/>
    </xf>
    <xf numFmtId="0" fontId="2" fillId="2" borderId="98" xfId="0" applyFont="1" applyFill="1" applyBorder="1" applyAlignment="1">
      <alignment horizontal="center" vertical="center" wrapText="1"/>
    </xf>
    <xf numFmtId="43" fontId="31" fillId="9" borderId="99" xfId="3" applyFont="1" applyFill="1" applyBorder="1" applyAlignment="1" applyProtection="1">
      <alignment vertical="center" wrapText="1"/>
    </xf>
    <xf numFmtId="0" fontId="0" fillId="0" borderId="100" xfId="0" applyBorder="1"/>
    <xf numFmtId="0" fontId="0" fillId="0" borderId="101" xfId="0" applyBorder="1"/>
    <xf numFmtId="0" fontId="2" fillId="2" borderId="102" xfId="0" applyFont="1" applyFill="1" applyBorder="1" applyAlignment="1">
      <alignment horizontal="center" vertical="center" wrapText="1"/>
    </xf>
    <xf numFmtId="0" fontId="0" fillId="0" borderId="101" xfId="0" applyBorder="1" applyProtection="1">
      <protection locked="0"/>
    </xf>
    <xf numFmtId="0" fontId="0" fillId="0" borderId="95" xfId="0" applyBorder="1" applyProtection="1">
      <protection locked="0"/>
    </xf>
    <xf numFmtId="43" fontId="31" fillId="9" borderId="5" xfId="3" applyFont="1" applyFill="1" applyBorder="1" applyAlignment="1" applyProtection="1">
      <alignment vertical="center" wrapText="1"/>
    </xf>
    <xf numFmtId="43" fontId="31" fillId="9" borderId="103" xfId="3" applyFont="1" applyFill="1" applyBorder="1" applyAlignment="1" applyProtection="1">
      <alignment vertical="center" wrapText="1"/>
    </xf>
    <xf numFmtId="0" fontId="19" fillId="0" borderId="14" xfId="0" applyFont="1" applyBorder="1"/>
    <xf numFmtId="43" fontId="9" fillId="9" borderId="45" xfId="3" applyFont="1" applyFill="1" applyBorder="1" applyAlignment="1" applyProtection="1">
      <alignment vertical="center" wrapText="1"/>
    </xf>
    <xf numFmtId="0" fontId="2" fillId="2" borderId="96" xfId="0" applyFont="1" applyFill="1" applyBorder="1" applyAlignment="1">
      <alignment horizontal="center" vertical="center" wrapText="1"/>
    </xf>
    <xf numFmtId="43" fontId="9" fillId="9" borderId="94" xfId="3" applyFont="1" applyFill="1" applyBorder="1" applyAlignment="1" applyProtection="1">
      <alignment vertical="center" wrapText="1"/>
    </xf>
    <xf numFmtId="43" fontId="9" fillId="9" borderId="104" xfId="3" applyFont="1" applyFill="1" applyBorder="1" applyAlignment="1" applyProtection="1">
      <alignment vertical="center" wrapText="1"/>
    </xf>
    <xf numFmtId="43" fontId="9" fillId="9" borderId="77" xfId="3" applyFont="1" applyFill="1" applyBorder="1" applyAlignment="1" applyProtection="1">
      <alignment vertical="center" wrapText="1"/>
    </xf>
    <xf numFmtId="43" fontId="9" fillId="9" borderId="105" xfId="3" applyFont="1" applyFill="1" applyBorder="1" applyAlignment="1" applyProtection="1">
      <alignment vertical="center" wrapText="1"/>
    </xf>
    <xf numFmtId="165" fontId="9" fillId="7" borderId="51" xfId="3" applyNumberFormat="1" applyFont="1" applyFill="1" applyBorder="1" applyAlignment="1">
      <alignment vertical="center" wrapText="1"/>
    </xf>
    <xf numFmtId="165" fontId="32" fillId="7" borderId="58" xfId="3" applyNumberFormat="1" applyFont="1" applyFill="1" applyBorder="1" applyAlignment="1">
      <alignment vertical="center" wrapText="1"/>
    </xf>
    <xf numFmtId="165" fontId="9" fillId="7" borderId="106" xfId="3" applyNumberFormat="1" applyFont="1" applyFill="1" applyBorder="1" applyAlignment="1">
      <alignment vertical="center" wrapText="1"/>
    </xf>
    <xf numFmtId="0" fontId="79" fillId="2" borderId="37" xfId="0" applyFont="1" applyFill="1" applyBorder="1" applyAlignment="1">
      <alignment horizontal="center" vertical="center" wrapText="1"/>
    </xf>
    <xf numFmtId="43" fontId="80" fillId="9" borderId="3" xfId="3" applyFont="1" applyFill="1" applyBorder="1" applyAlignment="1">
      <alignment vertical="center" wrapText="1"/>
    </xf>
    <xf numFmtId="43" fontId="80" fillId="9" borderId="5" xfId="3" applyFont="1" applyFill="1" applyBorder="1" applyAlignment="1">
      <alignment vertical="center" wrapText="1"/>
    </xf>
    <xf numFmtId="43" fontId="80" fillId="9" borderId="51" xfId="3" applyFont="1" applyFill="1" applyBorder="1" applyAlignment="1">
      <alignment vertical="center" wrapText="1"/>
    </xf>
    <xf numFmtId="0" fontId="79" fillId="2" borderId="5" xfId="0" applyFont="1" applyFill="1" applyBorder="1" applyAlignment="1">
      <alignment horizontal="center" vertical="center" wrapText="1"/>
    </xf>
    <xf numFmtId="43" fontId="80" fillId="9" borderId="99" xfId="3" applyFont="1" applyFill="1" applyBorder="1" applyAlignment="1">
      <alignment vertical="center" wrapText="1"/>
    </xf>
    <xf numFmtId="43" fontId="80" fillId="9" borderId="107" xfId="3" applyFont="1" applyFill="1" applyBorder="1" applyAlignment="1">
      <alignment vertical="center" wrapText="1"/>
    </xf>
    <xf numFmtId="0" fontId="79" fillId="2" borderId="102" xfId="0" applyFont="1" applyFill="1" applyBorder="1" applyAlignment="1">
      <alignment horizontal="center" vertical="center" wrapText="1"/>
    </xf>
    <xf numFmtId="43" fontId="80" fillId="9" borderId="102" xfId="3" applyFont="1" applyFill="1" applyBorder="1" applyAlignment="1">
      <alignment vertical="center" wrapText="1"/>
    </xf>
    <xf numFmtId="0" fontId="0" fillId="0" borderId="90" xfId="0" applyBorder="1"/>
    <xf numFmtId="0" fontId="0" fillId="0" borderId="91" xfId="0" applyBorder="1"/>
    <xf numFmtId="0" fontId="0" fillId="0" borderId="108" xfId="0" applyBorder="1"/>
    <xf numFmtId="165" fontId="22" fillId="0" borderId="26" xfId="3" applyNumberFormat="1" applyFont="1" applyFill="1" applyBorder="1" applyAlignment="1">
      <alignment vertical="center" wrapText="1"/>
    </xf>
    <xf numFmtId="0" fontId="0" fillId="14" borderId="12" xfId="0" applyFill="1" applyBorder="1"/>
    <xf numFmtId="165" fontId="22" fillId="0" borderId="53" xfId="3" applyNumberFormat="1" applyFont="1" applyFill="1" applyBorder="1" applyAlignment="1">
      <alignment vertical="center" wrapText="1"/>
    </xf>
    <xf numFmtId="43" fontId="9" fillId="9" borderId="6" xfId="3" applyFont="1" applyFill="1" applyBorder="1" applyAlignment="1">
      <alignment horizontal="left" vertical="center" wrapText="1" indent="3"/>
    </xf>
    <xf numFmtId="43" fontId="31" fillId="9" borderId="6" xfId="3" applyFont="1" applyFill="1" applyBorder="1" applyAlignment="1">
      <alignment horizontal="left" vertical="center" wrapText="1" indent="3"/>
    </xf>
    <xf numFmtId="0" fontId="79" fillId="2" borderId="0" xfId="0" applyFont="1" applyFill="1" applyAlignment="1">
      <alignment horizontal="center" vertical="center" wrapText="1"/>
    </xf>
    <xf numFmtId="43" fontId="76" fillId="9" borderId="109" xfId="3" applyFont="1" applyFill="1" applyBorder="1" applyAlignment="1">
      <alignment vertical="center" wrapText="1"/>
    </xf>
    <xf numFmtId="43" fontId="76" fillId="9" borderId="110" xfId="3" applyFont="1" applyFill="1" applyBorder="1" applyAlignment="1">
      <alignment vertical="center" wrapText="1"/>
    </xf>
    <xf numFmtId="43" fontId="76" fillId="9" borderId="55" xfId="3" applyFont="1" applyFill="1" applyBorder="1" applyAlignment="1">
      <alignment vertical="center" wrapText="1"/>
    </xf>
    <xf numFmtId="165" fontId="32" fillId="0" borderId="111" xfId="3" applyNumberFormat="1" applyFont="1" applyFill="1" applyBorder="1" applyAlignment="1">
      <alignment vertical="center" wrapText="1"/>
    </xf>
    <xf numFmtId="0" fontId="79" fillId="2" borderId="112" xfId="0" applyFont="1" applyFill="1" applyBorder="1" applyAlignment="1">
      <alignment horizontal="center" vertical="center" wrapText="1"/>
    </xf>
    <xf numFmtId="165" fontId="32" fillId="0" borderId="113" xfId="3" applyNumberFormat="1" applyFont="1" applyFill="1" applyBorder="1" applyAlignment="1">
      <alignment vertical="center" wrapText="1"/>
    </xf>
    <xf numFmtId="165" fontId="32" fillId="0" borderId="67" xfId="3" applyNumberFormat="1" applyFont="1" applyFill="1" applyBorder="1" applyAlignment="1">
      <alignment vertical="center" wrapText="1"/>
    </xf>
    <xf numFmtId="0" fontId="0" fillId="0" borderId="114" xfId="0" applyBorder="1"/>
    <xf numFmtId="165" fontId="32" fillId="0" borderId="114" xfId="3" applyNumberFormat="1" applyFont="1" applyFill="1" applyBorder="1" applyAlignment="1">
      <alignment vertical="center" wrapText="1"/>
    </xf>
    <xf numFmtId="165" fontId="32" fillId="0" borderId="115" xfId="3" applyNumberFormat="1" applyFont="1" applyFill="1" applyBorder="1" applyAlignment="1">
      <alignment vertical="center" wrapText="1"/>
    </xf>
    <xf numFmtId="43" fontId="80" fillId="9" borderId="112" xfId="3" applyFont="1" applyFill="1" applyBorder="1" applyAlignment="1">
      <alignment horizontal="left" vertical="center" wrapText="1" indent="3"/>
    </xf>
    <xf numFmtId="43" fontId="80" fillId="9" borderId="40" xfId="3" applyFont="1" applyFill="1" applyBorder="1" applyAlignment="1">
      <alignment horizontal="left" vertical="center" wrapText="1" indent="3"/>
    </xf>
    <xf numFmtId="43" fontId="80" fillId="9" borderId="116" xfId="3" applyFont="1" applyFill="1" applyBorder="1" applyAlignment="1">
      <alignment horizontal="left" vertical="center" wrapText="1" indent="3"/>
    </xf>
    <xf numFmtId="0" fontId="79" fillId="2" borderId="52" xfId="0" applyFont="1" applyFill="1" applyBorder="1" applyAlignment="1">
      <alignment horizontal="center" vertical="center" wrapText="1"/>
    </xf>
    <xf numFmtId="43" fontId="76" fillId="9" borderId="90" xfId="3" applyFont="1" applyFill="1" applyBorder="1" applyAlignment="1">
      <alignment vertical="center" wrapText="1"/>
    </xf>
    <xf numFmtId="165" fontId="32" fillId="0" borderId="91" xfId="3" applyNumberFormat="1" applyFont="1" applyFill="1" applyBorder="1" applyAlignment="1">
      <alignment vertical="center" wrapText="1"/>
    </xf>
    <xf numFmtId="0" fontId="79" fillId="2" borderId="104" xfId="0" applyFont="1" applyFill="1" applyBorder="1" applyAlignment="1">
      <alignment horizontal="center" vertical="center" wrapText="1"/>
    </xf>
    <xf numFmtId="165" fontId="80" fillId="9" borderId="104" xfId="3" applyNumberFormat="1" applyFont="1" applyFill="1" applyBorder="1" applyAlignment="1">
      <alignment vertical="center" wrapText="1"/>
    </xf>
    <xf numFmtId="165" fontId="80" fillId="9" borderId="77" xfId="3" applyNumberFormat="1" applyFont="1" applyFill="1" applyBorder="1" applyAlignment="1">
      <alignment vertical="center" wrapText="1"/>
    </xf>
    <xf numFmtId="165" fontId="80" fillId="9" borderId="94" xfId="3" applyNumberFormat="1" applyFont="1" applyFill="1" applyBorder="1" applyAlignment="1">
      <alignment vertical="center" wrapText="1"/>
    </xf>
    <xf numFmtId="43" fontId="80" fillId="9" borderId="104" xfId="3" applyFont="1" applyFill="1" applyBorder="1" applyAlignment="1">
      <alignment horizontal="left" vertical="center" wrapText="1" indent="3"/>
    </xf>
    <xf numFmtId="43" fontId="80" fillId="9" borderId="77" xfId="3" applyFont="1" applyFill="1" applyBorder="1" applyAlignment="1">
      <alignment horizontal="left" vertical="center" wrapText="1" indent="3"/>
    </xf>
    <xf numFmtId="43" fontId="80" fillId="9" borderId="105" xfId="3" applyFont="1" applyFill="1" applyBorder="1" applyAlignment="1">
      <alignment horizontal="left" vertical="center" wrapText="1" indent="3"/>
    </xf>
    <xf numFmtId="0" fontId="3" fillId="3" borderId="45" xfId="0" applyFont="1" applyFill="1" applyBorder="1" applyAlignment="1">
      <alignment vertical="center" wrapText="1"/>
    </xf>
    <xf numFmtId="0" fontId="3" fillId="3" borderId="4" xfId="0" applyFont="1" applyFill="1" applyBorder="1" applyAlignment="1">
      <alignment vertical="center"/>
    </xf>
    <xf numFmtId="2" fontId="3" fillId="3" borderId="5" xfId="0" applyNumberFormat="1" applyFont="1" applyFill="1" applyBorder="1" applyAlignment="1">
      <alignment horizontal="right" vertical="center"/>
    </xf>
    <xf numFmtId="2" fontId="5" fillId="3" borderId="5" xfId="0" applyNumberFormat="1" applyFont="1" applyFill="1" applyBorder="1" applyAlignment="1">
      <alignment horizontal="right" vertical="center"/>
    </xf>
    <xf numFmtId="43" fontId="0" fillId="0" borderId="1" xfId="0" applyNumberFormat="1" applyBorder="1"/>
    <xf numFmtId="0" fontId="18" fillId="14" borderId="1" xfId="0" applyFont="1" applyFill="1" applyBorder="1"/>
    <xf numFmtId="0" fontId="3" fillId="13" borderId="4" xfId="0" applyFont="1" applyFill="1" applyBorder="1" applyAlignment="1">
      <alignment vertical="center" wrapText="1"/>
    </xf>
    <xf numFmtId="165" fontId="82" fillId="6" borderId="117" xfId="3" applyNumberFormat="1" applyFont="1" applyFill="1" applyBorder="1" applyAlignment="1" applyProtection="1">
      <alignment vertical="center" wrapText="1"/>
      <protection locked="0"/>
    </xf>
    <xf numFmtId="43" fontId="9" fillId="9" borderId="6" xfId="3" applyFont="1" applyFill="1" applyBorder="1" applyAlignment="1">
      <alignment vertical="center" wrapText="1"/>
    </xf>
    <xf numFmtId="43" fontId="80" fillId="9" borderId="112" xfId="3" applyFont="1" applyFill="1" applyBorder="1" applyAlignment="1">
      <alignment vertical="center" wrapText="1"/>
    </xf>
    <xf numFmtId="43" fontId="80" fillId="9" borderId="40" xfId="3" applyFont="1" applyFill="1" applyBorder="1" applyAlignment="1">
      <alignment vertical="center" wrapText="1"/>
    </xf>
    <xf numFmtId="43" fontId="31" fillId="9" borderId="6" xfId="3" applyFont="1" applyFill="1" applyBorder="1" applyAlignment="1">
      <alignment vertical="center" wrapText="1"/>
    </xf>
    <xf numFmtId="43" fontId="80" fillId="9" borderId="55" xfId="3" applyFont="1" applyFill="1" applyBorder="1" applyAlignment="1">
      <alignment vertical="center" wrapText="1"/>
    </xf>
    <xf numFmtId="2" fontId="0" fillId="9" borderId="2" xfId="0" applyNumberFormat="1" applyFill="1" applyBorder="1"/>
    <xf numFmtId="165" fontId="83" fillId="25" borderId="2" xfId="3" applyNumberFormat="1" applyFont="1" applyFill="1" applyBorder="1" applyAlignment="1">
      <alignment vertical="center" wrapText="1"/>
    </xf>
    <xf numFmtId="9" fontId="19" fillId="22" borderId="2" xfId="1" applyFont="1" applyFill="1" applyBorder="1" applyAlignment="1">
      <alignment horizontal="center"/>
    </xf>
    <xf numFmtId="0" fontId="46" fillId="14" borderId="14" xfId="0" applyFont="1" applyFill="1" applyBorder="1"/>
    <xf numFmtId="43" fontId="19" fillId="6" borderId="45" xfId="3" applyFont="1" applyFill="1" applyBorder="1" applyAlignment="1" applyProtection="1">
      <alignment vertical="center" wrapText="1"/>
      <protection locked="0"/>
    </xf>
    <xf numFmtId="165" fontId="22" fillId="7" borderId="51" xfId="3" applyNumberFormat="1" applyFont="1" applyFill="1" applyBorder="1" applyAlignment="1">
      <alignment vertical="center" wrapText="1"/>
    </xf>
    <xf numFmtId="165" fontId="22" fillId="7" borderId="106" xfId="3" applyNumberFormat="1" applyFont="1" applyFill="1" applyBorder="1" applyAlignment="1">
      <alignment vertical="center" wrapText="1"/>
    </xf>
    <xf numFmtId="0" fontId="25" fillId="0" borderId="20" xfId="0" applyFont="1" applyBorder="1" applyAlignment="1">
      <alignment horizontal="left"/>
    </xf>
    <xf numFmtId="2" fontId="9" fillId="17" borderId="45" xfId="0" applyNumberFormat="1" applyFont="1" applyFill="1" applyBorder="1"/>
    <xf numFmtId="0" fontId="2" fillId="2" borderId="50" xfId="0" applyFont="1" applyFill="1" applyBorder="1" applyAlignment="1">
      <alignment horizontal="center" vertical="center" wrapText="1"/>
    </xf>
    <xf numFmtId="15" fontId="75" fillId="13" borderId="1" xfId="0" applyNumberFormat="1" applyFont="1" applyFill="1" applyBorder="1"/>
    <xf numFmtId="0" fontId="25" fillId="0" borderId="20" xfId="0" applyFont="1" applyBorder="1"/>
    <xf numFmtId="0" fontId="25" fillId="0" borderId="21" xfId="0" applyFont="1" applyBorder="1"/>
    <xf numFmtId="0" fontId="25" fillId="0" borderId="22" xfId="0" applyFont="1" applyBorder="1"/>
    <xf numFmtId="0" fontId="31" fillId="3" borderId="5" xfId="0" applyFont="1" applyFill="1" applyBorder="1" applyAlignment="1">
      <alignment vertical="center" wrapText="1"/>
    </xf>
    <xf numFmtId="0" fontId="8" fillId="2" borderId="0" xfId="0" applyFont="1" applyFill="1" applyAlignment="1">
      <alignment horizontal="center" vertical="center" wrapText="1"/>
    </xf>
    <xf numFmtId="0" fontId="62" fillId="0" borderId="12" xfId="0" applyFont="1" applyBorder="1"/>
    <xf numFmtId="0" fontId="77" fillId="0" borderId="14" xfId="0" applyFont="1" applyBorder="1"/>
    <xf numFmtId="0" fontId="62" fillId="0" borderId="1" xfId="0" applyFont="1" applyBorder="1"/>
    <xf numFmtId="0" fontId="62" fillId="0" borderId="0" xfId="0" applyFont="1"/>
    <xf numFmtId="0" fontId="3" fillId="13" borderId="45" xfId="0" applyFont="1" applyFill="1" applyBorder="1" applyAlignment="1">
      <alignment vertical="top"/>
    </xf>
    <xf numFmtId="0" fontId="3" fillId="13" borderId="45" xfId="0" applyFont="1" applyFill="1" applyBorder="1" applyAlignment="1">
      <alignment vertical="top" wrapText="1"/>
    </xf>
    <xf numFmtId="0" fontId="3" fillId="13" borderId="0" xfId="0" applyFont="1" applyFill="1" applyAlignment="1">
      <alignment vertical="top" wrapText="1"/>
    </xf>
    <xf numFmtId="0" fontId="3" fillId="13" borderId="0" xfId="0" applyFont="1" applyFill="1" applyAlignment="1">
      <alignment vertical="top"/>
    </xf>
    <xf numFmtId="0" fontId="2" fillId="2" borderId="6" xfId="0" applyFont="1" applyFill="1" applyBorder="1" applyAlignment="1">
      <alignment horizontal="left" vertical="center" wrapText="1"/>
    </xf>
    <xf numFmtId="171" fontId="9" fillId="66" borderId="5" xfId="0" applyNumberFormat="1" applyFont="1" applyFill="1" applyBorder="1" applyAlignment="1">
      <alignment vertical="center" wrapText="1"/>
    </xf>
    <xf numFmtId="0" fontId="9" fillId="66" borderId="5" xfId="0" applyFont="1" applyFill="1" applyBorder="1" applyAlignment="1">
      <alignment vertical="center" wrapText="1"/>
    </xf>
    <xf numFmtId="0" fontId="3" fillId="67" borderId="5" xfId="0" applyFont="1" applyFill="1" applyBorder="1" applyAlignment="1">
      <alignment vertical="center" wrapText="1"/>
    </xf>
    <xf numFmtId="169" fontId="3" fillId="67" borderId="5" xfId="0" applyNumberFormat="1" applyFont="1" applyFill="1" applyBorder="1" applyAlignment="1">
      <alignment vertical="center" wrapText="1"/>
    </xf>
    <xf numFmtId="169" fontId="9" fillId="66" borderId="5" xfId="0" applyNumberFormat="1" applyFont="1" applyFill="1" applyBorder="1" applyAlignment="1">
      <alignment vertical="center" wrapText="1"/>
    </xf>
    <xf numFmtId="0" fontId="19" fillId="66" borderId="90" xfId="4" applyFont="1" applyFill="1" applyBorder="1" applyAlignment="1">
      <alignment horizontal="right"/>
    </xf>
    <xf numFmtId="0" fontId="19" fillId="66" borderId="91" xfId="4" applyFont="1" applyFill="1" applyBorder="1" applyAlignment="1">
      <alignment horizontal="right"/>
    </xf>
    <xf numFmtId="0" fontId="19" fillId="66" borderId="92" xfId="4" applyFont="1" applyFill="1" applyBorder="1" applyAlignment="1">
      <alignment horizontal="right"/>
    </xf>
    <xf numFmtId="0" fontId="9" fillId="66" borderId="5" xfId="0" applyFont="1" applyFill="1" applyBorder="1" applyAlignment="1">
      <alignment horizontal="right" vertical="center" wrapText="1"/>
    </xf>
    <xf numFmtId="0" fontId="9" fillId="4" borderId="62" xfId="0" applyFont="1" applyFill="1" applyBorder="1" applyAlignment="1">
      <alignment vertical="center" wrapText="1"/>
    </xf>
    <xf numFmtId="168" fontId="9" fillId="9" borderId="3" xfId="3" applyNumberFormat="1" applyFont="1" applyFill="1" applyBorder="1" applyAlignment="1" applyProtection="1">
      <alignment vertical="center" wrapText="1"/>
    </xf>
    <xf numFmtId="165" fontId="9" fillId="9" borderId="3" xfId="3" applyNumberFormat="1" applyFont="1" applyFill="1" applyBorder="1" applyAlignment="1" applyProtection="1">
      <alignment vertical="center" wrapText="1"/>
    </xf>
    <xf numFmtId="0" fontId="7" fillId="3" borderId="3" xfId="0" applyFont="1" applyFill="1" applyBorder="1" applyAlignment="1">
      <alignment vertical="center" wrapText="1"/>
    </xf>
    <xf numFmtId="165" fontId="22" fillId="7" borderId="3" xfId="3" applyNumberFormat="1" applyFont="1" applyFill="1" applyBorder="1" applyAlignment="1">
      <alignment vertical="center" wrapText="1"/>
    </xf>
    <xf numFmtId="0" fontId="3" fillId="4" borderId="119" xfId="0" applyFont="1" applyFill="1" applyBorder="1" applyAlignment="1">
      <alignment vertical="center" wrapText="1"/>
    </xf>
    <xf numFmtId="0" fontId="3" fillId="4" borderId="120" xfId="0" applyFont="1" applyFill="1" applyBorder="1" applyAlignment="1">
      <alignment vertical="center" wrapText="1"/>
    </xf>
    <xf numFmtId="49" fontId="9" fillId="22" borderId="3" xfId="0" applyNumberFormat="1" applyFont="1" applyFill="1" applyBorder="1" applyAlignment="1" applyProtection="1">
      <alignment vertical="center" wrapText="1"/>
      <protection locked="0"/>
    </xf>
    <xf numFmtId="0" fontId="0" fillId="22" borderId="50" xfId="0" applyFill="1" applyBorder="1"/>
    <xf numFmtId="9" fontId="9" fillId="9" borderId="5" xfId="1" applyFont="1" applyFill="1" applyBorder="1" applyAlignment="1" applyProtection="1">
      <alignment horizontal="center" vertical="center" wrapText="1"/>
    </xf>
    <xf numFmtId="164" fontId="9" fillId="22" borderId="5" xfId="0" applyNumberFormat="1" applyFont="1" applyFill="1" applyBorder="1" applyAlignment="1">
      <alignment vertical="center" wrapText="1"/>
    </xf>
    <xf numFmtId="173" fontId="31" fillId="3" borderId="5" xfId="0" applyNumberFormat="1" applyFont="1" applyFill="1" applyBorder="1" applyAlignment="1">
      <alignment vertical="center" wrapText="1"/>
    </xf>
    <xf numFmtId="165" fontId="19" fillId="22" borderId="45" xfId="3" applyNumberFormat="1" applyFont="1" applyFill="1" applyBorder="1" applyAlignment="1" applyProtection="1">
      <alignment vertical="center" wrapText="1"/>
    </xf>
    <xf numFmtId="4" fontId="31" fillId="9" borderId="5" xfId="0" applyNumberFormat="1" applyFont="1" applyFill="1" applyBorder="1" applyAlignment="1">
      <alignment horizontal="right" vertical="center" wrapText="1"/>
    </xf>
    <xf numFmtId="165" fontId="9" fillId="9" borderId="51" xfId="3" applyNumberFormat="1" applyFont="1" applyFill="1" applyBorder="1" applyAlignment="1" applyProtection="1">
      <alignment vertical="center" wrapText="1"/>
    </xf>
    <xf numFmtId="0" fontId="43" fillId="3" borderId="5" xfId="10" applyFill="1" applyBorder="1" applyAlignment="1">
      <alignment vertical="center" wrapText="1"/>
    </xf>
    <xf numFmtId="0" fontId="0" fillId="8" borderId="64" xfId="0" applyFill="1" applyBorder="1" applyProtection="1">
      <protection locked="0"/>
    </xf>
    <xf numFmtId="43" fontId="31" fillId="9" borderId="77" xfId="3" applyFont="1" applyFill="1" applyBorder="1" applyAlignment="1" applyProtection="1">
      <alignment vertical="center" wrapText="1"/>
    </xf>
    <xf numFmtId="0" fontId="2" fillId="2" borderId="52" xfId="0" applyFont="1" applyFill="1" applyBorder="1" applyAlignment="1">
      <alignment horizontal="center" vertical="center" wrapText="1"/>
    </xf>
    <xf numFmtId="0" fontId="0" fillId="0" borderId="121" xfId="0" applyBorder="1"/>
    <xf numFmtId="0" fontId="0" fillId="68" borderId="121" xfId="0" applyFill="1" applyBorder="1"/>
    <xf numFmtId="49" fontId="0" fillId="0" borderId="121" xfId="0" applyNumberFormat="1" applyBorder="1"/>
    <xf numFmtId="1" fontId="0" fillId="0" borderId="121" xfId="0" applyNumberFormat="1" applyBorder="1"/>
    <xf numFmtId="0" fontId="9" fillId="17" borderId="5" xfId="0" applyFont="1" applyFill="1" applyBorder="1" applyAlignment="1" applyProtection="1">
      <alignment vertical="center" wrapText="1"/>
      <protection locked="0"/>
    </xf>
    <xf numFmtId="9" fontId="9" fillId="9" borderId="5" xfId="1" applyFont="1" applyFill="1" applyBorder="1" applyAlignment="1">
      <alignment horizontal="center" vertical="center" wrapText="1"/>
    </xf>
    <xf numFmtId="9" fontId="0" fillId="0" borderId="1" xfId="0" applyNumberFormat="1" applyBorder="1" applyAlignment="1">
      <alignment horizontal="left"/>
    </xf>
    <xf numFmtId="10" fontId="0" fillId="0" borderId="1" xfId="0" applyNumberFormat="1" applyBorder="1" applyAlignment="1">
      <alignment horizontal="left"/>
    </xf>
    <xf numFmtId="0" fontId="48" fillId="3" borderId="84" xfId="0" applyFont="1" applyFill="1" applyBorder="1" applyAlignment="1">
      <alignment wrapText="1"/>
    </xf>
    <xf numFmtId="0" fontId="13" fillId="69" borderId="16" xfId="0" applyFont="1" applyFill="1" applyBorder="1"/>
    <xf numFmtId="2" fontId="19" fillId="6" borderId="45" xfId="3" applyNumberFormat="1" applyFont="1" applyFill="1" applyBorder="1" applyAlignment="1" applyProtection="1">
      <alignment vertical="center" wrapText="1"/>
      <protection locked="0"/>
    </xf>
    <xf numFmtId="0" fontId="0" fillId="0" borderId="124" xfId="0" applyBorder="1"/>
    <xf numFmtId="0" fontId="0" fillId="0" borderId="125" xfId="0" applyBorder="1"/>
    <xf numFmtId="43" fontId="9" fillId="9" borderId="5" xfId="3" applyFont="1" applyFill="1" applyBorder="1" applyAlignment="1" applyProtection="1">
      <alignment vertical="center" wrapText="1"/>
    </xf>
    <xf numFmtId="0" fontId="84" fillId="0" borderId="0" xfId="0" applyFont="1" applyAlignment="1">
      <alignment vertical="center"/>
    </xf>
    <xf numFmtId="0" fontId="43" fillId="0" borderId="0" xfId="10" applyAlignment="1">
      <alignment vertical="center"/>
    </xf>
    <xf numFmtId="0" fontId="85" fillId="0" borderId="0" xfId="0" applyFont="1" applyAlignment="1">
      <alignment vertical="center"/>
    </xf>
    <xf numFmtId="0" fontId="86" fillId="66" borderId="125" xfId="0" applyFont="1" applyFill="1" applyBorder="1"/>
    <xf numFmtId="0" fontId="86" fillId="66" borderId="124" xfId="0" applyFont="1" applyFill="1" applyBorder="1"/>
    <xf numFmtId="0" fontId="2" fillId="2" borderId="111" xfId="0" applyFont="1" applyFill="1" applyBorder="1" applyAlignment="1">
      <alignment horizontal="center" vertical="center" wrapText="1"/>
    </xf>
    <xf numFmtId="0" fontId="0" fillId="0" borderId="126" xfId="0" applyBorder="1"/>
    <xf numFmtId="0" fontId="0" fillId="68" borderId="126" xfId="0" applyFill="1" applyBorder="1"/>
    <xf numFmtId="0" fontId="13" fillId="0" borderId="127" xfId="0" applyFont="1" applyBorder="1"/>
    <xf numFmtId="0" fontId="0" fillId="0" borderId="128" xfId="0" applyBorder="1"/>
    <xf numFmtId="0" fontId="86" fillId="66" borderId="128" xfId="0" applyFont="1" applyFill="1" applyBorder="1"/>
    <xf numFmtId="0" fontId="34" fillId="0" borderId="1" xfId="0" applyFont="1" applyBorder="1"/>
    <xf numFmtId="0" fontId="13" fillId="0" borderId="0" xfId="0" applyFont="1"/>
    <xf numFmtId="14" fontId="0" fillId="0" borderId="121" xfId="0" applyNumberFormat="1" applyBorder="1"/>
    <xf numFmtId="49" fontId="19" fillId="8" borderId="122" xfId="3" applyNumberFormat="1" applyFont="1" applyFill="1" applyBorder="1" applyAlignment="1" applyProtection="1">
      <alignment vertical="center" wrapText="1"/>
      <protection locked="0"/>
    </xf>
    <xf numFmtId="49" fontId="19" fillId="8" borderId="50" xfId="3" applyNumberFormat="1" applyFont="1" applyFill="1" applyBorder="1" applyAlignment="1" applyProtection="1">
      <alignment vertical="center" wrapText="1"/>
      <protection locked="0"/>
    </xf>
    <xf numFmtId="49" fontId="19" fillId="8" borderId="123" xfId="3" applyNumberFormat="1" applyFont="1" applyFill="1" applyBorder="1" applyAlignment="1" applyProtection="1">
      <alignment vertical="center" wrapText="1"/>
      <protection locked="0"/>
    </xf>
    <xf numFmtId="0" fontId="14" fillId="14" borderId="1" xfId="0" applyFont="1" applyFill="1" applyBorder="1"/>
    <xf numFmtId="0" fontId="31" fillId="3" borderId="61" xfId="0" applyFont="1" applyFill="1" applyBorder="1" applyAlignment="1">
      <alignment vertical="center" wrapText="1"/>
    </xf>
    <xf numFmtId="164" fontId="9" fillId="6" borderId="51" xfId="0" applyNumberFormat="1" applyFont="1" applyFill="1" applyBorder="1" applyAlignment="1" applyProtection="1">
      <alignment vertical="center" wrapText="1"/>
      <protection locked="0"/>
    </xf>
    <xf numFmtId="164" fontId="9" fillId="6" borderId="5" xfId="0" applyNumberFormat="1" applyFont="1" applyFill="1" applyBorder="1" applyAlignment="1" applyProtection="1">
      <alignment vertical="center" wrapText="1"/>
      <protection locked="0"/>
    </xf>
    <xf numFmtId="9" fontId="9" fillId="9" borderId="37" xfId="1" applyFont="1" applyFill="1" applyBorder="1" applyAlignment="1">
      <alignment horizontal="center" vertical="center" wrapText="1"/>
    </xf>
    <xf numFmtId="164" fontId="77" fillId="6" borderId="129" xfId="0" applyNumberFormat="1" applyFont="1" applyFill="1" applyBorder="1" applyAlignment="1" applyProtection="1">
      <alignment vertical="center" wrapText="1"/>
      <protection locked="0"/>
    </xf>
    <xf numFmtId="49" fontId="9" fillId="3" borderId="28" xfId="0" applyNumberFormat="1" applyFont="1" applyFill="1" applyBorder="1" applyAlignment="1">
      <alignment horizontal="center" vertical="center" wrapText="1"/>
    </xf>
    <xf numFmtId="0" fontId="31" fillId="3" borderId="129" xfId="0" applyFont="1" applyFill="1" applyBorder="1" applyAlignment="1">
      <alignment vertical="center" wrapText="1"/>
    </xf>
    <xf numFmtId="0" fontId="14" fillId="0" borderId="18" xfId="0" applyFont="1" applyBorder="1" applyAlignment="1">
      <alignment vertical="top" wrapText="1"/>
    </xf>
    <xf numFmtId="0" fontId="0" fillId="0" borderId="121" xfId="0" applyBorder="1" applyAlignment="1">
      <alignment wrapText="1"/>
    </xf>
    <xf numFmtId="43" fontId="9" fillId="8" borderId="122" xfId="3" applyFont="1" applyFill="1" applyBorder="1" applyAlignment="1" applyProtection="1">
      <alignment vertical="center" wrapText="1"/>
      <protection locked="0"/>
    </xf>
    <xf numFmtId="43" fontId="9" fillId="8" borderId="50" xfId="3" applyFont="1" applyFill="1" applyBorder="1" applyAlignment="1" applyProtection="1">
      <alignment vertical="center" wrapText="1"/>
      <protection locked="0"/>
    </xf>
    <xf numFmtId="43" fontId="9" fillId="8" borderId="123" xfId="3" applyFont="1" applyFill="1" applyBorder="1" applyAlignment="1" applyProtection="1">
      <alignment vertical="center" wrapText="1"/>
      <protection locked="0"/>
    </xf>
    <xf numFmtId="175" fontId="0" fillId="9" borderId="45" xfId="3" applyNumberFormat="1" applyFont="1" applyFill="1" applyBorder="1" applyProtection="1"/>
    <xf numFmtId="0" fontId="22" fillId="8" borderId="64" xfId="0" applyFont="1" applyFill="1" applyBorder="1" applyAlignment="1" applyProtection="1">
      <alignment vertical="center"/>
      <protection locked="0"/>
    </xf>
    <xf numFmtId="0" fontId="45" fillId="0" borderId="12" xfId="0" applyFont="1" applyBorder="1" applyAlignment="1">
      <alignment horizontal="right" vertical="center" wrapText="1"/>
    </xf>
    <xf numFmtId="0" fontId="9" fillId="8" borderId="64" xfId="0" applyFont="1" applyFill="1" applyBorder="1" applyAlignment="1" applyProtection="1">
      <alignment vertical="center"/>
      <protection locked="0"/>
    </xf>
    <xf numFmtId="0" fontId="0" fillId="8" borderId="44" xfId="0" applyFill="1" applyBorder="1" applyProtection="1">
      <protection locked="0"/>
    </xf>
    <xf numFmtId="17" fontId="19" fillId="8" borderId="36" xfId="0" applyNumberFormat="1" applyFont="1" applyFill="1" applyBorder="1" applyAlignment="1" applyProtection="1">
      <alignment horizontal="left" vertical="top" wrapText="1"/>
      <protection locked="0"/>
    </xf>
    <xf numFmtId="17" fontId="19" fillId="8" borderId="37" xfId="0" applyNumberFormat="1" applyFont="1" applyFill="1" applyBorder="1" applyAlignment="1" applyProtection="1">
      <alignment horizontal="left" vertical="top" wrapText="1"/>
      <protection locked="0"/>
    </xf>
    <xf numFmtId="17" fontId="19" fillId="8" borderId="5" xfId="0" applyNumberFormat="1" applyFont="1" applyFill="1" applyBorder="1" applyAlignment="1" applyProtection="1">
      <alignment horizontal="left" vertical="top" wrapText="1"/>
      <protection locked="0"/>
    </xf>
    <xf numFmtId="17" fontId="19" fillId="8" borderId="38" xfId="0" applyNumberFormat="1" applyFont="1" applyFill="1" applyBorder="1" applyAlignment="1" applyProtection="1">
      <alignment horizontal="left" vertical="top" wrapText="1"/>
      <protection locked="0"/>
    </xf>
    <xf numFmtId="0" fontId="10" fillId="0" borderId="9" xfId="0" applyFont="1" applyBorder="1" applyAlignment="1">
      <alignment horizontal="left" vertical="top" wrapText="1"/>
    </xf>
    <xf numFmtId="0" fontId="10" fillId="0" borderId="10" xfId="0" applyFont="1" applyBorder="1" applyAlignment="1">
      <alignment horizontal="left" vertical="top" wrapText="1"/>
    </xf>
    <xf numFmtId="0" fontId="25" fillId="0" borderId="15" xfId="0" applyFont="1" applyBorder="1" applyAlignment="1">
      <alignment horizontal="left" vertical="top"/>
    </xf>
    <xf numFmtId="0" fontId="25" fillId="0" borderId="38" xfId="0" applyFont="1" applyBorder="1" applyAlignment="1">
      <alignment horizontal="left" vertical="top"/>
    </xf>
    <xf numFmtId="0" fontId="38" fillId="0" borderId="12" xfId="0" applyFont="1" applyBorder="1" applyAlignment="1">
      <alignment horizontal="left" vertical="top" wrapText="1"/>
    </xf>
    <xf numFmtId="0" fontId="38" fillId="0" borderId="13" xfId="0" applyFont="1" applyBorder="1" applyAlignment="1">
      <alignment horizontal="left" vertical="top" wrapText="1"/>
    </xf>
    <xf numFmtId="0" fontId="2" fillId="2" borderId="54" xfId="0" applyFont="1" applyFill="1" applyBorder="1" applyAlignment="1">
      <alignment horizontal="left" vertical="center" wrapText="1"/>
    </xf>
    <xf numFmtId="0" fontId="2" fillId="2" borderId="58" xfId="0" applyFont="1" applyFill="1" applyBorder="1" applyAlignment="1">
      <alignment horizontal="left" vertical="center" wrapText="1"/>
    </xf>
    <xf numFmtId="0" fontId="2" fillId="2" borderId="118" xfId="0" applyFont="1" applyFill="1" applyBorder="1" applyAlignment="1">
      <alignment horizontal="left" vertical="center" wrapText="1"/>
    </xf>
    <xf numFmtId="0" fontId="2" fillId="2" borderId="29" xfId="0" applyFont="1" applyFill="1" applyBorder="1" applyAlignment="1">
      <alignment horizontal="left" vertical="center" wrapText="1"/>
    </xf>
    <xf numFmtId="0" fontId="2" fillId="2" borderId="26" xfId="0" applyFont="1" applyFill="1" applyBorder="1" applyAlignment="1">
      <alignment horizontal="left" vertical="center" wrapText="1"/>
    </xf>
    <xf numFmtId="0" fontId="2" fillId="2" borderId="28" xfId="0" applyFont="1" applyFill="1" applyBorder="1" applyAlignment="1">
      <alignment horizontal="left" vertical="center" wrapText="1"/>
    </xf>
    <xf numFmtId="0" fontId="2" fillId="2" borderId="7"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7" xfId="0" applyFont="1" applyFill="1" applyBorder="1" applyAlignment="1">
      <alignment horizontal="center" vertical="center" wrapText="1"/>
    </xf>
    <xf numFmtId="0" fontId="2" fillId="2" borderId="48" xfId="0" applyFont="1" applyFill="1" applyBorder="1" applyAlignment="1">
      <alignment horizontal="center" vertical="center" wrapText="1"/>
    </xf>
    <xf numFmtId="0" fontId="2" fillId="2" borderId="49" xfId="0" applyFont="1" applyFill="1" applyBorder="1" applyAlignment="1">
      <alignment horizontal="center" vertical="center" wrapText="1"/>
    </xf>
    <xf numFmtId="0" fontId="10" fillId="0" borderId="17"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vertical="top" wrapText="1"/>
    </xf>
    <xf numFmtId="0" fontId="2" fillId="2" borderId="28"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63" xfId="0" applyFont="1" applyFill="1" applyBorder="1" applyAlignment="1">
      <alignment horizontal="center" vertical="center" wrapText="1"/>
    </xf>
    <xf numFmtId="0" fontId="22" fillId="6" borderId="64" xfId="0" applyFont="1" applyFill="1" applyBorder="1" applyAlignment="1">
      <alignment horizontal="left"/>
    </xf>
    <xf numFmtId="0" fontId="22" fillId="6" borderId="50" xfId="0" applyFont="1" applyFill="1" applyBorder="1" applyAlignment="1">
      <alignment horizontal="left"/>
    </xf>
    <xf numFmtId="1" fontId="22" fillId="22" borderId="64" xfId="0" applyNumberFormat="1" applyFont="1" applyFill="1" applyBorder="1" applyAlignment="1">
      <alignment horizontal="left" vertical="center" wrapText="1"/>
    </xf>
    <xf numFmtId="1" fontId="22" fillId="22" borderId="50" xfId="0" applyNumberFormat="1" applyFont="1" applyFill="1" applyBorder="1" applyAlignment="1">
      <alignment horizontal="left" vertical="center" wrapText="1"/>
    </xf>
    <xf numFmtId="0" fontId="25" fillId="0" borderId="20" xfId="0" applyFont="1" applyBorder="1" applyAlignment="1">
      <alignment horizontal="left" vertical="top"/>
    </xf>
    <xf numFmtId="0" fontId="25" fillId="0" borderId="21" xfId="0" applyFont="1" applyBorder="1" applyAlignment="1">
      <alignment horizontal="left" vertical="top"/>
    </xf>
    <xf numFmtId="0" fontId="25" fillId="0" borderId="22" xfId="0" applyFont="1" applyBorder="1" applyAlignment="1">
      <alignment horizontal="left" vertical="top"/>
    </xf>
    <xf numFmtId="0" fontId="14" fillId="0" borderId="17" xfId="0" applyFont="1" applyBorder="1" applyAlignment="1">
      <alignment horizontal="left" vertical="top" wrapText="1"/>
    </xf>
    <xf numFmtId="0" fontId="14" fillId="0" borderId="18" xfId="0" applyFont="1" applyBorder="1" applyAlignment="1">
      <alignment horizontal="left" vertical="top" wrapText="1"/>
    </xf>
    <xf numFmtId="0" fontId="14" fillId="0" borderId="19" xfId="0" applyFont="1" applyBorder="1" applyAlignment="1">
      <alignment horizontal="left" vertical="top" wrapText="1"/>
    </xf>
    <xf numFmtId="0" fontId="22" fillId="8" borderId="64" xfId="0" applyFont="1" applyFill="1" applyBorder="1" applyAlignment="1">
      <alignment vertical="center"/>
    </xf>
    <xf numFmtId="0" fontId="22" fillId="8" borderId="50" xfId="0" applyFont="1" applyFill="1" applyBorder="1" applyAlignment="1">
      <alignment vertical="center"/>
    </xf>
    <xf numFmtId="0" fontId="22" fillId="3" borderId="64" xfId="0" applyFont="1" applyFill="1" applyBorder="1" applyAlignment="1">
      <alignment horizontal="left" vertical="center"/>
    </xf>
    <xf numFmtId="0" fontId="22" fillId="3" borderId="50" xfId="0" applyFont="1" applyFill="1" applyBorder="1" applyAlignment="1">
      <alignment horizontal="left" vertical="center"/>
    </xf>
    <xf numFmtId="0" fontId="10" fillId="0" borderId="12" xfId="0" applyFont="1" applyBorder="1" applyAlignment="1">
      <alignment horizontal="left" vertical="top" wrapText="1"/>
    </xf>
    <xf numFmtId="0" fontId="10" fillId="0" borderId="13" xfId="0" applyFont="1" applyBorder="1" applyAlignment="1">
      <alignment horizontal="left" vertical="top" wrapText="1"/>
    </xf>
    <xf numFmtId="0" fontId="10" fillId="0" borderId="14" xfId="0" applyFont="1" applyBorder="1" applyAlignment="1">
      <alignment horizontal="left" vertical="top" wrapText="1"/>
    </xf>
    <xf numFmtId="0" fontId="25" fillId="14" borderId="20" xfId="0" applyFont="1" applyFill="1" applyBorder="1" applyAlignment="1">
      <alignment horizontal="left" vertical="top"/>
    </xf>
    <xf numFmtId="0" fontId="25" fillId="14" borderId="21" xfId="0" applyFont="1" applyFill="1" applyBorder="1" applyAlignment="1">
      <alignment horizontal="left" vertical="top"/>
    </xf>
    <xf numFmtId="0" fontId="10" fillId="14" borderId="73" xfId="0" applyFont="1" applyFill="1" applyBorder="1" applyAlignment="1">
      <alignment horizontal="left" vertical="top" wrapText="1"/>
    </xf>
    <xf numFmtId="0" fontId="10" fillId="14" borderId="74" xfId="0" applyFont="1" applyFill="1" applyBorder="1" applyAlignment="1">
      <alignment horizontal="left" vertical="top" wrapText="1"/>
    </xf>
    <xf numFmtId="0" fontId="10" fillId="14" borderId="75" xfId="0" applyFont="1" applyFill="1" applyBorder="1" applyAlignment="1">
      <alignment horizontal="left" vertical="top" wrapText="1"/>
    </xf>
    <xf numFmtId="165" fontId="81" fillId="0" borderId="40" xfId="3" applyNumberFormat="1" applyFont="1" applyFill="1" applyBorder="1" applyAlignment="1">
      <alignment vertical="center" wrapText="1"/>
    </xf>
    <xf numFmtId="165" fontId="81" fillId="0" borderId="7" xfId="3" applyNumberFormat="1" applyFont="1" applyFill="1" applyBorder="1" applyAlignment="1">
      <alignment vertical="center" wrapText="1"/>
    </xf>
    <xf numFmtId="165" fontId="81" fillId="0" borderId="3" xfId="3" applyNumberFormat="1" applyFont="1" applyFill="1" applyBorder="1" applyAlignment="1">
      <alignment vertical="center" wrapText="1"/>
    </xf>
    <xf numFmtId="0" fontId="22" fillId="0" borderId="84" xfId="0" applyFont="1" applyBorder="1" applyAlignment="1">
      <alignment horizontal="center" vertical="center" wrapText="1"/>
    </xf>
    <xf numFmtId="0" fontId="22" fillId="0" borderId="48" xfId="0" applyFont="1" applyBorder="1" applyAlignment="1">
      <alignment horizontal="center" vertical="center" wrapText="1"/>
    </xf>
    <xf numFmtId="0" fontId="22" fillId="0" borderId="49" xfId="0" applyFont="1" applyBorder="1" applyAlignment="1">
      <alignment horizontal="center" vertical="center" wrapText="1"/>
    </xf>
    <xf numFmtId="0" fontId="10" fillId="0" borderId="11" xfId="0" applyFont="1" applyBorder="1" applyAlignment="1">
      <alignment horizontal="left" vertical="top" wrapText="1"/>
    </xf>
    <xf numFmtId="0" fontId="10" fillId="0" borderId="15" xfId="0" applyFont="1" applyBorder="1" applyAlignment="1">
      <alignment horizontal="left" wrapText="1"/>
    </xf>
    <xf numFmtId="0" fontId="10" fillId="0" borderId="38" xfId="0" applyFont="1" applyBorder="1" applyAlignment="1">
      <alignment horizontal="left" wrapText="1"/>
    </xf>
    <xf numFmtId="0" fontId="10" fillId="0" borderId="46" xfId="0" applyFont="1" applyBorder="1" applyAlignment="1">
      <alignment horizontal="left" wrapText="1"/>
    </xf>
    <xf numFmtId="0" fontId="10" fillId="0" borderId="9" xfId="0" applyFont="1" applyBorder="1" applyAlignment="1">
      <alignment horizontal="left" wrapText="1"/>
    </xf>
    <xf numFmtId="0" fontId="10" fillId="0" borderId="10" xfId="0" applyFont="1" applyBorder="1" applyAlignment="1">
      <alignment horizontal="left" wrapText="1"/>
    </xf>
    <xf numFmtId="0" fontId="10" fillId="0" borderId="11" xfId="0" applyFont="1" applyBorder="1" applyAlignment="1">
      <alignment horizontal="left" wrapText="1"/>
    </xf>
    <xf numFmtId="0" fontId="46" fillId="0" borderId="17" xfId="0" applyFont="1" applyBorder="1" applyAlignment="1">
      <alignment horizontal="left" vertical="top" wrapText="1"/>
    </xf>
    <xf numFmtId="0" fontId="22" fillId="8" borderId="67" xfId="0" applyFont="1" applyFill="1" applyBorder="1" applyAlignment="1">
      <alignment horizontal="left" vertical="center"/>
    </xf>
    <xf numFmtId="0" fontId="22" fillId="8" borderId="0" xfId="0" applyFont="1" applyFill="1" applyAlignment="1">
      <alignment horizontal="left" vertical="center"/>
    </xf>
    <xf numFmtId="0" fontId="22" fillId="8" borderId="27" xfId="0" applyFont="1" applyFill="1" applyBorder="1" applyAlignment="1">
      <alignment horizontal="left" vertical="center"/>
    </xf>
    <xf numFmtId="0" fontId="22" fillId="3" borderId="67" xfId="0" applyFont="1" applyFill="1" applyBorder="1" applyAlignment="1">
      <alignment horizontal="left" vertical="center"/>
    </xf>
    <xf numFmtId="0" fontId="22" fillId="3" borderId="0" xfId="0" applyFont="1" applyFill="1" applyAlignment="1">
      <alignment horizontal="left" vertical="center"/>
    </xf>
    <xf numFmtId="0" fontId="22" fillId="3" borderId="27" xfId="0" applyFont="1" applyFill="1" applyBorder="1" applyAlignment="1">
      <alignment horizontal="left" vertical="center"/>
    </xf>
    <xf numFmtId="0" fontId="25" fillId="0" borderId="20" xfId="0" applyFont="1" applyBorder="1" applyAlignment="1">
      <alignment horizontal="left"/>
    </xf>
    <xf numFmtId="0" fontId="25" fillId="0" borderId="21" xfId="0" applyFont="1" applyBorder="1" applyAlignment="1">
      <alignment horizontal="left"/>
    </xf>
    <xf numFmtId="0" fontId="25" fillId="0" borderId="22" xfId="0" applyFont="1" applyBorder="1" applyAlignment="1">
      <alignment horizontal="left"/>
    </xf>
    <xf numFmtId="0" fontId="25" fillId="0" borderId="20" xfId="0" applyFont="1" applyBorder="1" applyAlignment="1">
      <alignment horizontal="left" vertical="center" wrapText="1"/>
    </xf>
    <xf numFmtId="0" fontId="25" fillId="0" borderId="21" xfId="0" applyFont="1" applyBorder="1" applyAlignment="1">
      <alignment horizontal="left" vertical="center" wrapText="1"/>
    </xf>
    <xf numFmtId="0" fontId="25" fillId="0" borderId="22" xfId="0" applyFont="1" applyBorder="1" applyAlignment="1">
      <alignment horizontal="left" vertical="center" wrapText="1"/>
    </xf>
    <xf numFmtId="0" fontId="2" fillId="2" borderId="27" xfId="0" applyFont="1" applyFill="1" applyBorder="1" applyAlignment="1">
      <alignment horizontal="left" vertical="center" wrapText="1"/>
    </xf>
    <xf numFmtId="0" fontId="9" fillId="3" borderId="28" xfId="0" applyFont="1" applyFill="1" applyBorder="1" applyAlignment="1">
      <alignment horizontal="left" vertical="center" wrapText="1"/>
    </xf>
    <xf numFmtId="0" fontId="9" fillId="3" borderId="5" xfId="0" applyFont="1" applyFill="1" applyBorder="1" applyAlignment="1">
      <alignment horizontal="left" vertical="center" wrapText="1"/>
    </xf>
    <xf numFmtId="0" fontId="9" fillId="3" borderId="6" xfId="0" applyFont="1" applyFill="1" applyBorder="1" applyAlignment="1">
      <alignment horizontal="left" vertical="center" wrapText="1"/>
    </xf>
    <xf numFmtId="0" fontId="9" fillId="3" borderId="3" xfId="0" applyFont="1" applyFill="1" applyBorder="1" applyAlignment="1">
      <alignment horizontal="left" vertical="center" wrapText="1"/>
    </xf>
    <xf numFmtId="0" fontId="9" fillId="3" borderId="29" xfId="0" applyFont="1" applyFill="1" applyBorder="1" applyAlignment="1">
      <alignment horizontal="left" vertical="center" wrapText="1"/>
    </xf>
    <xf numFmtId="0" fontId="9" fillId="3" borderId="30" xfId="0" applyFont="1" applyFill="1" applyBorder="1" applyAlignment="1">
      <alignment horizontal="left" vertical="center" wrapText="1"/>
    </xf>
    <xf numFmtId="0" fontId="9" fillId="3" borderId="26" xfId="0" applyFont="1" applyFill="1" applyBorder="1" applyAlignment="1">
      <alignment horizontal="left" vertical="center" wrapText="1"/>
    </xf>
    <xf numFmtId="0" fontId="9" fillId="3" borderId="0" xfId="0" applyFont="1" applyFill="1" applyAlignment="1">
      <alignment horizontal="left" vertical="center" wrapText="1"/>
    </xf>
    <xf numFmtId="0" fontId="9" fillId="3" borderId="31" xfId="0" applyFont="1" applyFill="1" applyBorder="1" applyAlignment="1">
      <alignment horizontal="left" vertical="center" wrapText="1"/>
    </xf>
    <xf numFmtId="0" fontId="9" fillId="3" borderId="24" xfId="0" applyFont="1" applyFill="1" applyBorder="1" applyAlignment="1">
      <alignment horizontal="left" vertical="center" wrapText="1"/>
    </xf>
    <xf numFmtId="0" fontId="22" fillId="5" borderId="32" xfId="0" applyFont="1" applyFill="1" applyBorder="1" applyAlignment="1">
      <alignment horizontal="left" vertical="center" wrapText="1"/>
    </xf>
    <xf numFmtId="0" fontId="22" fillId="5" borderId="33" xfId="0" applyFont="1" applyFill="1" applyBorder="1" applyAlignment="1">
      <alignment horizontal="left" vertical="center" wrapText="1"/>
    </xf>
    <xf numFmtId="0" fontId="3" fillId="0" borderId="17" xfId="0" applyFont="1" applyBorder="1" applyAlignment="1">
      <alignment horizontal="left" vertical="top" wrapText="1"/>
    </xf>
    <xf numFmtId="0" fontId="25" fillId="14" borderId="15" xfId="0" applyFont="1" applyFill="1" applyBorder="1" applyAlignment="1">
      <alignment horizontal="left"/>
    </xf>
    <xf numFmtId="0" fontId="25" fillId="14" borderId="38" xfId="0" applyFont="1" applyFill="1" applyBorder="1" applyAlignment="1">
      <alignment horizontal="left"/>
    </xf>
    <xf numFmtId="0" fontId="25" fillId="14" borderId="69" xfId="0" applyFont="1" applyFill="1" applyBorder="1" applyAlignment="1">
      <alignment horizontal="left"/>
    </xf>
    <xf numFmtId="0" fontId="25" fillId="14" borderId="70" xfId="0" applyFont="1" applyFill="1" applyBorder="1" applyAlignment="1">
      <alignment horizontal="left"/>
    </xf>
    <xf numFmtId="0" fontId="2" fillId="2" borderId="64" xfId="0" applyFont="1" applyFill="1" applyBorder="1" applyAlignment="1">
      <alignment horizontal="center" vertical="center" wrapText="1"/>
    </xf>
    <xf numFmtId="0" fontId="2" fillId="2" borderId="65" xfId="0" applyFont="1" applyFill="1" applyBorder="1" applyAlignment="1">
      <alignment horizontal="center" vertical="center" wrapText="1"/>
    </xf>
    <xf numFmtId="0" fontId="2" fillId="2" borderId="50" xfId="0" applyFont="1" applyFill="1" applyBorder="1" applyAlignment="1">
      <alignment horizontal="center" vertical="center" wrapText="1"/>
    </xf>
    <xf numFmtId="0" fontId="3" fillId="3" borderId="8" xfId="0" applyFont="1" applyFill="1" applyBorder="1" applyAlignment="1">
      <alignment vertical="center" wrapText="1"/>
    </xf>
    <xf numFmtId="0" fontId="3" fillId="3" borderId="61" xfId="0" applyFont="1" applyFill="1" applyBorder="1" applyAlignment="1">
      <alignment vertical="center" wrapText="1"/>
    </xf>
    <xf numFmtId="0" fontId="3" fillId="3" borderId="4" xfId="0" applyFont="1" applyFill="1" applyBorder="1" applyAlignment="1">
      <alignment vertical="center" wrapText="1"/>
    </xf>
    <xf numFmtId="0" fontId="3" fillId="3" borderId="61" xfId="0" applyFont="1" applyFill="1" applyBorder="1" applyAlignment="1">
      <alignment horizontal="left" vertical="center" wrapText="1"/>
    </xf>
    <xf numFmtId="0" fontId="3" fillId="3" borderId="4" xfId="0" applyFont="1" applyFill="1" applyBorder="1" applyAlignment="1">
      <alignment horizontal="left" vertical="center" wrapText="1"/>
    </xf>
    <xf numFmtId="0" fontId="10" fillId="0" borderId="0" xfId="0" applyFont="1" applyAlignment="1">
      <alignment horizontal="left" vertical="center" wrapText="1"/>
    </xf>
    <xf numFmtId="0" fontId="41" fillId="14" borderId="0" xfId="0" applyFont="1" applyFill="1" applyAlignment="1">
      <alignment horizontal="left" vertical="top" wrapText="1"/>
    </xf>
    <xf numFmtId="0" fontId="43" fillId="3" borderId="8" xfId="10" applyFill="1" applyBorder="1" applyAlignment="1">
      <alignment vertical="center" wrapText="1"/>
    </xf>
    <xf numFmtId="0" fontId="43" fillId="3" borderId="61" xfId="10" applyFill="1" applyBorder="1" applyAlignment="1">
      <alignment vertical="center" wrapText="1"/>
    </xf>
    <xf numFmtId="0" fontId="43" fillId="3" borderId="4" xfId="10" applyFill="1" applyBorder="1" applyAlignment="1">
      <alignment vertical="center" wrapText="1"/>
    </xf>
    <xf numFmtId="0" fontId="18" fillId="14" borderId="26" xfId="0" applyFont="1" applyFill="1" applyBorder="1" applyAlignment="1">
      <alignment horizontal="left" vertical="top" wrapText="1"/>
    </xf>
    <xf numFmtId="0" fontId="18" fillId="14" borderId="0" xfId="0" applyFont="1" applyFill="1" applyAlignment="1">
      <alignment horizontal="left" vertical="top" wrapText="1"/>
    </xf>
    <xf numFmtId="0" fontId="14" fillId="14" borderId="0" xfId="0" applyFont="1" applyFill="1" applyAlignment="1">
      <alignment horizontal="left" vertical="top" wrapText="1"/>
    </xf>
    <xf numFmtId="0" fontId="41" fillId="14" borderId="0" xfId="0" applyFont="1" applyFill="1" applyAlignment="1">
      <alignment horizontal="left" wrapText="1"/>
    </xf>
    <xf numFmtId="0" fontId="23" fillId="10" borderId="12" xfId="0" applyFont="1" applyFill="1" applyBorder="1" applyAlignment="1">
      <alignment horizontal="center"/>
    </xf>
    <xf numFmtId="0" fontId="23" fillId="10" borderId="13" xfId="0" applyFont="1" applyFill="1" applyBorder="1" applyAlignment="1">
      <alignment horizontal="center"/>
    </xf>
    <xf numFmtId="0" fontId="23" fillId="10" borderId="14" xfId="0" applyFont="1" applyFill="1" applyBorder="1" applyAlignment="1">
      <alignment horizontal="center"/>
    </xf>
    <xf numFmtId="0" fontId="13" fillId="11" borderId="12" xfId="0" applyFont="1" applyFill="1" applyBorder="1" applyAlignment="1">
      <alignment horizontal="center"/>
    </xf>
    <xf numFmtId="0" fontId="13" fillId="11" borderId="13" xfId="0" applyFont="1" applyFill="1" applyBorder="1" applyAlignment="1">
      <alignment horizontal="center"/>
    </xf>
    <xf numFmtId="0" fontId="13" fillId="11" borderId="14" xfId="0" applyFont="1" applyFill="1" applyBorder="1" applyAlignment="1">
      <alignment horizontal="center"/>
    </xf>
  </cellXfs>
  <cellStyles count="66">
    <cellStyle name="20% - Accent1" xfId="17" builtinId="30" customBuiltin="1"/>
    <cellStyle name="20% - Accent2" xfId="21" builtinId="34" customBuiltin="1"/>
    <cellStyle name="20% - Accent3" xfId="25" builtinId="38" customBuiltin="1"/>
    <cellStyle name="20% - Accent4" xfId="29" builtinId="42" customBuiltin="1"/>
    <cellStyle name="20% - Accent5" xfId="33" builtinId="46" customBuiltin="1"/>
    <cellStyle name="20% - Accent6" xfId="37" builtinId="50" customBuiltin="1"/>
    <cellStyle name="40% - Accent1" xfId="18" builtinId="31" customBuiltin="1"/>
    <cellStyle name="40% - Accent2" xfId="22" builtinId="35" customBuiltin="1"/>
    <cellStyle name="40% - Accent3" xfId="26" builtinId="39" customBuiltin="1"/>
    <cellStyle name="40% - Accent4" xfId="30" builtinId="43" customBuiltin="1"/>
    <cellStyle name="40% - Accent5" xfId="34" builtinId="47" customBuiltin="1"/>
    <cellStyle name="40% - Accent6" xfId="38" builtinId="51" customBuiltin="1"/>
    <cellStyle name="60% - Accent1" xfId="19" builtinId="32" customBuiltin="1"/>
    <cellStyle name="60% - Accent2" xfId="23" builtinId="36" customBuiltin="1"/>
    <cellStyle name="60% - Accent3" xfId="27" builtinId="40" customBuiltin="1"/>
    <cellStyle name="60% - Accent4" xfId="31" builtinId="44" customBuiltin="1"/>
    <cellStyle name="60% - Accent5" xfId="35" builtinId="48" customBuiltin="1"/>
    <cellStyle name="60% - Accent6" xfId="39" builtinId="52" customBuiltin="1"/>
    <cellStyle name="Accent1" xfId="16" builtinId="29" customBuiltin="1"/>
    <cellStyle name="Accent2" xfId="20" builtinId="33" customBuiltin="1"/>
    <cellStyle name="Accent3" xfId="24" builtinId="37" customBuiltin="1"/>
    <cellStyle name="Accent4" xfId="28" builtinId="41" customBuiltin="1"/>
    <cellStyle name="Accent5" xfId="32" builtinId="45" customBuiltin="1"/>
    <cellStyle name="Accent6" xfId="36" builtinId="49" customBuiltin="1"/>
    <cellStyle name="Bad" xfId="13" builtinId="27" customBuiltin="1"/>
    <cellStyle name="Calculation 2" xfId="41" xr:uid="{98DB768E-EE81-4D4E-9E42-7B4668F4B34C}"/>
    <cellStyle name="Calculation 3" xfId="40" xr:uid="{6847C07E-56BF-4696-999C-5A2A3A0B4B27}"/>
    <cellStyle name="Check Cell" xfId="15" builtinId="23" customBuiltin="1"/>
    <cellStyle name="Comma" xfId="3" builtinId="3"/>
    <cellStyle name="Comma 2" xfId="7" xr:uid="{00000000-0005-0000-0000-000001000000}"/>
    <cellStyle name="Comma 2 2" xfId="43" xr:uid="{FB3494EE-AEB8-4B9E-B213-D385815B75CA}"/>
    <cellStyle name="Comma 2 2 2" xfId="62" xr:uid="{2CE0F312-E076-48EF-AB8C-1ABF28346A06}"/>
    <cellStyle name="Comma 2 3" xfId="55" xr:uid="{F27A9DDC-3FB2-489E-A6D8-68CAAF7DEBE5}"/>
    <cellStyle name="Comma 2 3 2" xfId="63" xr:uid="{67069500-9B74-470F-A892-CE1B051D28B5}"/>
    <cellStyle name="Comma 2 4" xfId="56" xr:uid="{AF4DF22D-7883-4F34-8D8D-08D38A8AC477}"/>
    <cellStyle name="Comma 2 4 2" xfId="64" xr:uid="{1330F815-919F-4BD8-A4EE-837BF37A5FCA}"/>
    <cellStyle name="Comma 2 5" xfId="59" xr:uid="{215DF10A-A9D8-4266-AB0F-ECBE9BBE30C8}"/>
    <cellStyle name="Comma 2 6" xfId="65" xr:uid="{9732FC91-D5F9-40E2-AFC0-238AD39CE220}"/>
    <cellStyle name="Comma 3" xfId="42" xr:uid="{5CA42CEF-5220-4362-87EA-4B1221EE5EEE}"/>
    <cellStyle name="Comma 3 2" xfId="61" xr:uid="{8CBE1463-95B7-426E-AA09-328518B5F701}"/>
    <cellStyle name="Comma 3 4" xfId="9" xr:uid="{00000000-0005-0000-0000-000002000000}"/>
    <cellStyle name="Comma 3 4 2" xfId="60" xr:uid="{37D894FE-341D-481B-84DB-6C0FE94098AA}"/>
    <cellStyle name="Comma 4" xfId="57" xr:uid="{72B88C68-BA45-4E4F-A8D2-17BD0C50CC6A}"/>
    <cellStyle name="Currency 2" xfId="6" xr:uid="{00000000-0005-0000-0000-000003000000}"/>
    <cellStyle name="Currency 2 2" xfId="58" xr:uid="{06A8C101-06BB-48B8-8718-03F67186ABB9}"/>
    <cellStyle name="Explanatory Text 2" xfId="44" xr:uid="{322823DF-C0E5-46B4-A9B3-8864C4A3EEF6}"/>
    <cellStyle name="Followed Hyperlink 2" xfId="45" xr:uid="{501F25EE-B867-4599-9845-A21B4B68FAAF}"/>
    <cellStyle name="Good" xfId="12" builtinId="26" customBuiltin="1"/>
    <cellStyle name="Hyperlink" xfId="10" builtinId="8"/>
    <cellStyle name="Hyperlink 2" xfId="5" xr:uid="{00000000-0005-0000-0000-000004000000}"/>
    <cellStyle name="Hyperlink 3" xfId="8" xr:uid="{00000000-0005-0000-0000-000005000000}"/>
    <cellStyle name="Input 2" xfId="46" xr:uid="{52EB0932-F7F0-4DE6-83CC-B006CEAFE712}"/>
    <cellStyle name="Input data" xfId="47" xr:uid="{D095E434-C0CC-407E-B2FE-982CE0168E5B}"/>
    <cellStyle name="Linked Cell 2" xfId="48" xr:uid="{4BBDCEE4-F2DA-4927-A115-2203AC357684}"/>
    <cellStyle name="Neutral" xfId="14" builtinId="28" customBuiltin="1"/>
    <cellStyle name="Normal" xfId="0" builtinId="0"/>
    <cellStyle name="Normal 2" xfId="2" xr:uid="{00000000-0005-0000-0000-000007000000}"/>
    <cellStyle name="Normal 2 2" xfId="4" xr:uid="{00000000-0005-0000-0000-000008000000}"/>
    <cellStyle name="Normal 2 2 2" xfId="49" xr:uid="{22788DEC-FFDF-48B7-9D3E-FBB6F0F83278}"/>
    <cellStyle name="Note 2" xfId="50" xr:uid="{D311C217-CC2E-4404-8E2B-310C4350D832}"/>
    <cellStyle name="Output 2" xfId="51" xr:uid="{851BAE96-6D43-439E-B977-D45F4BA37697}"/>
    <cellStyle name="Percent" xfId="1" builtinId="5"/>
    <cellStyle name="Percent 2" xfId="52" xr:uid="{ACDC07C5-3B24-4388-A9BB-0D8E425A3F44}"/>
    <cellStyle name="Selection" xfId="53" xr:uid="{F4793A2C-6B3E-49D8-86C3-92EBBEA76192}"/>
    <cellStyle name="Title" xfId="11" builtinId="15" customBuiltin="1"/>
    <cellStyle name="Warning Text 2" xfId="54" xr:uid="{9CDE6EA5-CD1D-4AC7-8208-C3289544CC15}"/>
  </cellStyles>
  <dxfs count="552">
    <dxf>
      <font>
        <color rgb="FFC00000"/>
      </font>
      <fill>
        <patternFill>
          <bgColor rgb="FFFFC7CE"/>
        </patternFill>
      </fill>
    </dxf>
    <dxf>
      <font>
        <color rgb="FFC00000"/>
      </font>
      <fill>
        <patternFill>
          <bgColor rgb="FFFFC7CE"/>
        </patternFill>
      </fill>
    </dxf>
    <dxf>
      <font>
        <color rgb="FF9C0006"/>
      </font>
      <fill>
        <patternFill>
          <bgColor rgb="FFFFC7CE"/>
        </patternFill>
      </fill>
    </dxf>
    <dxf>
      <fill>
        <patternFill>
          <bgColor rgb="FF92D050"/>
        </patternFill>
      </fill>
    </dxf>
    <dxf>
      <fill>
        <patternFill>
          <bgColor theme="0" tint="-0.34998626667073579"/>
        </patternFill>
      </fill>
    </dxf>
    <dxf>
      <fill>
        <patternFill patternType="darkUp">
          <bgColor theme="0" tint="-4.9989318521683403E-2"/>
        </patternFill>
      </fill>
    </dxf>
    <dxf>
      <fill>
        <patternFill>
          <bgColor rgb="FF27CCF9"/>
        </patternFill>
      </fill>
    </dxf>
    <dxf>
      <fill>
        <patternFill patternType="darkUp">
          <bgColor theme="0" tint="-4.9989318521683403E-2"/>
        </patternFill>
      </fill>
    </dxf>
    <dxf>
      <fill>
        <patternFill>
          <bgColor rgb="FF27CCF9"/>
        </patternFill>
      </fill>
    </dxf>
    <dxf>
      <fill>
        <patternFill>
          <bgColor rgb="FF92D050"/>
        </patternFill>
      </fill>
    </dxf>
    <dxf>
      <fill>
        <patternFill>
          <bgColor theme="0" tint="-0.34998626667073579"/>
        </patternFill>
      </fill>
    </dxf>
    <dxf>
      <fill>
        <patternFill>
          <bgColor theme="2" tint="-0.24994659260841701"/>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CCC"/>
        </patternFill>
      </fill>
      <border>
        <left style="thin">
          <color rgb="FFFF0000"/>
        </left>
        <right style="thin">
          <color rgb="FFFF0000"/>
        </right>
        <top style="thin">
          <color rgb="FFFF0000"/>
        </top>
        <bottom style="thin">
          <color rgb="FFFF0000"/>
        </bottom>
        <vertical/>
        <horizontal/>
      </border>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patternType="solid">
          <fgColor indexed="64"/>
          <bgColor rgb="FFF2F2F2"/>
        </patternFill>
      </fill>
    </dxf>
    <dxf>
      <font>
        <color rgb="FFC00000"/>
      </font>
      <fill>
        <patternFill>
          <bgColor rgb="FFF2F2F2"/>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fill>
        <patternFill patternType="solid">
          <fgColor indexed="64"/>
          <bgColor theme="2" tint="-9.9978637043366805E-2"/>
        </patternFill>
      </fill>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outline="0">
        <top style="medium">
          <color theme="0"/>
        </top>
        <bottom style="hair">
          <color auto="1"/>
        </bottom>
      </border>
    </dxf>
    <dxf>
      <font>
        <b/>
        <i val="0"/>
        <strike val="0"/>
        <condense val="0"/>
        <extend val="0"/>
        <outline val="0"/>
        <shadow val="0"/>
        <u val="none"/>
        <vertAlign val="baseline"/>
        <sz val="10"/>
        <color rgb="FFFFFFFF"/>
        <name val="Calibri"/>
        <family val="2"/>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theme="0"/>
        </left>
        <right style="medium">
          <color theme="0"/>
        </right>
        <top/>
        <bottom/>
      </border>
    </dxf>
    <dxf>
      <font>
        <b val="0"/>
        <i val="0"/>
        <strike val="0"/>
        <condense val="0"/>
        <extend val="0"/>
        <outline val="0"/>
        <shadow val="0"/>
        <u val="none"/>
        <vertAlign val="baseline"/>
        <sz val="11"/>
        <color theme="9" tint="-0.499984740745262"/>
        <name val="Calibri"/>
        <family val="2"/>
        <scheme val="minor"/>
      </font>
      <fill>
        <patternFill patternType="solid">
          <fgColor indexed="64"/>
          <bgColor theme="9" tint="0.79998168889431442"/>
        </patternFill>
      </fill>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outline="0">
        <top style="thin">
          <color auto="1"/>
        </top>
        <bottom style="hair">
          <color auto="1"/>
        </bottom>
      </border>
    </dxf>
    <dxf>
      <border outline="0">
        <bottom style="thin">
          <color auto="1"/>
        </bottom>
      </border>
    </dxf>
    <dxf>
      <font>
        <b/>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0" formatCode="General"/>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theme="2" tint="-0.249977111117893"/>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family val="2"/>
        <scheme val="minor"/>
      </font>
      <fill>
        <patternFill patternType="solid">
          <fgColor indexed="64"/>
          <bgColor rgb="FF0599C7"/>
        </patternFill>
      </fill>
      <alignment horizontal="center" vertical="center" textRotation="0" wrapText="1" indent="0" justifyLastLine="0" shrinkToFit="0" readingOrder="0"/>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numFmt numFmtId="35" formatCode="_-* #,##0.00_-;\-* #,##0.00_-;_-* &quot;-&quot;??_-;_-@_-"/>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ont>
        <b/>
        <sz val="10"/>
        <color auto="1"/>
      </font>
      <fill>
        <patternFill patternType="solid">
          <fgColor indexed="64"/>
          <bgColor theme="5" tint="0.59999389629810485"/>
        </patternFill>
      </fill>
      <alignment horizontal="general" vertical="center" textRotation="0" wrapText="0" indent="0" justifyLastLine="0" shrinkToFit="0" readingOrder="0"/>
      <border diagonalUp="0" diagonalDown="0" outline="0">
        <left/>
        <right/>
        <top style="medium">
          <color theme="0"/>
        </top>
        <bottom style="medium">
          <color theme="0"/>
        </bottom>
      </border>
      <protection locked="0" hidden="0"/>
    </dxf>
    <dxf>
      <font>
        <b val="0"/>
        <sz val="10"/>
        <color auto="1"/>
      </font>
      <fill>
        <patternFill patternType="solid">
          <fgColor indexed="64"/>
          <bgColor theme="5" tint="0.59999389629810485"/>
        </patternFill>
      </fill>
      <alignment horizontal="general" vertical="center" textRotation="0" wrapText="0" indent="0" justifyLastLine="0" shrinkToFit="0" readingOrder="0"/>
      <border diagonalUp="0" diagonalDown="0" outline="0">
        <left style="medium">
          <color theme="0"/>
        </left>
        <right/>
        <top style="medium">
          <color theme="0"/>
        </top>
        <bottom style="medium">
          <color theme="0"/>
        </bottom>
      </border>
      <protection locked="0" hidden="0"/>
    </dxf>
    <dxf>
      <font>
        <color auto="1"/>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thin">
          <color theme="0"/>
        </right>
        <top style="thin">
          <color theme="4" tint="0.39997558519241921"/>
        </top>
        <bottom style="medium">
          <color rgb="FFFFFFFF"/>
        </bottom>
      </border>
      <protection locked="1" hidden="0"/>
    </dxf>
    <dxf>
      <font>
        <color auto="1"/>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numFmt numFmtId="13" formatCode="0%"/>
      <fill>
        <patternFill patternType="solid">
          <fgColor indexed="64"/>
          <bgColor theme="5" tint="0.59999389629810485"/>
        </patternFill>
      </fill>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style="thin">
          <color theme="4" tint="0.39997558519241921"/>
        </top>
        <bottom style="medium">
          <color rgb="FFFFFFFF"/>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0"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0" hidden="0"/>
    </dxf>
    <dxf>
      <border outline="0">
        <left style="thin">
          <color theme="0"/>
        </left>
        <right style="thin">
          <color theme="0"/>
        </right>
        <bottom style="thin">
          <color theme="0"/>
        </bottom>
      </border>
    </dxf>
    <dxf>
      <fill>
        <patternFill patternType="solid">
          <fgColor indexed="64"/>
          <bgColor theme="5" tint="0.59999389629810485"/>
        </patternFill>
      </fill>
    </dxf>
    <dxf>
      <font>
        <strike val="0"/>
        <outline val="0"/>
        <shadow val="0"/>
        <u val="none"/>
        <sz val="10"/>
        <name val="Calibri"/>
        <family val="2"/>
        <scheme val="minor"/>
      </font>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0" hidden="0"/>
    </dxf>
    <dxf>
      <numFmt numFmtId="165" formatCode="_-* #,##0_-;\-* #,##0_-;_-* &quot;-&quot;??_-;_-@_-"/>
      <border diagonalUp="0" diagonalDown="0">
        <left style="thin">
          <color theme="0"/>
        </left>
        <right style="thin">
          <color theme="0"/>
        </right>
        <top style="thin">
          <color theme="0"/>
        </top>
        <bottom style="thin">
          <color theme="0"/>
        </bottom>
        <vertical/>
        <horizontal/>
      </border>
    </dxf>
    <dxf>
      <font>
        <sz val="10"/>
        <color auto="1"/>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0" hidden="0"/>
    </dxf>
    <dxf>
      <font>
        <b/>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0" indent="0" justifyLastLine="0" shrinkToFit="0" readingOrder="0"/>
      <border diagonalUp="0" diagonalDown="0" outline="0">
        <left/>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numFmt numFmtId="13" formatCode="0%"/>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style="medium">
          <color rgb="FFFFFFFF"/>
        </right>
        <top/>
        <bottom style="medium">
          <color rgb="FFFFFFFF"/>
        </bottom>
      </border>
      <protection locked="0"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4" formatCode="#,##0.00"/>
      <fill>
        <patternFill patternType="solid">
          <fgColor indexed="64"/>
          <bgColor theme="0" tint="-0.34998626667073579"/>
        </patternFill>
      </fill>
      <alignment horizontal="right" vertical="center" textRotation="0" wrapText="1" indent="0" justifyLastLine="0" shrinkToFit="0" readingOrder="0"/>
      <border diagonalUp="0" diagonalDown="0">
        <left style="medium">
          <color theme="0"/>
        </left>
        <right style="medium">
          <color rgb="FFFFFFFF"/>
        </right>
        <top/>
        <bottom style="medium">
          <color rgb="FFFFFFFF"/>
        </bottom>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left style="medium">
          <color theme="0"/>
        </left>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left style="medium">
          <color theme="0"/>
        </left>
        <right style="medium">
          <color theme="0"/>
        </right>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right style="medium">
          <color theme="0"/>
        </right>
      </border>
      <protection locked="1"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outline="0">
        <left style="medium">
          <color rgb="FFFFFFFF"/>
        </left>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2" tint="-0.249977111117893"/>
        </patternFill>
      </fill>
      <alignment horizontal="general" vertical="center" textRotation="0" wrapText="1" indent="0" justifyLastLine="0" shrinkToFit="0" readingOrder="0"/>
      <border diagonalUp="0" diagonalDown="0" outline="0">
        <left/>
        <right style="medium">
          <color rgb="FFFFFFFF"/>
        </right>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right/>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border outline="0">
        <left style="medium">
          <color rgb="FFFFFFFF"/>
        </left>
        <right style="medium">
          <color rgb="FFFFFFFF"/>
        </right>
        <bottom style="medium">
          <color rgb="FFFFFFFF"/>
        </bottom>
      </border>
    </dxf>
    <dxf>
      <font>
        <strike val="0"/>
        <outline val="0"/>
        <shadow val="0"/>
        <u val="none"/>
        <sz val="10"/>
        <name val="Calibri"/>
        <family val="2"/>
        <scheme val="minor"/>
      </font>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theme="0"/>
        </left>
        <right style="medium">
          <color theme="0"/>
        </right>
        <top style="medium">
          <color rgb="FFFFFFFF"/>
        </top>
        <bottom style="medium">
          <color rgb="FFFFFFFF"/>
        </bottom>
        <vertical/>
        <horizontal/>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style="medium">
          <color rgb="FFFFFFFF"/>
        </left>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rgb="FF9FC3CD"/>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thin">
          <color theme="0"/>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thin">
          <color theme="0"/>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top style="thin">
          <color theme="0"/>
        </top>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dxf>
    <dxf>
      <font>
        <b val="0"/>
        <i/>
        <strike val="0"/>
        <condense val="0"/>
        <extend val="0"/>
        <outline val="0"/>
        <shadow val="0"/>
        <u val="none"/>
        <vertAlign val="baseline"/>
        <sz val="10"/>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style="medium">
          <color theme="0"/>
        </right>
        <top style="medium">
          <color rgb="FFFFFFFF"/>
        </top>
        <bottom style="medium">
          <color rgb="FFFFFFFF"/>
        </bottom>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rgb="FF9FC3CD"/>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dxf>
    <dxf>
      <font>
        <b val="0"/>
        <i val="0"/>
        <strike val="0"/>
        <condense val="0"/>
        <extend val="0"/>
        <outline val="0"/>
        <shadow val="0"/>
        <u val="none"/>
        <vertAlign val="baseline"/>
        <sz val="10"/>
        <color theme="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dxf>
    <dxf>
      <font>
        <b val="0"/>
        <i val="0"/>
        <strike val="0"/>
        <condense val="0"/>
        <extend val="0"/>
        <outline val="0"/>
        <shadow val="0"/>
        <u val="none"/>
        <vertAlign val="baseline"/>
        <sz val="10"/>
        <color theme="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dxf>
    <dxf>
      <font>
        <b val="0"/>
        <i val="0"/>
        <strike val="0"/>
        <condense val="0"/>
        <extend val="0"/>
        <outline val="0"/>
        <shadow val="0"/>
        <u val="none"/>
        <vertAlign val="baseline"/>
        <sz val="10"/>
        <color auto="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bottom style="medium">
          <color rgb="FFFFFFFF"/>
        </bottom>
      </border>
      <protection locked="0" hidden="0"/>
    </dxf>
    <dxf>
      <font>
        <b val="0"/>
        <i val="0"/>
        <strike val="0"/>
        <condense val="0"/>
        <extend val="0"/>
        <outline val="0"/>
        <shadow val="0"/>
        <u val="none"/>
        <vertAlign val="baseline"/>
        <sz val="10"/>
        <color auto="1"/>
        <name val="Calibri"/>
        <scheme val="minor"/>
      </font>
      <numFmt numFmtId="168" formatCode="_-* #,##0.0_-;\-* #,##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173" formatCode="#,##0.000"/>
      <fill>
        <patternFill patternType="solid">
          <fgColor indexed="64"/>
          <bgColor rgb="FFF2F2F2"/>
        </patternFill>
      </fill>
      <alignment horizontal="general" vertical="center" textRotation="0" wrapText="1" indent="0" justifyLastLine="0" shrinkToFit="0" readingOrder="0"/>
      <border diagonalUp="0" diagonalDown="0">
        <left style="medium">
          <color rgb="FFFFFFFF"/>
        </left>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rgb="FFA6A6A6"/>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rgb="FFA6A6A6"/>
        </patternFill>
      </fill>
      <alignment horizontal="general" vertical="center" textRotation="0" wrapText="1" indent="0" justifyLastLine="0" shrinkToFit="0" readingOrder="0"/>
      <border diagonalUp="0" diagonalDown="0">
        <left/>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theme="0" tint="-0.34998626667073579"/>
        </patternFill>
      </fill>
      <alignment horizontal="center" vertical="center" textRotation="0" wrapText="1" indent="0" justifyLastLine="0" shrinkToFit="0" readingOrder="0"/>
      <border diagonalUp="0" diagonalDown="0">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164" formatCode="&quot;£&quot;#,##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strike val="0"/>
        <condense val="0"/>
        <extend val="0"/>
        <outline val="0"/>
        <shadow val="0"/>
        <u val="none"/>
        <vertAlign val="baseline"/>
        <sz val="10"/>
        <color auto="1"/>
        <name val="Calibri"/>
        <family val="2"/>
        <scheme val="minor"/>
      </font>
      <fill>
        <patternFill patternType="solid">
          <fgColor indexed="64"/>
          <bgColor theme="0" tint="-0.34998626667073579"/>
        </patternFill>
      </fill>
      <alignment horizontal="center" vertical="center" textRotation="0" wrapText="1" indent="0" justifyLastLine="0" shrinkToFit="0" readingOrder="0"/>
      <border diagonalUp="0" diagonalDown="0">
        <left/>
        <right style="medium">
          <color rgb="FFFFFFFF"/>
        </right>
        <top/>
        <bottom style="medium">
          <color rgb="FFFFFFFF"/>
        </bottom>
        <vertical/>
        <horizontal/>
      </border>
    </dxf>
    <dxf>
      <font>
        <b val="0"/>
        <i/>
        <strike val="0"/>
        <condense val="0"/>
        <extend val="0"/>
        <outline val="0"/>
        <shadow val="0"/>
        <u val="none"/>
        <vertAlign val="baseline"/>
        <sz val="10"/>
        <color auto="1"/>
        <name val="Calibri"/>
        <family val="2"/>
        <scheme val="minor"/>
      </font>
      <fill>
        <patternFill patternType="solid">
          <fgColor indexed="64"/>
          <bgColor rgb="FFF2F2F2"/>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dxf>
    <dxf>
      <font>
        <b val="0"/>
        <i/>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style="medium">
          <color rgb="FFFFFFFF"/>
        </left>
        <right/>
        <top/>
        <bottom style="medium">
          <color rgb="FFFFFFFF"/>
        </bottom>
      </border>
    </dxf>
    <dxf>
      <font>
        <b val="0"/>
        <i val="0"/>
        <strike val="0"/>
        <condense val="0"/>
        <extend val="0"/>
        <outline val="0"/>
        <shadow val="0"/>
        <u val="none"/>
        <vertAlign val="baseline"/>
        <sz val="10"/>
        <color auto="1"/>
        <name val="Calibri"/>
        <scheme val="minor"/>
      </font>
      <numFmt numFmtId="30" formatCode="@"/>
      <fill>
        <patternFill patternType="solid">
          <fgColor indexed="64"/>
          <bgColor rgb="FFF2F2F2"/>
        </patternFill>
      </fill>
      <alignment horizontal="center" vertical="center" textRotation="0" wrapText="1" indent="0" justifyLastLine="0" shrinkToFit="0" readingOrder="0"/>
      <border diagonalUp="0" diagonalDown="0" outline="0">
        <left style="medium">
          <color rgb="FFFFFFFF"/>
        </left>
        <right style="medium">
          <color rgb="FFFFFFFF"/>
        </right>
        <top/>
        <bottom style="medium">
          <color rgb="FFFFFFFF"/>
        </bottom>
      </border>
    </dxf>
    <dxf>
      <font>
        <b val="0"/>
        <i val="0"/>
        <strike val="0"/>
        <condense val="0"/>
        <extend val="0"/>
        <outline val="0"/>
        <shadow val="0"/>
        <u val="none"/>
        <vertAlign val="baseline"/>
        <sz val="10"/>
        <color auto="1"/>
        <name val="Calibri"/>
        <scheme val="minor"/>
      </font>
      <numFmt numFmtId="30" formatCode="@"/>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bottom style="medium">
          <color rgb="FFFFFFFF"/>
        </bottom>
      </border>
    </dxf>
    <dxf>
      <border outline="0">
        <left style="medium">
          <color rgb="FFFFFFFF"/>
        </left>
        <right style="medium">
          <color rgb="FFFFFFFF"/>
        </right>
        <bottom style="medium">
          <color theme="1" tint="0.34998626667073579"/>
        </bottom>
      </border>
    </dxf>
    <dxf>
      <font>
        <strike val="0"/>
        <outline val="0"/>
        <shadow val="0"/>
        <u val="none"/>
        <sz val="10"/>
      </font>
    </dxf>
    <dxf>
      <font>
        <strike val="0"/>
        <outline val="0"/>
        <shadow val="0"/>
        <u val="none"/>
        <sz val="10"/>
      </font>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strike val="0"/>
        <outline val="0"/>
        <shadow val="0"/>
        <u val="none"/>
        <vertAlign val="baseline"/>
        <sz val="10"/>
        <color auto="1"/>
        <name val="Calibri"/>
        <scheme val="minor"/>
      </font>
      <numFmt numFmtId="2" formatCode="0.00"/>
      <fill>
        <patternFill patternType="solid">
          <fgColor indexed="64"/>
          <bgColor theme="2" tint="-0.249977111117893"/>
        </patternFill>
      </fill>
      <border diagonalUp="0" diagonalDown="0">
        <left style="medium">
          <color theme="0"/>
        </left>
        <right style="medium">
          <color theme="0"/>
        </right>
        <top style="medium">
          <color theme="0"/>
        </top>
        <bottom style="medium">
          <color theme="0"/>
        </bottom>
      </border>
    </dxf>
    <dxf>
      <font>
        <strike val="0"/>
        <outline val="0"/>
        <shadow val="0"/>
        <u val="none"/>
        <vertAlign val="baseline"/>
        <sz val="10"/>
        <color auto="1"/>
        <name val="Calibri"/>
        <scheme val="minor"/>
      </font>
      <numFmt numFmtId="2" formatCode="0.00"/>
      <fill>
        <patternFill patternType="solid">
          <fgColor indexed="64"/>
          <bgColor theme="2" tint="-0.249977111117893"/>
        </patternFill>
      </fill>
      <border diagonalUp="0" diagonalDown="0">
        <left style="medium">
          <color theme="0"/>
        </left>
        <right style="medium">
          <color theme="0"/>
        </right>
        <top style="medium">
          <color theme="0"/>
        </top>
        <bottom style="medium">
          <color theme="0"/>
        </bottom>
      </border>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theme="0"/>
        </left>
        <right style="medium">
          <color theme="0"/>
        </right>
        <top/>
        <bottom style="medium">
          <color rgb="FFFFFFFF"/>
        </bottom>
      </border>
      <protection locked="0" hidden="0"/>
    </dxf>
    <dxf>
      <font>
        <b val="0"/>
        <i val="0"/>
        <strike val="0"/>
        <condense val="0"/>
        <extend val="0"/>
        <outline val="0"/>
        <shadow val="0"/>
        <u val="none"/>
        <vertAlign val="baseline"/>
        <sz val="10"/>
        <color auto="1"/>
        <name val="Calibri"/>
        <family val="2"/>
        <scheme val="minor"/>
      </font>
      <numFmt numFmtId="2" formatCode="0.00"/>
      <fill>
        <patternFill patternType="solid">
          <fgColor indexed="64"/>
          <bgColor theme="5" tint="0.59999389629810485"/>
        </patternFill>
      </fill>
      <alignment horizontal="general" vertical="center" textRotation="0" wrapText="1" indent="0" justifyLastLine="0" shrinkToFit="0" readingOrder="0"/>
      <border diagonalUp="0" diagonalDown="0" outline="0">
        <left/>
        <right/>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style="medium">
          <color theme="0"/>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rgb="FF70DBFC"/>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0"/>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outline="0">
        <left style="medium">
          <color rgb="FFFFFFFF"/>
        </left>
      </border>
      <protection locked="0" hidden="0"/>
    </dxf>
    <dxf>
      <font>
        <b val="0"/>
        <i val="0"/>
        <strike val="0"/>
        <condense val="0"/>
        <extend val="0"/>
        <outline val="0"/>
        <shadow val="0"/>
        <u val="none"/>
        <vertAlign val="baseline"/>
        <sz val="10"/>
        <color auto="1"/>
        <name val="Calibri"/>
        <family val="2"/>
        <scheme val="minor"/>
      </font>
      <numFmt numFmtId="30" formatCode="@"/>
      <fill>
        <patternFill patternType="solid">
          <fgColor indexed="64"/>
          <bgColor rgb="FFA6A6A6"/>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numFmt numFmtId="1" formatCode="0"/>
      <fill>
        <patternFill patternType="solid">
          <fgColor indexed="64"/>
          <bgColor theme="0" tint="-0.34998626667073579"/>
        </patternFill>
      </fill>
      <alignment horizontal="center" vertical="center" textRotation="0" wrapText="1" indent="0" justifyLastLine="0" shrinkToFit="0" readingOrder="0"/>
      <border diagonalUp="0" diagonalDown="0">
        <left/>
        <right style="medium">
          <color rgb="FFFFFFFF"/>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1" formatCode="0"/>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dxf>
    <dxf>
      <border outline="0">
        <left style="thin">
          <color theme="0"/>
        </left>
        <right style="medium">
          <color rgb="FFFFFFFF"/>
        </right>
        <bottom style="medium">
          <color rgb="FFFFFFFF"/>
        </bottom>
      </border>
    </dxf>
    <dxf>
      <font>
        <strike val="0"/>
        <outline val="0"/>
        <shadow val="0"/>
        <u val="none"/>
        <vertAlign val="baseline"/>
        <sz val="10"/>
        <color auto="1"/>
        <name val="Calibri"/>
        <scheme val="minor"/>
      </font>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75" formatCode="_-* #,##0.000_-;\-* #,##0.000_-;_-* &quot;-&quot;??_-;_-@_-"/>
      <fill>
        <patternFill patternType="solid">
          <fgColor indexed="64"/>
          <bgColor theme="0" tint="-0.34998626667073579"/>
        </patternFill>
      </fill>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A6A6A6"/>
        </patternFill>
      </fill>
      <border diagonalUp="0" diagonalDown="0">
        <left/>
        <right style="medium">
          <color theme="0"/>
        </right>
        <top style="medium">
          <color theme="0"/>
        </top>
        <bottom style="medium">
          <color theme="0"/>
        </bottom>
      </border>
      <protection locked="1"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167" formatCode="0.0"/>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theme="0"/>
        </right>
        <top style="medium">
          <color theme="0"/>
        </top>
        <bottom style="medium">
          <color theme="0"/>
        </bottom>
      </border>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rgb="FFFFFFFF"/>
        </left>
        <right style="medium">
          <color theme="0"/>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70DBFC"/>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rgb="FF70DBFC"/>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top style="medium">
          <color rgb="FFFFFFFF"/>
        </top>
        <bottom style="medium">
          <color rgb="FFFFFFFF"/>
        </bottom>
      </border>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thin">
          <color indexed="64"/>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A6A6A6"/>
        </patternFill>
      </fill>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0"/>
        <color rgb="FF636363"/>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style="medium">
          <color rgb="FFFFFFFF"/>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outline="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outline="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outline="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FFCCCC"/>
      <color rgb="FFA6A6A6"/>
      <color rgb="FF70DBFC"/>
      <color rgb="FFF2F2F2"/>
      <color rgb="FF636363"/>
      <color rgb="FF0599C7"/>
      <color rgb="FFFFC7CE"/>
      <color rgb="FFCBCBCB"/>
      <color rgb="FF9FC3CD"/>
      <color rgb="FF27CC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19050</xdr:colOff>
      <xdr:row>3</xdr:row>
      <xdr:rowOff>91440</xdr:rowOff>
    </xdr:from>
    <xdr:to>
      <xdr:col>12</xdr:col>
      <xdr:colOff>1045844</xdr:colOff>
      <xdr:row>3</xdr:row>
      <xdr:rowOff>1483995</xdr:rowOff>
    </xdr:to>
    <xdr:sp macro="" textlink="">
      <xdr:nvSpPr>
        <xdr:cNvPr id="2" name="Rectangle 1">
          <a:extLst>
            <a:ext uri="{FF2B5EF4-FFF2-40B4-BE49-F238E27FC236}">
              <a16:creationId xmlns:a16="http://schemas.microsoft.com/office/drawing/2014/main" id="{03F5C68A-1420-3E9B-FEDD-B72B2613F5B2}"/>
            </a:ext>
          </a:extLst>
        </xdr:cNvPr>
        <xdr:cNvSpPr/>
      </xdr:nvSpPr>
      <xdr:spPr>
        <a:xfrm>
          <a:off x="11325225" y="1110615"/>
          <a:ext cx="3893819" cy="1392555"/>
        </a:xfrm>
        <a:prstGeom prst="rect">
          <a:avLst/>
        </a:prstGeom>
        <a:noFill/>
        <a:ln w="190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b="1">
              <a:solidFill>
                <a:schemeClr val="tx1">
                  <a:lumMod val="50000"/>
                  <a:lumOff val="50000"/>
                </a:schemeClr>
              </a:solidFill>
            </a:rPr>
            <a:t>Note for fossil</a:t>
          </a:r>
          <a:r>
            <a:rPr lang="en-GB" sz="1100" b="1" baseline="0">
              <a:solidFill>
                <a:schemeClr val="tx1">
                  <a:lumMod val="50000"/>
                  <a:lumOff val="50000"/>
                </a:schemeClr>
              </a:solidFill>
            </a:rPr>
            <a:t> fuel vehicles:</a:t>
          </a:r>
        </a:p>
        <a:p>
          <a:r>
            <a:rPr lang="en-GB" sz="1100">
              <a:solidFill>
                <a:schemeClr val="tx1">
                  <a:lumMod val="50000"/>
                  <a:lumOff val="50000"/>
                </a:schemeClr>
              </a:solidFill>
              <a:effectLst/>
              <a:latin typeface="+mn-lt"/>
              <a:ea typeface="+mn-ea"/>
              <a:cs typeface="+mn-cs"/>
            </a:rPr>
            <a:t>- Small Car = up to 1.4 litre for Petrol and up to 1.7 litre for Diesel</a:t>
          </a:r>
        </a:p>
        <a:p>
          <a:r>
            <a:rPr lang="en-GB" sz="1100">
              <a:solidFill>
                <a:schemeClr val="tx1">
                  <a:lumMod val="50000"/>
                  <a:lumOff val="50000"/>
                </a:schemeClr>
              </a:solidFill>
              <a:effectLst/>
              <a:latin typeface="+mn-lt"/>
              <a:ea typeface="+mn-ea"/>
              <a:cs typeface="+mn-cs"/>
            </a:rPr>
            <a:t>-</a:t>
          </a:r>
          <a:r>
            <a:rPr lang="en-GB" sz="1100" baseline="0">
              <a:solidFill>
                <a:schemeClr val="tx1">
                  <a:lumMod val="50000"/>
                  <a:lumOff val="50000"/>
                </a:schemeClr>
              </a:solidFill>
              <a:effectLst/>
              <a:latin typeface="+mn-lt"/>
              <a:ea typeface="+mn-ea"/>
              <a:cs typeface="+mn-cs"/>
            </a:rPr>
            <a:t> </a:t>
          </a:r>
          <a:r>
            <a:rPr lang="en-GB" sz="1100">
              <a:solidFill>
                <a:schemeClr val="tx1">
                  <a:lumMod val="50000"/>
                  <a:lumOff val="50000"/>
                </a:schemeClr>
              </a:solidFill>
              <a:effectLst/>
              <a:latin typeface="+mn-lt"/>
              <a:ea typeface="+mn-ea"/>
              <a:cs typeface="+mn-cs"/>
            </a:rPr>
            <a:t>Medium Car = 1.4-2.0 litre for Petrol and 1.7-2.0 litre for Diesel    (if its 1.4 petrol or 1.7 Diesel use “Medium”) </a:t>
          </a:r>
        </a:p>
        <a:p>
          <a:r>
            <a:rPr lang="en-GB" sz="1100">
              <a:solidFill>
                <a:schemeClr val="tx1">
                  <a:lumMod val="50000"/>
                  <a:lumOff val="50000"/>
                </a:schemeClr>
              </a:solidFill>
              <a:effectLst/>
              <a:latin typeface="+mn-lt"/>
              <a:ea typeface="+mn-ea"/>
              <a:cs typeface="+mn-cs"/>
            </a:rPr>
            <a:t>- Large Car = above 2.0 litre for both Petrol and Diesel </a:t>
          </a:r>
        </a:p>
        <a:p>
          <a:r>
            <a:rPr lang="en-GB" sz="1100">
              <a:solidFill>
                <a:schemeClr val="tx1">
                  <a:lumMod val="50000"/>
                  <a:lumOff val="50000"/>
                </a:schemeClr>
              </a:solidFill>
              <a:effectLst/>
              <a:latin typeface="+mn-lt"/>
              <a:ea typeface="+mn-ea"/>
              <a:cs typeface="+mn-cs"/>
            </a:rPr>
            <a:t>- Average = size unknown </a:t>
          </a:r>
        </a:p>
        <a:p>
          <a:pPr algn="l"/>
          <a:endParaRPr lang="en-GB" sz="1100">
            <a:solidFill>
              <a:schemeClr val="tx1">
                <a:lumMod val="50000"/>
                <a:lumOff val="50000"/>
              </a:schemeClr>
            </a:solidFill>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BuildingsTable" displayName="BuildingsTable" ref="B6:W117" totalsRowShown="0" headerRowDxfId="551" dataDxfId="550" tableBorderDxfId="549" dataCellStyle="Comma">
  <autoFilter ref="B6:W117" xr:uid="{00000000-0009-0000-0100-000001000000}"/>
  <tableColumns count="22">
    <tableColumn id="22" xr3:uid="{231DDCAB-AC82-455D-BB18-7ABD96E059F3}" name="Site name" dataDxfId="548" dataCellStyle="Comma"/>
    <tableColumn id="1" xr3:uid="{00000000-0010-0000-0000-000001000000}" name="Ownership structure" dataDxfId="547"/>
    <tableColumn id="2" xr3:uid="{00000000-0010-0000-0000-000002000000}" name="Fuel/emission source" dataDxfId="546"/>
    <tableColumn id="3" xr3:uid="{00000000-0010-0000-0000-000003000000}" name="Category 1" dataDxfId="545"/>
    <tableColumn id="4" xr3:uid="{00000000-0010-0000-0000-000004000000}" name="Methodology" dataDxfId="544"/>
    <tableColumn id="5" xr3:uid="{00000000-0010-0000-0000-000005000000}" name="RSD" dataDxfId="543">
      <calculatedColumnFormula>IF(F7="","",INDEX(Lists!$BA$4:$BC$31,MATCH(D7,Lists!$AZ$4:$AZ$31,0),MATCH(F7,Lists!$BA$3:$BC$3,0)))</calculatedColumnFormula>
    </tableColumn>
    <tableColumn id="6" xr3:uid="{00000000-0010-0000-0000-000006000000}" name="Data" dataDxfId="542" dataCellStyle="Comma"/>
    <tableColumn id="7" xr3:uid="{00000000-0010-0000-0000-000007000000}" name="Units" dataDxfId="541"/>
    <tableColumn id="8" xr3:uid="{00000000-0010-0000-0000-000008000000}" name="Converted data" dataDxfId="540" dataCellStyle="Comma">
      <calculatedColumnFormula array="1">IF(OR($D7="",$C7="",$H7="",$I7=""),"",IF(I7=K7,H7,(INDEX('Emission factors'!$K$3:$V$201,MATCH(D7&amp;E7,'Emission factors'!$J$3:$J$201&amp;'Emission factors'!$K$3:$K$201,0),MATCH(J$6,'Emission factors'!$K$2:$V$2,0)))*H7))</calculatedColumnFormula>
    </tableColumn>
    <tableColumn id="9" xr3:uid="{00000000-0010-0000-0000-000009000000}" name="Standard units" dataDxfId="539">
      <calculatedColumnFormula>IF(OR($D7="",$C7="",$H7="",$I7=""),"",INDEX('Emission factors'!$K$3:$V$201,MATCH('Buildings &amp; stationary assets'!$D7,'Emission factors'!$J$3:$J$201,0),MATCH($K$6,'Emission factors'!$K$2:$V$2,0)))</calculatedColumnFormula>
    </tableColumn>
    <tableColumn id="10" xr3:uid="{00000000-0010-0000-0000-00000A000000}" name="Total EF (kgCO2e/unit)" dataDxfId="538">
      <calculatedColumnFormula array="1">IF(OR(D7="",H7="",BuildingsTable[[#This Row],[Units]]=""),"",INDEX('Emission factors'!$K$3:$V$201,MATCH('Buildings &amp; stationary assets'!$D7&amp;E7,'Emission factors'!$J$3:$J$201&amp;'Emission factors'!$K$3:$K$201,0),MATCH('Buildings &amp; stationary assets'!$L$6,'Emission factors'!$K$2:$V$2,0)))</calculatedColumnFormula>
    </tableColumn>
    <tableColumn id="11" xr3:uid="{00000000-0010-0000-0000-00000B000000}" name="Total emissions (kgCO2e)" dataDxfId="537" dataCellStyle="Comma">
      <calculatedColumnFormula>IF(OR(J7="",L7=""),"",SUM(BuildingsTable[[#This Row],[Direct]:[Indirect WTT]]))</calculatedColumnFormula>
    </tableColumn>
    <tableColumn id="12" xr3:uid="{00000000-0010-0000-0000-00000C000000}" name="Notes" dataDxfId="536"/>
    <tableColumn id="13" xr3:uid="{00000000-0010-0000-0000-00000D000000}" name="Ease of collection" dataDxfId="535"/>
    <tableColumn id="14" xr3:uid="{00000000-0010-0000-0000-00000E000000}" name="Direct" dataDxfId="534" dataCellStyle="Comma">
      <calculatedColumnFormula array="1">IF(OR($D7="",$H7=""),"",(INDEX('Emission factors'!$K$3:$V$201,MATCH('Buildings &amp; stationary assets'!$D7&amp;$E7,'Emission factors'!$J$3:$J$201&amp;'Emission factors'!$K$3:$K$201,0),MATCH('Buildings &amp; stationary assets'!P$6,'Emission factors'!$K$2:$V$2,0)))*$J7)</calculatedColumnFormula>
    </tableColumn>
    <tableColumn id="15" xr3:uid="{00000000-0010-0000-0000-00000F000000}" name="Indirect generation" dataDxfId="533" dataCellStyle="Comma">
      <calculatedColumnFormula array="1">IF(OR($D7="",$H7=""),"",(INDEX('Emission factors'!$K$3:$V$201,MATCH('Buildings &amp; stationary assets'!$D7&amp;$E7,'Emission factors'!$J$3:$J$201&amp;'Emission factors'!$K$3:$K$201,0),MATCH('Buildings &amp; stationary assets'!Q$6,'Emission factors'!$K$2:$V$2,0)))*$J7)</calculatedColumnFormula>
    </tableColumn>
    <tableColumn id="16" xr3:uid="{00000000-0010-0000-0000-000010000000}" name="Indirect service" dataDxfId="532" dataCellStyle="Comma">
      <calculatedColumnFormula array="1">IF(OR($D7="",$H7=""),"",(INDEX('Emission factors'!$K$3:$V$201,MATCH('Buildings &amp; stationary assets'!$D7&amp;$E7,'Emission factors'!$J$3:$J$201&amp;'Emission factors'!$K$3:$K$201,0),MATCH('Buildings &amp; stationary assets'!R$6,'Emission factors'!$K$2:$V$2,0)))*$J7)</calculatedColumnFormula>
    </tableColumn>
    <tableColumn id="17" xr3:uid="{00000000-0010-0000-0000-000011000000}" name="Indirect T&amp;D" dataDxfId="531" dataCellStyle="Comma">
      <calculatedColumnFormula array="1">IF(OR($D7="",$H7=""),"",(INDEX('Emission factors'!$K$3:$V$201,MATCH('Buildings &amp; stationary assets'!$D7&amp;$E7,'Emission factors'!$J$3:$J$201&amp;'Emission factors'!$K$3:$K$201,0),MATCH('Buildings &amp; stationary assets'!S$6,'Emission factors'!$K$2:$V$2,0)))*$J7)</calculatedColumnFormula>
    </tableColumn>
    <tableColumn id="18" xr3:uid="{00000000-0010-0000-0000-000012000000}" name="Indirect WTT" dataDxfId="530" dataCellStyle="Comma">
      <calculatedColumnFormula array="1">IF(OR($D7="",$H7=""),"",(INDEX('Emission factors'!$K$3:$V$201,MATCH('Buildings &amp; stationary assets'!$D7&amp;$E7,'Emission factors'!$J$3:$J$201&amp;'Emission factors'!$K$3:$K$201,0),MATCH('Buildings &amp; stationary assets'!T$6,'Emission factors'!$K$2:$V$2,0)))*$J7)</calculatedColumnFormula>
    </tableColumn>
    <tableColumn id="19" xr3:uid="{00000000-0010-0000-0000-000013000000}" name="High" dataDxfId="529" dataCellStyle="Comma">
      <calculatedColumnFormula>IF(OR($M7="",BuildingsTable[[#This Row],[RSD]]=""),"",BuildingsTable[[#This Row],[Total emissions (kgCO2e)]]*(1+BuildingsTable[[#This Row],[RSD]]))</calculatedColumnFormula>
    </tableColumn>
    <tableColumn id="20" xr3:uid="{00000000-0010-0000-0000-000014000000}" name="Low" dataDxfId="528" dataCellStyle="Comma">
      <calculatedColumnFormula>IF(OR($M7="",BuildingsTable[[#This Row],[RSD]]=""),"",BuildingsTable[[#This Row],[Total emissions (kgCO2e)]]*(1-BuildingsTable[[#This Row],[RSD]]))</calculatedColumnFormula>
    </tableColumn>
    <tableColumn id="21" xr3:uid="{00000000-0010-0000-0000-000015000000}" name="Outside of scopes" dataDxfId="527" dataCellStyle="Comma">
      <calculatedColumnFormula array="1">IF(OR($D7="",$H7=""),"",(INDEX('Emission factors'!$K$3:$V$201,MATCH('Buildings &amp; stationary assets'!$D7&amp;$E7,'Emission factors'!$J$3:$J$201&amp;'Emission factors'!$K$3:$K$201,0),MATCH('Buildings &amp; stationary assets'!W$6,'Emission factors'!$K$2:$V$2,0)))*$J7)</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StreetlightingTable" displayName="StreetlightingTable" ref="B120:W126" totalsRowShown="0" headerRowDxfId="526" dataDxfId="525" tableBorderDxfId="524" dataCellStyle="Comma">
  <autoFilter ref="B120:W126" xr:uid="{00000000-0009-0000-0100-000002000000}"/>
  <tableColumns count="22">
    <tableColumn id="22" xr3:uid="{4B00F5F9-4B42-4645-9563-9B6AAFA8775F}" name="Blank" dataDxfId="523" dataCellStyle="Comma"/>
    <tableColumn id="1" xr3:uid="{00000000-0010-0000-0100-000001000000}" name="Type of lighting" dataDxfId="522"/>
    <tableColumn id="2" xr3:uid="{00000000-0010-0000-0100-000002000000}" name="Fuel/emission source" dataDxfId="521"/>
    <tableColumn id="3" xr3:uid="{00000000-0010-0000-0100-000003000000}" name="Category 1" dataDxfId="520"/>
    <tableColumn id="4" xr3:uid="{00000000-0010-0000-0100-000004000000}" name="Methodology" dataDxfId="519"/>
    <tableColumn id="5" xr3:uid="{00000000-0010-0000-0100-000005000000}" name="RSD" dataDxfId="518">
      <calculatedColumnFormula>IF(F121="","",INDEX(Lists!$BA$4:$BC$31,MATCH(D121,Lists!$AZ$4:$AZ$31,0),MATCH(F121,Lists!$BA$3:$BC$3,0)))</calculatedColumnFormula>
    </tableColumn>
    <tableColumn id="6" xr3:uid="{00000000-0010-0000-0100-000006000000}" name="Data" dataDxfId="517" dataCellStyle="Comma"/>
    <tableColumn id="7" xr3:uid="{00000000-0010-0000-0100-000007000000}" name="Units" dataDxfId="516"/>
    <tableColumn id="8" xr3:uid="{00000000-0010-0000-0100-000008000000}" name="Converted data" dataDxfId="515" dataCellStyle="Comma">
      <calculatedColumnFormula array="1">IF(OR($D121="",$C121="",$H121="",$I121=""),"",IF(I121=K121,H121,(INDEX('Emission factors'!$K$3:$V$201,MATCH(D121&amp;E121,'Emission factors'!$J$3:$J$201&amp;'Emission factors'!$K$3:$K$201,0),MATCH(J$120,'Emission factors'!$K$2:$V$2,0)))*H121))</calculatedColumnFormula>
    </tableColumn>
    <tableColumn id="9" xr3:uid="{00000000-0010-0000-0100-000009000000}" name="Standard units" dataDxfId="514">
      <calculatedColumnFormula>IF(OR($D121="",$C121="",$H121="",$I121=""),"",INDEX('Emission factors'!$K$3:$V$201,MATCH('Buildings &amp; stationary assets'!$D121,'Emission factors'!$J$3:$J$201,0),MATCH($K$120,'Emission factors'!$K$2:$V$2,0)))</calculatedColumnFormula>
    </tableColumn>
    <tableColumn id="10" xr3:uid="{00000000-0010-0000-0100-00000A000000}" name="Total EF (kgCO2e/unit)" dataDxfId="513">
      <calculatedColumnFormula array="1">IF(OR(D121="",H121="",StreetlightingTable[[#This Row],[Units]]=""),"",INDEX('Emission factors'!$K$3:$V$201,MATCH('Buildings &amp; stationary assets'!$D121&amp;E121,'Emission factors'!$J$3:$J$201&amp;'Emission factors'!$K$3:$K$201,0),MATCH('Buildings &amp; stationary assets'!$L$120,'Emission factors'!$K$2:$V$2,0)))</calculatedColumnFormula>
    </tableColumn>
    <tableColumn id="11" xr3:uid="{00000000-0010-0000-0100-00000B000000}" name="Total emissions (kgCO2e)" dataDxfId="512" dataCellStyle="Comma">
      <calculatedColumnFormula>IF(OR(J121="",L121=""),"",SUM(StreetlightingTable[[#This Row],[Direct]:[Indirect WTT]]))</calculatedColumnFormula>
    </tableColumn>
    <tableColumn id="12" xr3:uid="{00000000-0010-0000-0100-00000C000000}" name="Notes" dataDxfId="511"/>
    <tableColumn id="13" xr3:uid="{00000000-0010-0000-0100-00000D000000}" name="Ease of collection" dataDxfId="510"/>
    <tableColumn id="14" xr3:uid="{00000000-0010-0000-0100-00000E000000}" name="Direct" dataDxfId="509" dataCellStyle="Comma">
      <calculatedColumnFormula array="1">IF(OR($D121="",$H121=""),"",(INDEX('Emission factors'!$K$3:$V$201,MATCH('Buildings &amp; stationary assets'!$D121&amp;$E121,'Emission factors'!$J$3:$J$201&amp;'Emission factors'!$K$3:$K$201,0),MATCH('Buildings &amp; stationary assets'!P$6,'Emission factors'!$K$2:$V$2,0)))*$J121)</calculatedColumnFormula>
    </tableColumn>
    <tableColumn id="15" xr3:uid="{00000000-0010-0000-0100-00000F000000}" name="Indirect generation" dataDxfId="508" dataCellStyle="Comma">
      <calculatedColumnFormula array="1">IF(OR($D121="",$H121=""),"",(INDEX('Emission factors'!$K$3:$V$201,MATCH('Buildings &amp; stationary assets'!$D121&amp;$E121,'Emission factors'!$J$3:$J$201&amp;'Emission factors'!$K$3:$K$201,0),MATCH('Buildings &amp; stationary assets'!Q$6,'Emission factors'!$K$2:$V$2,0)))*$J121)</calculatedColumnFormula>
    </tableColumn>
    <tableColumn id="16" xr3:uid="{00000000-0010-0000-0100-000010000000}" name="Indirect service" dataDxfId="507" dataCellStyle="Comma">
      <calculatedColumnFormula array="1">IF(OR($D121="",$H121=""),"",(INDEX('Emission factors'!$K$3:$V$201,MATCH('Buildings &amp; stationary assets'!$D121&amp;$E121,'Emission factors'!$J$3:$J$201&amp;'Emission factors'!$K$3:$K$201,0),MATCH('Buildings &amp; stationary assets'!R$6,'Emission factors'!$K$2:$V$2,0)))*$J121)</calculatedColumnFormula>
    </tableColumn>
    <tableColumn id="17" xr3:uid="{00000000-0010-0000-0100-000011000000}" name="Indirect T&amp;D" dataDxfId="506" dataCellStyle="Comma">
      <calculatedColumnFormula array="1">IF(OR($D121="",$H121=""),"",(INDEX('Emission factors'!$K$3:$V$201,MATCH('Buildings &amp; stationary assets'!$D121&amp;$E121,'Emission factors'!$J$3:$J$201&amp;'Emission factors'!$K$3:$K$201,0),MATCH('Buildings &amp; stationary assets'!S$6,'Emission factors'!$K$2:$V$2,0)))*$J121)</calculatedColumnFormula>
    </tableColumn>
    <tableColumn id="18" xr3:uid="{00000000-0010-0000-0100-000012000000}" name="Indirect WTT" dataDxfId="505" dataCellStyle="Comma">
      <calculatedColumnFormula array="1">IF(OR($D121="",$H121=""),"",(INDEX('Emission factors'!$K$3:$V$201,MATCH('Buildings &amp; stationary assets'!$D121&amp;$E121,'Emission factors'!$J$3:$J$201&amp;'Emission factors'!$K$3:$K$201,0),MATCH('Buildings &amp; stationary assets'!T$6,'Emission factors'!$K$2:$V$2,0)))*$J121)</calculatedColumnFormula>
    </tableColumn>
    <tableColumn id="19" xr3:uid="{00000000-0010-0000-0100-000013000000}" name="High" dataDxfId="504" dataCellStyle="Comma">
      <calculatedColumnFormula>IF(OR($M121="",StreetlightingTable[[#This Row],[RSD]]=""),"",StreetlightingTable[[#This Row],[Total emissions (kgCO2e)]]*(1+StreetlightingTable[[#This Row],[RSD]]))</calculatedColumnFormula>
    </tableColumn>
    <tableColumn id="20" xr3:uid="{00000000-0010-0000-0100-000014000000}" name="Low" dataDxfId="503" dataCellStyle="Comma">
      <calculatedColumnFormula>IF(OR($M121="",StreetlightingTable[[#This Row],[RSD]]=""),"",StreetlightingTable[[#This Row],[Total emissions (kgCO2e)]]*(1-StreetlightingTable[[#This Row],[RSD]]))</calculatedColumnFormula>
    </tableColumn>
    <tableColumn id="21" xr3:uid="{00000000-0010-0000-0100-000015000000}" name="Outside of scopes" dataDxfId="502" dataCellStyle="Comma">
      <calculatedColumnFormula array="1">IF(OR($D121="",$H121=""),"",(INDEX('Emission factors'!$K$3:$V$201,MATCH('Buildings &amp; stationary assets'!$D121&amp;$E121,'Emission factors'!$J$3:$J$201&amp;'Emission factors'!$K$3:$K$201,0),MATCH('Buildings &amp; stationary assets'!W$120,'Emission factors'!$K$2:$V$2,0)))*$J121)</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7D66E7E2-77B5-4AB2-9674-9E123E95F014}" name="OthergasesTable" displayName="OthergasesTable" ref="B129:W146" totalsRowShown="0" headerRowDxfId="501" dataDxfId="500" tableBorderDxfId="499" dataCellStyle="Comma">
  <autoFilter ref="B129:W146" xr:uid="{7D66E7E2-77B5-4AB2-9674-9E123E95F014}"/>
  <tableColumns count="22">
    <tableColumn id="22" xr3:uid="{8FC454D3-8A23-4BB3-8E2E-7166A0ABA054}" name="Site name" dataDxfId="498" dataCellStyle="Comma"/>
    <tableColumn id="1" xr3:uid="{1EFEB946-AB90-43D5-AC58-A64DB1D82008}" name="Type" dataDxfId="497"/>
    <tableColumn id="2" xr3:uid="{E7EAE466-0F59-45A4-89A1-8D09AB5F777C}" name="Gas" dataDxfId="496"/>
    <tableColumn id="3" xr3:uid="{085332C7-436F-46D3-83D9-EA81FBF252F8}" name="Not used" dataDxfId="495"/>
    <tableColumn id="4" xr3:uid="{F6E2C64A-F66B-479C-B03C-16D1EDA04004}" name="Methodology" dataDxfId="494"/>
    <tableColumn id="5" xr3:uid="{079CFD8A-99D8-4845-819F-F4EDEE6B891D}" name="RSD" dataDxfId="493">
      <calculatedColumnFormula>IF(F130="","",INDEX(Lists!$BA$4:$BC$39,MATCH($C130,Lists!$AZ$4:$AZ$39,0),MATCH(F130,Lists!$BA$3:$BC$3,0)))</calculatedColumnFormula>
    </tableColumn>
    <tableColumn id="6" xr3:uid="{D841B0D1-E48F-4F84-B9AA-F37132EE926A}" name="Data" dataDxfId="492" dataCellStyle="Comma"/>
    <tableColumn id="7" xr3:uid="{45A38422-2D49-4023-8645-157A278DF28B}" name="Units" dataDxfId="491"/>
    <tableColumn id="8" xr3:uid="{0D24EF37-E748-4B22-91EA-232A4796443D}" name="Converted data" dataDxfId="490" dataCellStyle="Comma">
      <calculatedColumnFormula array="1">IF(OR($D130="",$C130="",$H130="",$I130=""),"",IF(I130=K130,H130,(INDEX('Emission factors'!$K$3:$V$381,MATCH(C130&amp;D130,'Emission factors'!$J$3:$J$381&amp;'Emission factors'!$K$3:$K$381,0),MATCH(OthergasesTable[[#Headers],[Converted data]],'Emission factors'!$K$2:$V$2,0)))*H130))</calculatedColumnFormula>
    </tableColumn>
    <tableColumn id="9" xr3:uid="{09387069-38A2-4F0C-A197-5FD0D6C0CF6C}" name="Standard units" dataDxfId="489">
      <calculatedColumnFormula>IF(C130="","",INDEX('Emission factors'!$J$3:$V$381,MATCH('Buildings &amp; stationary assets'!$C130,'Emission factors'!$J$3:$J$381,0),MATCH(OthergasesTable[[#Headers],[Standard units]],'Emission factors'!$J$2:$V$2,0)))</calculatedColumnFormula>
    </tableColumn>
    <tableColumn id="10" xr3:uid="{6481EB15-506C-4DE8-B300-49D0AD8C63F5}" name="Total EF (kgCO2e/unit)" dataDxfId="488" dataCellStyle="Comma">
      <calculatedColumnFormula array="1">IF(OR(D130="",H130=""),"",INDEX('Emission factors'!$K$3:$V$381,MATCH('Buildings &amp; stationary assets'!$C130&amp;$D130,'Emission factors'!$J$3:$J$381&amp;'Emission factors'!$K$3:$K$381,0),MATCH(OthergasesTable[[#Headers],[Total EF (kgCO2e/unit)]],'Emission factors'!$K$2:$V$2,0)))</calculatedColumnFormula>
    </tableColumn>
    <tableColumn id="11" xr3:uid="{4B466223-52F5-48C3-9719-DD316A7E0CCF}" name="Total emissions (kgCO2e)" dataDxfId="487" dataCellStyle="Comma">
      <calculatedColumnFormula>IF(OR(J130="",L130=""),"",SUM(OthergasesTable[[#This Row],[Direct]:[Indirect WTT]]))</calculatedColumnFormula>
    </tableColumn>
    <tableColumn id="12" xr3:uid="{1B985DC4-837B-4E82-88A6-872A38318F3E}" name="Notes" dataDxfId="486"/>
    <tableColumn id="13" xr3:uid="{382967CC-B211-4560-8F91-4B517F7B41B7}" name="Ease of collection" dataDxfId="485"/>
    <tableColumn id="14" xr3:uid="{0B5CDF18-D39E-4238-96BC-C098E841D09F}" name="Direct" dataDxfId="484" dataCellStyle="Comma">
      <calculatedColumnFormula array="1">IF(OR($C130="",$H130=""),"",(INDEX('Emission factors'!$K$3:$V$381,MATCH('Buildings &amp; stationary assets'!$C130&amp;$D130,'Emission factors'!$J$3:$J$381&amp;'Emission factors'!$K$3:$K$381,0),MATCH(OthergasesTable[[#Headers],[Direct]],'Emission factors'!$K$2:$V$2,0)))*$J130)</calculatedColumnFormula>
    </tableColumn>
    <tableColumn id="15" xr3:uid="{06D6D2A8-2B1F-4E07-89E7-47703ACF611D}" name="Indirect generation" dataDxfId="483" dataCellStyle="Comma">
      <calculatedColumnFormula array="1">IF(OR($C130="",$H130=""),"",(INDEX('Emission factors'!$K$3:$V$381,MATCH('Buildings &amp; stationary assets'!$C130&amp;$D130,'Emission factors'!$J$3:$J$381&amp;'Emission factors'!$K$3:$K$381,0),MATCH(OthergasesTable[[#Headers],[Indirect generation]],'Emission factors'!$K$2:$V$2,0)))*$J130)</calculatedColumnFormula>
    </tableColumn>
    <tableColumn id="16" xr3:uid="{BC966F63-12C7-4755-93C5-7A09F3F39871}" name="Indirect service" dataDxfId="482" dataCellStyle="Comma">
      <calculatedColumnFormula array="1">IF(OR($C130="",$H130=""),"",(INDEX('Emission factors'!$K$3:$V$381,MATCH('Buildings &amp; stationary assets'!$C130&amp;$D130,'Emission factors'!$J$3:$J$381&amp;'Emission factors'!$K$3:$K$381,0),MATCH(OthergasesTable[[#Headers],[Indirect service]],'Emission factors'!$K$2:$V$2,0)))*$J130)</calculatedColumnFormula>
    </tableColumn>
    <tableColumn id="17" xr3:uid="{B007BE31-58AC-4292-B41B-F6C6B941FB25}" name="Indirect T&amp;D" dataDxfId="481" dataCellStyle="Comma">
      <calculatedColumnFormula array="1">IF(OR($C130="",$H130=""),"",(INDEX('Emission factors'!$K$3:$V$381,MATCH('Buildings &amp; stationary assets'!$C130&amp;$D130,'Emission factors'!$J$3:$J$381&amp;'Emission factors'!$K$3:$K$381,0),MATCH(OthergasesTable[[#Headers],[Indirect T&amp;D]],'Emission factors'!$K$2:$V$2,0)))*$J130)</calculatedColumnFormula>
    </tableColumn>
    <tableColumn id="18" xr3:uid="{870D0CBE-FB5D-4205-B0B3-FA27AC11E3B9}" name="Indirect WTT" dataDxfId="480" dataCellStyle="Comma">
      <calculatedColumnFormula array="1">IF(OR($C130="",$H130=""),"",(INDEX('Emission factors'!$K$3:$V$381,MATCH('Buildings &amp; stationary assets'!$C130&amp;$D130,'Emission factors'!$J$3:$J$381&amp;'Emission factors'!$K$3:$K$381,0),MATCH(OthergasesTable[[#Headers],[Indirect WTT]],'Emission factors'!$K$2:$V$2,0)))*$J130)</calculatedColumnFormula>
    </tableColumn>
    <tableColumn id="19" xr3:uid="{D6B7F342-6112-4900-A3F2-FCD6484F12CA}" name="High" dataDxfId="479" dataCellStyle="Comma">
      <calculatedColumnFormula>IF(OR($M130="",$G130=""),"",$M130*(1+$G130))</calculatedColumnFormula>
    </tableColumn>
    <tableColumn id="20" xr3:uid="{9D55DB22-C272-4643-9371-4653F2AF2480}" name="Low" dataDxfId="478" dataCellStyle="Comma">
      <calculatedColumnFormula>IF(OR($M130="",$G130=""),"",$M130*(1-$G130))</calculatedColumnFormula>
    </tableColumn>
    <tableColumn id="21" xr3:uid="{93830D31-FCBC-496E-AB6C-5BB0825DA989}" name="Outside of scopes" dataDxfId="477" dataCellStyle="Comma">
      <calculatedColumnFormula array="1">IF(OR($C130="",$H130=""),"",(INDEX('Emission factors'!$K$3:$V$381,MATCH('Buildings &amp; stationary assets'!$C130&amp;$D130,'Emission factors'!$J$3:$J$381&amp;'Emission factors'!$K$3:$K$381,0),MATCH(OthergasesTable[[#Headers],[Outside of scopes]],'Emission factors'!$K$2:$V$2,0)))*$J130)</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EFD33F37-FD26-4DEE-A8AB-54C1005ADC26}" name="FleetTableFuel" displayName="FleetTableFuel" ref="B7:V27" totalsRowShown="0" headerRowDxfId="476" dataDxfId="475" tableBorderDxfId="474" dataCellStyle="Comma">
  <autoFilter ref="B7:V27" xr:uid="{00000000-0009-0000-0100-000003000000}"/>
  <tableColumns count="21">
    <tableColumn id="1" xr3:uid="{1166A384-2DF6-4683-B1B0-70F3F3E01182}" name="Type" dataDxfId="473"/>
    <tableColumn id="2" xr3:uid="{3BD937DC-F810-4F99-BBE9-41B26440639E}" name="Fuel" dataDxfId="472"/>
    <tableColumn id="3" xr3:uid="{E79CC2E0-0528-45A0-A1FB-9CE396EBBC03}" name="Category 1" dataDxfId="471"/>
    <tableColumn id="4" xr3:uid="{F945397C-C666-4056-9EEA-2D157FF61214}" name="Methodology" dataDxfId="470"/>
    <tableColumn id="5" xr3:uid="{D31D1E55-0E84-431D-A5AA-EE142F2EA35F}" name="RSD" dataDxfId="469">
      <calculatedColumnFormula>IF(E8="","",INDEX(Lists!$BA$4:$BC$31,MATCH(C8,Lists!$AZ$4:$AZ$31,0),MATCH(E8,Lists!$BA$3:$BC$3,0)))</calculatedColumnFormula>
    </tableColumn>
    <tableColumn id="6" xr3:uid="{3C09708D-6E02-4AD7-A3F6-C3E1F3107E23}" name="Data" dataDxfId="468" dataCellStyle="Comma"/>
    <tableColumn id="7" xr3:uid="{D270B063-A1C3-45CD-924B-15E1B5F85F44}" name="Units" dataDxfId="467"/>
    <tableColumn id="8" xr3:uid="{6FFA735B-0A6C-4BA1-BEA8-8877832ED2D1}" name="Converted data" dataDxfId="466" dataCellStyle="Comma">
      <calculatedColumnFormula array="1">IF(OR($C8="",$B8="",$G8="",$H8=""),"",IF(H8=J8,G8,(INDEX('Emission factors'!$K$3:$V$201,MATCH(C8&amp;D8,'Emission factors'!$J$3:$J$201&amp;'Emission factors'!$K$3:$K$201,0),MATCH(I$7,'Emission factors'!$K$2:$V$2,0)))*G8))</calculatedColumnFormula>
    </tableColumn>
    <tableColumn id="9" xr3:uid="{7C3BE66D-A8D7-4D64-880F-BCDCA0149153}" name="Standard units" dataDxfId="465">
      <calculatedColumnFormula>IF(OR($C8="",$B8="",$G8="",$H8=""),"",INDEX('Emission factors'!$K$3:$V$201,MATCH(Fleet!$C8,'Emission factors'!$J$3:$J$201,0),MATCH($J$7,'Emission factors'!$K$2:$V$2,0)))</calculatedColumnFormula>
    </tableColumn>
    <tableColumn id="10" xr3:uid="{6BC8930C-E710-4207-B407-472A4A4ABF8B}" name="Total EF (kgCO2e/unit)" dataDxfId="464">
      <calculatedColumnFormula array="1">IF(OR(C8="",G8="",FleetTableFuel[[#This Row],[Units]]=""),"",INDEX('Emission factors'!$K$3:$V$201,MATCH(FleetTableFuel[[#This Row],[Fuel]]&amp;D8,'Emission factors'!$J$3:$J$201&amp;'Emission factors'!$K$3:$K$201,0),MATCH(FleetTableFuel[[#Headers],[Total EF (kgCO2e/unit)]],'Emission factors'!$K$2:$V$2,0)))</calculatedColumnFormula>
    </tableColumn>
    <tableColumn id="11" xr3:uid="{37506959-981D-49B3-8620-19FEB5B5855E}" name="Total emissions (kgCO2e)" dataDxfId="463" dataCellStyle="Comma">
      <calculatedColumnFormula>IF(OR(I8="",K8=""),"",SUM(FleetTableFuel[[#This Row],[Direct]:[Indirect WTT]]))</calculatedColumnFormula>
    </tableColumn>
    <tableColumn id="12" xr3:uid="{92FAD6B0-073B-4FB5-894E-E144EEB037E3}" name="Notes" dataDxfId="462"/>
    <tableColumn id="13" xr3:uid="{778A8FF3-80C4-4921-8D8E-904170D7E591}" name="Ease of collection" dataDxfId="461"/>
    <tableColumn id="14" xr3:uid="{DF38F2BC-B498-4429-9243-190FA5A5F59A}" name="Direct" dataDxfId="460" dataCellStyle="Comma">
      <calculatedColumnFormula array="1">IF(OR($C8="",$G8=""),"",(INDEX('Emission factors'!$K$3:$V$201,MATCH(Fleet!$C8&amp;$D8,'Emission factors'!$J$3:$J$201&amp;'Emission factors'!$K$3:$K$201,0),MATCH(FleetTableFuel[[#Headers],[Direct]],'Emission factors'!$K$2:$V$2,0)))*$I8)</calculatedColumnFormula>
    </tableColumn>
    <tableColumn id="15" xr3:uid="{09D0370B-3F28-4B1E-945E-B817E2F9AF1C}" name="Indirect generation" dataDxfId="459" dataCellStyle="Comma">
      <calculatedColumnFormula array="1">IF(OR($C8="",$G8=""),"",(INDEX('Emission factors'!$K$3:$V$201,MATCH(Fleet!$C8&amp;$D8,'Emission factors'!$J$3:$J$201&amp;'Emission factors'!$K$3:$K$201,0),MATCH(FleetTableFuel[[#Headers],[Indirect generation]],'Emission factors'!$K$2:$V$2,0)))*$I8)</calculatedColumnFormula>
    </tableColumn>
    <tableColumn id="16" xr3:uid="{E3D1889C-265E-418E-ABDC-249A47B299FD}" name="Indirect service" dataDxfId="458" dataCellStyle="Comma">
      <calculatedColumnFormula array="1">IF(OR($C8="",$G8=""),"",(INDEX('Emission factors'!$K$3:$V$201,MATCH(Fleet!$C8&amp;$D8,'Emission factors'!$J$3:$J$201&amp;'Emission factors'!$K$3:$K$201,0),MATCH(FleetTableFuel[[#Headers],[Indirect service]],'Emission factors'!$K$2:$V$2,0)))*$I8)</calculatedColumnFormula>
    </tableColumn>
    <tableColumn id="17" xr3:uid="{042C6441-D688-4A9B-8F89-312EDF11853C}" name="Indirect T&amp;D" dataDxfId="457" dataCellStyle="Comma">
      <calculatedColumnFormula array="1">IF(OR($C8="",$G8=""),"",(INDEX('Emission factors'!$K$3:$V$201,MATCH(Fleet!$C8&amp;$D8,'Emission factors'!$J$3:$J$201&amp;'Emission factors'!$K$3:$K$201,0),MATCH(FleetTableFuel[[#Headers],[Indirect T&amp;D]],'Emission factors'!$K$2:$V$2,0)))*$I8)</calculatedColumnFormula>
    </tableColumn>
    <tableColumn id="18" xr3:uid="{39178B20-62E3-4E94-82BD-5E750B53761E}" name="Indirect WTT" dataDxfId="456" dataCellStyle="Comma">
      <calculatedColumnFormula array="1">IF(OR($C8="",$G8=""),"",(INDEX('Emission factors'!$K$3:$V$201,MATCH(Fleet!$C8&amp;$D8,'Emission factors'!$J$3:$J$201&amp;'Emission factors'!$K$3:$K$201,0),MATCH(FleetTableFuel[[#Headers],[Indirect WTT]],'Emission factors'!$K$2:$V$2,0)))*$I8)</calculatedColumnFormula>
    </tableColumn>
    <tableColumn id="19" xr3:uid="{3FF3ADF6-D3D4-47A2-8C4C-A8F73C9039EA}" name="High" dataDxfId="455" dataCellStyle="Comma"/>
    <tableColumn id="20" xr3:uid="{B91600C7-7D8B-463A-870D-B4980490AF0C}" name="Low" dataDxfId="454" dataCellStyle="Comma"/>
    <tableColumn id="21" xr3:uid="{2901F0EF-BA9D-4ACB-B053-7C857EDB7C27}" name="Outside of scopes" dataDxfId="453" dataCellStyle="Comma">
      <calculatedColumnFormula array="1">IF(OR($C8="",$G8=""),"",(INDEX('Emission factors'!$K$3:$V$201,MATCH(Fleet!$C8&amp;$D8,'Emission factors'!$J$3:$J$201&amp;'Emission factors'!$K$3:$K$201,0),MATCH(FleetTableFuel[[#Headers],[Outside of scopes]],'Emission factors'!$K$2:$V$2,0)))*$I8)</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4E01FFA-FF5C-476B-B9B6-BDF6F35A9DF9}" name="FleetTableDistance" displayName="FleetTableDistance" ref="B30:V50" totalsRowShown="0" headerRowDxfId="452" dataDxfId="451" tableBorderDxfId="450" dataCellStyle="Comma">
  <autoFilter ref="B30:V50" xr:uid="{00000000-0009-0000-0100-000011000000}"/>
  <tableColumns count="21">
    <tableColumn id="1" xr3:uid="{D515AD8A-6F86-4A59-B130-9C14CAA8AA6A}" name="Type" dataDxfId="449"/>
    <tableColumn id="2" xr3:uid="{73553FDC-603D-4553-B3BB-AFA6BCB019B2}" name="Fuel" dataDxfId="448"/>
    <tableColumn id="3" xr3:uid="{B5B49968-231F-46BF-80E5-D413844008A2}" name="Size" dataDxfId="447"/>
    <tableColumn id="4" xr3:uid="{D2DE4EF4-638C-4E3E-A485-371C2285529F}" name="Methodology" dataDxfId="446"/>
    <tableColumn id="5" xr3:uid="{32F76377-7B84-41CA-AD8D-7563B37DB7E4}" name="RSD" dataDxfId="445">
      <calculatedColumnFormula>IF(E31="","",INDEX(Lists!$BA$4:$BC$31,MATCH(B31,Lists!$AZ$4:$AZ$31,0),MATCH(E31,Lists!$BA$3:$BC$3,0)))</calculatedColumnFormula>
    </tableColumn>
    <tableColumn id="6" xr3:uid="{4A26A075-22D8-43D9-8A58-013267DA945A}" name="Data" dataDxfId="444" dataCellStyle="Comma"/>
    <tableColumn id="7" xr3:uid="{64CEDA49-54FB-4FA3-9ACE-5F363AFB2735}" name="Units" dataDxfId="443"/>
    <tableColumn id="8" xr3:uid="{0302D7A0-71AD-45EA-914E-6CD371E32D53}" name="Converted data" dataDxfId="442" dataCellStyle="Comma">
      <calculatedColumnFormula array="1">IF(OR($C31="",$B31="",$G31="",$H31=""),"",IF(H31=J31,G31,(INDEX('Emission factors'!$K$3:$V$201,MATCH(B31&amp;D31,'Emission factors'!$J$3:$J$201&amp;'Emission factors'!$K$3:$K$201,0),MATCH(I$7,'Emission factors'!$K$2:$V$2,0)))*G31))</calculatedColumnFormula>
    </tableColumn>
    <tableColumn id="9" xr3:uid="{20C8080C-7798-4D01-9FF1-D0A62A8A1424}" name="Standard units" dataDxfId="441">
      <calculatedColumnFormula>IF(OR($C31="",$B31="",$G31="",$H31=""),"",INDEX('Emission factors'!$K$3:$V$212,MATCH(Fleet!$B31,'Emission factors'!$J$3:$J$212,0),MATCH($J$30,'Emission factors'!$K$2:$V$2,0)))</calculatedColumnFormula>
    </tableColumn>
    <tableColumn id="10" xr3:uid="{2C5D3AB0-A657-4597-A872-AEE8CFF244BE}" name="Total EF (kgCO2e/unit)" dataDxfId="440">
      <calculatedColumnFormula array="1">IF(OR(FleetTableDistance[[#This Row],[Type]]="",C31="",G31=""),"",INDEX('Emission factors'!$K$3:$V$212,MATCH(FleetTableDistance[[#This Row],[Type]]&amp;C31&amp;FleetTableDistance[[#This Row],[Size]],'Emission factors'!$J$3:$J$212&amp;'Emission factors'!$L$3:$L$212&amp;'Emission factors'!$K$3:$K$212,0),MATCH(FleetTableDistance[[#Headers],[Total EF (kgCO2e/unit)]],'Emission factors'!$K$2:$V$2,0)))</calculatedColumnFormula>
    </tableColumn>
    <tableColumn id="11" xr3:uid="{EA1B076E-A7F3-4690-9973-401123C7ED88}" name="Total emissions (kgCO2e)" dataDxfId="439" dataCellStyle="Comma">
      <calculatedColumnFormula>IF(OR(I31="",K31=""),"",SUM(FleetTableDistance[[#This Row],[Direct]:[Indirect WTT]]))</calculatedColumnFormula>
    </tableColumn>
    <tableColumn id="12" xr3:uid="{60D09911-5B9B-4F33-BF6A-86871462F4A0}" name="Notes" dataDxfId="438"/>
    <tableColumn id="13" xr3:uid="{DADF32F7-E033-4896-B3C1-1A0B54A2F0EC}" name="Ease of collection" dataDxfId="437"/>
    <tableColumn id="14" xr3:uid="{4517829E-9FAE-4A13-85F9-F8767E657756}" name="Direct" dataDxfId="436" dataCellStyle="Comma">
      <calculatedColumnFormula array="1">IF(OR($C31="",$G31=""),"",(INDEX('Emission factors'!$K$3:$V$381,MATCH(FleetTableDistance[[#This Row],[Type]]&amp;$C31&amp;$D31,'Emission factors'!$J$3:$J$381&amp;'Emission factors'!$L$3:$L$381&amp;'Emission factors'!$K$3:$K$381,0),MATCH(FleetTableDistance[[#Headers],[Direct]],'Emission factors'!$K$2:$V$2,0)))*$I31)</calculatedColumnFormula>
    </tableColumn>
    <tableColumn id="15" xr3:uid="{8EA42AE3-F47D-4CFD-ABDD-656777C40D5C}" name="Indirect generation" dataDxfId="435" dataCellStyle="Comma">
      <calculatedColumnFormula array="1">IF(OR($C31="",$G31=""),"",(INDEX('Emission factors'!$K$3:$V$212,MATCH(FleetTableDistance[[#This Row],[Type]]&amp;$C31&amp;$D31,'Emission factors'!$J$3:$J$212&amp;'Emission factors'!$L$3:$L$212&amp;'Emission factors'!$K$3:$K$212,0),MATCH(FleetTableDistance[[#Headers],[Indirect generation]],'Emission factors'!$K$2:$V$2,0)))*$I31)</calculatedColumnFormula>
    </tableColumn>
    <tableColumn id="16" xr3:uid="{35D087DD-9379-44C0-BB80-4BC01C88C9FA}" name="Indirect service" dataDxfId="434" dataCellStyle="Comma">
      <calculatedColumnFormula array="1">IF(OR($C31="",$G31=""),"",(INDEX('Emission factors'!$K$3:$V$212,MATCH(FleetTableDistance[[#This Row],[Type]]&amp;$C31&amp;$D31,'Emission factors'!$J$3:$J$212&amp;'Emission factors'!$L$3:$L$212&amp;'Emission factors'!$K$3:$K$212,0),MATCH(FleetTableDistance[[#Headers],[Indirect service]],'Emission factors'!$K$2:$V$2,0)))*$I31)</calculatedColumnFormula>
    </tableColumn>
    <tableColumn id="17" xr3:uid="{91D1E05B-771E-46EE-9AB0-72A2B2861470}" name="Indirect T&amp;D" dataDxfId="433" dataCellStyle="Comma">
      <calculatedColumnFormula array="1">IF(OR($C31="",$G31=""),"",(INDEX('Emission factors'!$K$3:$V$212,MATCH(FleetTableDistance[[#This Row],[Type]]&amp;$C31&amp;$D31,'Emission factors'!$J$3:$J$212&amp;'Emission factors'!$L$3:$L$212&amp;'Emission factors'!$K$3:$K$212,0),MATCH(FleetTableDistance[[#Headers],[Indirect T&amp;D]],'Emission factors'!$K$2:$V$2,0)))*$I31)</calculatedColumnFormula>
    </tableColumn>
    <tableColumn id="18" xr3:uid="{F83185EE-F592-4361-8127-F3569AF93FC7}" name="Indirect WTT" dataDxfId="432" dataCellStyle="Comma">
      <calculatedColumnFormula array="1">IF(OR($C31="",$G31=""),"",(INDEX('Emission factors'!$K$3:$V$212,MATCH(FleetTableDistance[[#This Row],[Type]]&amp;$C31&amp;$D31,'Emission factors'!$J$3:$J$212&amp;'Emission factors'!$L$3:$L$212&amp;'Emission factors'!$K$3:$K$212,0),MATCH(FleetTableDistance[[#Headers],[Indirect WTT]],'Emission factors'!$K$2:$V$2,0)))*$I31)</calculatedColumnFormula>
    </tableColumn>
    <tableColumn id="19" xr3:uid="{A1D9EF59-F6F8-43A6-92DF-ACCE6FA61218}" name="High" dataDxfId="431" dataCellStyle="Comma">
      <calculatedColumnFormula>IF(OR($L31="",FleetTableDistance[[#This Row],[RSD]]=""),"",FleetTableDistance[[#This Row],[Total emissions (kgCO2e)]]*(1+FleetTableDistance[[#This Row],[RSD]]))</calculatedColumnFormula>
    </tableColumn>
    <tableColumn id="20" xr3:uid="{4968837D-FBCA-4F52-9D03-7C19D3E0BC7C}" name="Low" dataDxfId="430" dataCellStyle="Comma">
      <calculatedColumnFormula>IF(OR($L31="",FleetTableDistance[[#This Row],[RSD]]=""),"",FleetTableDistance[[#This Row],[Total emissions (kgCO2e)]]*(1-FleetTableDistance[[#This Row],[RSD]]))</calculatedColumnFormula>
    </tableColumn>
    <tableColumn id="21" xr3:uid="{D3F65FD7-508F-4B3D-A423-9017A48CD88F}" name="Outside of scopes" dataDxfId="429" dataCellStyle="Comma">
      <calculatedColumnFormula array="1">IF(OR($C31="",$G31=""),"",(INDEX('Emission factors'!$K$3:$V$212,MATCH(FleetTableDistance[[#This Row],[Type]]&amp;$C31&amp;$D31,'Emission factors'!$J$3:$J$212&amp;'Emission factors'!$L$3:$L$212&amp;'Emission factors'!$K$3:$K$212,0),MATCH(FleetTableDistance[[#Headers],[Outside of scopes]],'Emission factors'!$K$2:$V$2,0)))*$I31)</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5000000}" name="BusinessTable" displayName="BusinessTable" ref="B7:V34" totalsRowShown="0" headerRowDxfId="428" dataDxfId="426" headerRowBorderDxfId="427" tableBorderDxfId="425" totalsRowBorderDxfId="424" dataCellStyle="Comma">
  <autoFilter ref="B7:V34" xr:uid="{00000000-0009-0000-0100-000004000000}"/>
  <tableColumns count="21">
    <tableColumn id="1" xr3:uid="{00000000-0010-0000-0500-000001000000}" name="Emission source" dataDxfId="423"/>
    <tableColumn id="2" xr3:uid="{00000000-0010-0000-0500-000002000000}" name="Category 1" dataDxfId="422"/>
    <tableColumn id="3" xr3:uid="{00000000-0010-0000-0500-000003000000}" name="Category 2" dataDxfId="421"/>
    <tableColumn id="4" xr3:uid="{00000000-0010-0000-0500-000004000000}" name="Methodology used" dataDxfId="420"/>
    <tableColumn id="5" xr3:uid="{00000000-0010-0000-0500-000005000000}" name="RSD" dataDxfId="419">
      <calculatedColumnFormula>IF(E8="","",INDEX(Lists!$BA$4:$BC$31,MATCH('Business travel, commute, home'!$B8,Lists!$AZ$4:$AZ$31,0),MATCH('Business travel, commute, home'!E8,Lists!$BA$3:$BC$3,0)))</calculatedColumnFormula>
    </tableColumn>
    <tableColumn id="6" xr3:uid="{00000000-0010-0000-0500-000006000000}" name="Data" dataDxfId="418" dataCellStyle="Comma"/>
    <tableColumn id="7" xr3:uid="{00000000-0010-0000-0500-000007000000}" name="Units" dataDxfId="417"/>
    <tableColumn id="8" xr3:uid="{00000000-0010-0000-0500-000008000000}" name="Converted data" dataDxfId="416" dataCellStyle="Comma">
      <calculatedColumnFormula array="1">IF(OR($B8="",$C8="",$D8="",H8=""),"",IF(H8=J8,G8,(INDEX('Emission factors'!$K$3:$V$276,MATCH($B8&amp;$C8&amp;$D8,'Emission factors'!$J$3:$J$276&amp;'Emission factors'!$K$3:$K$276&amp;'Emission factors'!$L$3:$L$276,0),MATCH('Business travel, commute, home'!I$7,'Emission factors'!$K$2:$V$2,0)))*G8))</calculatedColumnFormula>
    </tableColumn>
    <tableColumn id="9" xr3:uid="{00000000-0010-0000-0500-000009000000}" name="Standard units" dataDxfId="415">
      <calculatedColumnFormula array="1">IF(OR($B8="",$C8="",$G8=""),"",INDEX('Emission factors'!$K$3:$V$276,MATCH($B8&amp;$C8&amp;$D8,'Emission factors'!$J$3:$J$276&amp;'Emission factors'!$K$3:$K$276&amp;'Emission factors'!$L$3:$L$276,0),MATCH('Business travel, commute, home'!J$7,'Emission factors'!$K$2:$V$2,0)))</calculatedColumnFormula>
    </tableColumn>
    <tableColumn id="10" xr3:uid="{00000000-0010-0000-0500-00000A000000}" name="Total EF (kgCO2e/unit)" dataDxfId="414">
      <calculatedColumnFormula array="1">IF(OR(B8="",C8="",D8=""),"",INDEX('Emission factors'!$K$3:$V$276,MATCH($B8&amp;$C8&amp;$D8,'Emission factors'!$J$3:$J$276&amp;'Emission factors'!$K$3:$K$276&amp;'Emission factors'!$L$3:$L$276,0),MATCH('Business travel, commute, home'!K$7,'Emission factors'!$K$2:$V$2,0)))</calculatedColumnFormula>
    </tableColumn>
    <tableColumn id="11" xr3:uid="{00000000-0010-0000-0500-00000B000000}" name="Total emissions" dataDxfId="413" dataCellStyle="Comma">
      <calculatedColumnFormula>IF(OR(I8="",K8=""),"",SUM(BusinessTable[[#This Row],[Direct]:[Indirect WTT]]))</calculatedColumnFormula>
    </tableColumn>
    <tableColumn id="12" xr3:uid="{00000000-0010-0000-0500-00000C000000}" name="Notes" dataDxfId="412"/>
    <tableColumn id="13" xr3:uid="{00000000-0010-0000-0500-00000D000000}" name="Ease of collection" dataDxfId="411"/>
    <tableColumn id="14" xr3:uid="{00000000-0010-0000-0500-00000E000000}" name="Direct" dataDxfId="410" dataCellStyle="Comma">
      <calculatedColumnFormula array="1">IF(OR($C8="",$G8=""),"",(INDEX('Emission factors'!$K$3:$V$201,MATCH($B8&amp;$C8&amp;$D8,'Emission factors'!$J$3:$J$201&amp;'Emission factors'!$K$3:$K$201&amp;'Emission factors'!$L$3:$L$201,0),MATCH(O$7,'Emission factors'!$K$2:$V$2,0)))*$I8)</calculatedColumnFormula>
    </tableColumn>
    <tableColumn id="15" xr3:uid="{00000000-0010-0000-0500-00000F000000}" name="Indirect generation" dataDxfId="409" dataCellStyle="Comma">
      <calculatedColumnFormula array="1">IF(OR($C8="",$G8=""),"",(INDEX('Emission factors'!$K$3:$V$201,MATCH($B8&amp;$C8&amp;$D8,'Emission factors'!$J$3:$J$201&amp;'Emission factors'!$K$3:$K$201&amp;'Emission factors'!$L$3:$L$201,0),MATCH(P$7,'Emission factors'!$K$2:$V$2,0)))*$I8)</calculatedColumnFormula>
    </tableColumn>
    <tableColumn id="16" xr3:uid="{00000000-0010-0000-0500-000010000000}" name="Indirect service" dataDxfId="408" dataCellStyle="Comma">
      <calculatedColumnFormula array="1">IF(OR($C8="",$G8=""),"",(INDEX('Emission factors'!$K$3:$V$201,MATCH($B8&amp;$C8&amp;$D8,'Emission factors'!$J$3:$J$201&amp;'Emission factors'!$K$3:$K$201&amp;'Emission factors'!$L$3:$L$201,0),MATCH(Q$7,'Emission factors'!$K$2:$V$2,0)))*$I8)</calculatedColumnFormula>
    </tableColumn>
    <tableColumn id="17" xr3:uid="{00000000-0010-0000-0500-000011000000}" name="Indirect T&amp;D" dataDxfId="407" dataCellStyle="Comma">
      <calculatedColumnFormula array="1">IF(OR($C8="",$G8=""),"",(INDEX('Emission factors'!$K$3:$V$201,MATCH($B8&amp;$C8&amp;$D8,'Emission factors'!$J$3:$J$201&amp;'Emission factors'!$K$3:$K$201&amp;'Emission factors'!$L$3:$L$201,0),MATCH(R$7,'Emission factors'!$K$2:$V$2,0)))*$I8)</calculatedColumnFormula>
    </tableColumn>
    <tableColumn id="18" xr3:uid="{00000000-0010-0000-0500-000012000000}" name="Indirect WTT" dataDxfId="406" dataCellStyle="Comma">
      <calculatedColumnFormula array="1">IF(OR($C8="",$G8=""),"",(INDEX('Emission factors'!$K$3:$V$201,MATCH($B8&amp;$C8&amp;$D8,'Emission factors'!$J$3:$J$201&amp;'Emission factors'!$K$3:$K$201&amp;'Emission factors'!$L$3:$L$201,0),MATCH(S$7,'Emission factors'!$K$2:$V$2,0)))*$I8)</calculatedColumnFormula>
    </tableColumn>
    <tableColumn id="19" xr3:uid="{00000000-0010-0000-0500-000013000000}" name="High" dataDxfId="405" dataCellStyle="Comma">
      <calculatedColumnFormula>IF(OR($L8="",$F8=""),"",$L8*(1+$F8))</calculatedColumnFormula>
    </tableColumn>
    <tableColumn id="20" xr3:uid="{00000000-0010-0000-0500-000014000000}" name="Low" dataDxfId="404" dataCellStyle="Comma">
      <calculatedColumnFormula>IF(OR($L8="",$F8=""),"",$L8*(1-$F8))</calculatedColumnFormula>
    </tableColumn>
    <tableColumn id="21" xr3:uid="{00000000-0010-0000-0500-000015000000}" name="Outside of scopes" dataDxfId="403" dataCellStyle="Comma">
      <calculatedColumnFormula array="1">IF(OR($C8="",$G8=""),"",(INDEX('Emission factors'!$K$3:$V$201,MATCH($B8&amp;$C8&amp;$D8,'Emission factors'!$J$3:$J$201&amp;'Emission factors'!$K$3:$K$201&amp;'Emission factors'!$L$3:$L$201,0),MATCH(V$7,'Emission factors'!$K$2:$V$2,0)))*$I8)</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6000000}" name="CommutingTable" displayName="CommutingTable" ref="B37:V61" totalsRowShown="0" headerRowDxfId="402" dataDxfId="400" headerRowBorderDxfId="401" tableBorderDxfId="399" totalsRowBorderDxfId="398" dataCellStyle="Comma">
  <autoFilter ref="B37:V61" xr:uid="{00000000-0009-0000-0100-000005000000}"/>
  <tableColumns count="21">
    <tableColumn id="1" xr3:uid="{00000000-0010-0000-0600-000001000000}" name="Emission source" dataDxfId="397"/>
    <tableColumn id="2" xr3:uid="{00000000-0010-0000-0600-000002000000}" name="Category 1" dataDxfId="396"/>
    <tableColumn id="3" xr3:uid="{00000000-0010-0000-0600-000003000000}" name="Category 2" dataDxfId="395"/>
    <tableColumn id="4" xr3:uid="{00000000-0010-0000-0600-000004000000}" name="Methodology used" dataDxfId="394"/>
    <tableColumn id="5" xr3:uid="{00000000-0010-0000-0600-000005000000}" name="RSD" dataDxfId="393">
      <calculatedColumnFormula>IF(E38="","",INDEX(Lists!$BA$4:$BC$31,MATCH('Business travel, commute, home'!$B38,Lists!$AZ$4:$AZ$31,0),MATCH('Business travel, commute, home'!E38,Lists!$BA$3:$BC$3,0)))</calculatedColumnFormula>
    </tableColumn>
    <tableColumn id="6" xr3:uid="{00000000-0010-0000-0600-000006000000}" name="Data" dataDxfId="392" dataCellStyle="Comma"/>
    <tableColumn id="7" xr3:uid="{00000000-0010-0000-0600-000007000000}" name="Units" dataDxfId="391"/>
    <tableColumn id="8" xr3:uid="{00000000-0010-0000-0600-000008000000}" name="Converted data" dataDxfId="390" dataCellStyle="Comma">
      <calculatedColumnFormula array="1">IF(OR($B38="",$C38="",$D38="",H38=""),"",IF(H38=J38,G38,(INDEX('Emission factors'!$K$3:$V$276,MATCH($B38&amp;$C38&amp;$D38,'Emission factors'!$J$3:$J$276&amp;'Emission factors'!$K$3:$K$276&amp;'Emission factors'!$L$3:$L$276,0),MATCH('Business travel, commute, home'!I$7,'Emission factors'!$K$2:$V$2,0)))*G38))</calculatedColumnFormula>
    </tableColumn>
    <tableColumn id="9" xr3:uid="{00000000-0010-0000-0600-000009000000}" name="Standard units" dataDxfId="389">
      <calculatedColumnFormula array="1">IF(OR($B38="",$C38="",$G38=""),"",INDEX('Emission factors'!$K$3:$V$276,MATCH($B38&amp;$C38&amp;$D38,'Emission factors'!$J$3:$J$276&amp;'Emission factors'!$K$3:$K$276&amp;'Emission factors'!$L$3:$L$276,0),MATCH('Business travel, commute, home'!J$7,'Emission factors'!$K$2:$V$2,0)))</calculatedColumnFormula>
    </tableColumn>
    <tableColumn id="10" xr3:uid="{00000000-0010-0000-0600-00000A000000}" name="Total EF (kgCO2e/unit)" dataDxfId="388">
      <calculatedColumnFormula array="1">IF(OR(B38="",C38="",D38=""),"",INDEX('Emission factors'!$K$3:$V$276,MATCH($B38&amp;$C38&amp;$D38,'Emission factors'!$J$3:$J$276&amp;'Emission factors'!$K$3:$K$276&amp;'Emission factors'!$L$3:$L$276,0),MATCH('Business travel, commute, home'!K$7,'Emission factors'!$K$2:$V$2,0)))</calculatedColumnFormula>
    </tableColumn>
    <tableColumn id="11" xr3:uid="{00000000-0010-0000-0600-00000B000000}" name="Total emissions" dataDxfId="387" dataCellStyle="Comma">
      <calculatedColumnFormula>IF(OR(I38="",K38=""),"",SUM(CommutingTable[[#This Row],[Direct]:[Indirect WTT]]))</calculatedColumnFormula>
    </tableColumn>
    <tableColumn id="12" xr3:uid="{00000000-0010-0000-0600-00000C000000}" name="Notes" dataDxfId="386"/>
    <tableColumn id="13" xr3:uid="{00000000-0010-0000-0600-00000D000000}" name="Ease of collection" dataDxfId="385"/>
    <tableColumn id="14" xr3:uid="{00000000-0010-0000-0600-00000E000000}" name="Direct" dataDxfId="384" dataCellStyle="Comma">
      <calculatedColumnFormula array="1">IF(OR($C38="",$G38="",CommutingTable[[#This Row],[Converted data]]=""),"",(INDEX('Emission factors'!$K$3:$V$201,MATCH($B38&amp;$C38&amp;$D38,'Emission factors'!$J$3:$J$201&amp;'Emission factors'!$K$3:$K$201&amp;'Emission factors'!$L$3:$L$201,0),MATCH(O$37,'Emission factors'!$K$2:$V$2,0)))*$I38)</calculatedColumnFormula>
    </tableColumn>
    <tableColumn id="15" xr3:uid="{00000000-0010-0000-0600-00000F000000}" name="Indirect generation" dataDxfId="383" dataCellStyle="Comma">
      <calculatedColumnFormula array="1">IF(OR($C38="",$G38="",CommutingTable[[#This Row],[Converted data]]=""),"",(INDEX('Emission factors'!$K$3:$V$201,MATCH($B38&amp;$C38&amp;$D38,'Emission factors'!$J$3:$J$201&amp;'Emission factors'!$K$3:$K$201&amp;'Emission factors'!$L$3:$L$201,0),MATCH(P$37,'Emission factors'!$K$2:$V$2,0)))*$I38)</calculatedColumnFormula>
    </tableColumn>
    <tableColumn id="16" xr3:uid="{00000000-0010-0000-0600-000010000000}" name="Indirect service" dataDxfId="382" dataCellStyle="Comma">
      <calculatedColumnFormula array="1">IF(OR($C38="",$G38="",CommutingTable[[#This Row],[Converted data]]=""),"",(INDEX('Emission factors'!$K$3:$V$201,MATCH($B38&amp;$C38&amp;$D38,'Emission factors'!$J$3:$J$201&amp;'Emission factors'!$K$3:$K$201&amp;'Emission factors'!$L$3:$L$201,0),MATCH(Q$37,'Emission factors'!$K$2:$V$2,0)))*$I38)</calculatedColumnFormula>
    </tableColumn>
    <tableColumn id="17" xr3:uid="{00000000-0010-0000-0600-000011000000}" name="Indirect T&amp;D" dataDxfId="381" dataCellStyle="Comma">
      <calculatedColumnFormula array="1">IF(OR($C38="",$G38="",CommutingTable[[#This Row],[Converted data]]=""),"",(INDEX('Emission factors'!$K$3:$V$201,MATCH($B38&amp;$C38&amp;$D38,'Emission factors'!$J$3:$J$201&amp;'Emission factors'!$K$3:$K$201&amp;'Emission factors'!$L$3:$L$201,0),MATCH(R$37,'Emission factors'!$K$2:$V$2,0)))*$I38)</calculatedColumnFormula>
    </tableColumn>
    <tableColumn id="18" xr3:uid="{00000000-0010-0000-0600-000012000000}" name="Indirect WTT" dataDxfId="380" dataCellStyle="Comma">
      <calculatedColumnFormula array="1">IF(OR($C38="",$G38="",CommutingTable[[#This Row],[Converted data]]=""),"",(INDEX('Emission factors'!$K$3:$V$201,MATCH($B38&amp;$C38&amp;$D38,'Emission factors'!$J$3:$J$201&amp;'Emission factors'!$K$3:$K$201&amp;'Emission factors'!$L$3:$L$201,0),MATCH(S$37,'Emission factors'!$K$2:$V$2,0)))*$I38)</calculatedColumnFormula>
    </tableColumn>
    <tableColumn id="19" xr3:uid="{00000000-0010-0000-0600-000013000000}" name="High" dataDxfId="379" dataCellStyle="Comma">
      <calculatedColumnFormula>IF(OR($L38="",$F38=""),"",$L38*(1+$F38))</calculatedColumnFormula>
    </tableColumn>
    <tableColumn id="20" xr3:uid="{00000000-0010-0000-0600-000014000000}" name="Low" dataDxfId="378" dataCellStyle="Comma">
      <calculatedColumnFormula>IF(OR($L38="",$F38=""),"",$L38*(1-$F38))</calculatedColumnFormula>
    </tableColumn>
    <tableColumn id="21" xr3:uid="{00000000-0010-0000-0600-000015000000}" name="Outside of scopes" dataDxfId="377" dataCellStyle="Comma">
      <calculatedColumnFormula array="1">IF(OR($C38="",$G38="",CommutingTable[[#This Row],[Converted data]]=""),"",(INDEX('Emission factors'!$K$3:$V$201,MATCH($B38&amp;$C38&amp;$D38,'Emission factors'!$J$3:$J$201&amp;'Emission factors'!$K$3:$K$201&amp;'Emission factors'!$L$3:$L$201,0),MATCH(V$37,'Emission factors'!$K$2:$V$2,0)))*$I38)</calculatedColumnFormula>
    </tableColumn>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7000000}" name="HomeworkingTable" displayName="HomeworkingTable" ref="B64:V74" totalsRowShown="0" headerRowDxfId="376" dataDxfId="374" headerRowBorderDxfId="375" tableBorderDxfId="373" totalsRowBorderDxfId="372" dataCellStyle="Comma">
  <autoFilter ref="B64:V74" xr:uid="{00000000-0009-0000-0100-000006000000}"/>
  <tableColumns count="21">
    <tableColumn id="1" xr3:uid="{00000000-0010-0000-0700-000001000000}" name="Emission source" dataDxfId="371"/>
    <tableColumn id="2" xr3:uid="{00000000-0010-0000-0700-000002000000}" name="Number of FTE" dataDxfId="370"/>
    <tableColumn id="3" xr3:uid="{00000000-0010-0000-0700-000003000000}" name="% working hours at home" dataDxfId="369"/>
    <tableColumn id="4" xr3:uid="{00000000-0010-0000-0700-000004000000}" name="Methodology used" dataDxfId="368"/>
    <tableColumn id="5" xr3:uid="{00000000-0010-0000-0700-000005000000}" name="RSD" dataDxfId="367">
      <calculatedColumnFormula>IF(E65="","",INDEX(Lists!$BA$4:$BC$31,MATCH('Business travel, commute, home'!$B65,Lists!$AZ$4:$AZ$31,0),MATCH('Business travel, commute, home'!E65,Lists!$BA$3:$BC$3,0)))</calculatedColumnFormula>
    </tableColumn>
    <tableColumn id="6" xr3:uid="{00000000-0010-0000-0700-000006000000}" name="Data" dataDxfId="366" dataCellStyle="Comma">
      <calculatedColumnFormula>HomeworkingTable[[#This Row],[Number of FTE]]*HomeworkingTable[[#This Row],[% working hours at home]]</calculatedColumnFormula>
    </tableColumn>
    <tableColumn id="7" xr3:uid="{00000000-0010-0000-0700-000007000000}" name="Units" dataDxfId="365">
      <calculatedColumnFormula>IF(OR(HomeworkingTable[[#This Row],[Emission source]]="",HomeworkingTable[[#This Row],[Number of FTE]]="",HomeworkingTable[[#This Row],[% working hours at home]]=""),"","FTE years")</calculatedColumnFormula>
    </tableColumn>
    <tableColumn id="8" xr3:uid="{00000000-0010-0000-0700-000008000000}" name="Converted data" dataDxfId="364" dataCellStyle="Comma">
      <calculatedColumnFormula>IF(OR($B65="",$C65="",$D65="",H65=""),"",IF(H65=J65,G65,(INDEX('Emission factors'!$K$3:$V$276,MATCH($B65&amp;$C65&amp;$D65,'Emission factors'!$J$3:$J$276&amp;'Emission factors'!$K$3:$K$276&amp;'Emission factors'!$L$3:$L$276,0),MATCH('Business travel, commute, home'!I$7,'Emission factors'!$K$2:$V$2,0)))*G65))</calculatedColumnFormula>
    </tableColumn>
    <tableColumn id="9" xr3:uid="{00000000-0010-0000-0700-000009000000}" name="Standard units" dataDxfId="363">
      <calculatedColumnFormula>HomeworkingTable[[#This Row],[Units]]</calculatedColumnFormula>
    </tableColumn>
    <tableColumn id="10" xr3:uid="{00000000-0010-0000-0700-00000A000000}" name="Total EF (kgCO2e/unit)" dataDxfId="362">
      <calculatedColumnFormula>IF(OR(B65="",C65="",D65=""),"",INDEX('Emission factors'!$K$3:$V$276,MATCH($B65,'Emission factors'!$J$3:$J$276,0),MATCH('Business travel, commute, home'!K$7,'Emission factors'!$K$2:$V$2,0)))</calculatedColumnFormula>
    </tableColumn>
    <tableColumn id="11" xr3:uid="{00000000-0010-0000-0700-00000B000000}" name="Total emissions" dataDxfId="361" dataCellStyle="Comma">
      <calculatedColumnFormula>IF(OR(I65="",K65=""),"",SUM(HomeworkingTable[[#This Row],[Direct]:[Indirect WTT]]))</calculatedColumnFormula>
    </tableColumn>
    <tableColumn id="12" xr3:uid="{00000000-0010-0000-0700-00000C000000}" name="Notes" dataDxfId="360"/>
    <tableColumn id="13" xr3:uid="{00000000-0010-0000-0700-00000D000000}" name="Ease of collection" dataDxfId="359"/>
    <tableColumn id="14" xr3:uid="{00000000-0010-0000-0700-00000E000000}" name="Direct" dataDxfId="358" dataCellStyle="Comma">
      <calculatedColumnFormula>IF(OR($C65="",$G65=""),"",(INDEX('Emission factors'!$K$3:$V$201,MATCH($B65,'Emission factors'!$J$3:$J$201,0),MATCH(O$64,'Emission factors'!$K$2:$V$2,0)))*$I65)</calculatedColumnFormula>
    </tableColumn>
    <tableColumn id="15" xr3:uid="{00000000-0010-0000-0700-00000F000000}" name="Indirect generation" dataDxfId="357" dataCellStyle="Comma">
      <calculatedColumnFormula>IF(OR($C65="",$G65=""),"",(INDEX('Emission factors'!$K$3:$V$201,MATCH($B65,'Emission factors'!$J$3:$J$201,0),MATCH(P$64,'Emission factors'!$K$2:$V$2,0)))*$I65)</calculatedColumnFormula>
    </tableColumn>
    <tableColumn id="16" xr3:uid="{00000000-0010-0000-0700-000010000000}" name="Indirect service" dataDxfId="356" dataCellStyle="Comma">
      <calculatedColumnFormula>IF(OR($C65="",$G65=""),"",(INDEX('Emission factors'!$K$3:$V$201,MATCH($B65,'Emission factors'!$J$3:$J$201,0),MATCH(Q$64,'Emission factors'!$K$2:$V$2,0)))*$I65)</calculatedColumnFormula>
    </tableColumn>
    <tableColumn id="17" xr3:uid="{00000000-0010-0000-0700-000011000000}" name="Indirect T&amp;D" dataDxfId="355" dataCellStyle="Comma">
      <calculatedColumnFormula>IF(OR($C65="",$G65=""),"",(INDEX('Emission factors'!$K$3:$V$201,MATCH($B65,'Emission factors'!$J$3:$J$201,0),MATCH(R$64,'Emission factors'!$K$2:$V$2,0)))*$I65)</calculatedColumnFormula>
    </tableColumn>
    <tableColumn id="18" xr3:uid="{00000000-0010-0000-0700-000012000000}" name="Indirect WTT" dataDxfId="354" dataCellStyle="Comma">
      <calculatedColumnFormula>IF(OR($C65="",$G65=""),"",(INDEX('Emission factors'!$K$3:$V$201,MATCH($B65,'Emission factors'!$J$3:$J$201,0),MATCH(S$64,'Emission factors'!$K$2:$V$2,0)))*$I65)</calculatedColumnFormula>
    </tableColumn>
    <tableColumn id="19" xr3:uid="{00000000-0010-0000-0700-000013000000}" name="High" dataDxfId="353" dataCellStyle="Comma">
      <calculatedColumnFormula>IF(OR($L65="",$F65=""),"",$L65*(1+$F65))</calculatedColumnFormula>
    </tableColumn>
    <tableColumn id="20" xr3:uid="{00000000-0010-0000-0700-000014000000}" name="Low" dataDxfId="352" dataCellStyle="Comma">
      <calculatedColumnFormula>IF(OR($L65="",$F65=""),"",$L65*(1-$F65))</calculatedColumnFormula>
    </tableColumn>
    <tableColumn id="21" xr3:uid="{00000000-0010-0000-0700-000015000000}" name="Outside of scopes" dataDxfId="351" dataCellStyle="Comma">
      <calculatedColumnFormula>IF(OR($C65="",$G65=""),"",(INDEX('Emission factors'!$K$3:$V$201,MATCH($B65,'Emission factors'!$J$3:$J$201,0),MATCH(V$64,'Emission factors'!$K$2:$V$2,0)))*$I65)</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58841A63-13F5-49C5-8E74-035F6C803257}" name="Medicalgases" displayName="Medicalgases" ref="B6:V23" totalsRowShown="0" headerRowDxfId="350" dataDxfId="349" tableBorderDxfId="348" dataCellStyle="Comma">
  <autoFilter ref="B6:V23" xr:uid="{7D66E7E2-77B5-4AB2-9674-9E123E95F014}"/>
  <tableColumns count="21">
    <tableColumn id="1" xr3:uid="{C58D6CC0-F3E1-4616-8D13-0C50BC5B1777}" name="Type" dataDxfId="347"/>
    <tableColumn id="2" xr3:uid="{559DF748-999B-4BC1-83E2-C263ACE40CFE}" name="Gas" dataDxfId="346"/>
    <tableColumn id="3" xr3:uid="{83227E46-B714-4853-854F-6E6009476657}" name="Not used" dataDxfId="345"/>
    <tableColumn id="4" xr3:uid="{E3EC2555-49D0-4963-9676-A965F19C1937}" name="Methodology" dataDxfId="344"/>
    <tableColumn id="5" xr3:uid="{4B55D695-5D2D-4A53-884A-44CA63AFCE96}" name="RSD" dataDxfId="343">
      <calculatedColumnFormula>IF(E7="","",INDEX(Lists!$BA$4:$BC$39,MATCH($B7,Lists!$AZ$4:$AZ$39,0),MATCH(E7,Lists!$BA$3:$BC$3,0)))</calculatedColumnFormula>
    </tableColumn>
    <tableColumn id="6" xr3:uid="{F372062A-1A7F-4139-9187-8E85D679B488}" name="Data" dataDxfId="342" dataCellStyle="Comma"/>
    <tableColumn id="7" xr3:uid="{7DC60E8F-E6A1-45B1-BB62-0B5C7F3E461A}" name="Units" dataDxfId="341"/>
    <tableColumn id="8" xr3:uid="{66555E08-544D-4A4D-BDB7-A9DD508D713E}" name="Converted data" dataDxfId="340" dataCellStyle="Comma">
      <calculatedColumnFormula array="1">IF(OR($C7="",$B7="",$G7="",$H7=""),"",IF(H7=J7,G7,(INDEX('Emission factors'!$K$3:$V$381,MATCH(B7&amp;C7,'Emission factors'!$J$3:$J$381&amp;'Emission factors'!$K$3:$K$381,0),MATCH(Medicalgases[[#Headers],[Converted data]],'Emission factors'!$K$2:$V$2,0)))*G7))</calculatedColumnFormula>
    </tableColumn>
    <tableColumn id="9" xr3:uid="{D149EEB0-E88B-4FCD-B8DC-1E426390B3E8}" name="Standard units" dataDxfId="339">
      <calculatedColumnFormula>IF(B7="","",INDEX('Emission factors'!$J$3:$V$381,MATCH(Medicalgases[[#This Row],[Type]],'Emission factors'!$J$3:$J$381,0),MATCH(Medicalgases[[#Headers],[Standard units]],'Emission factors'!$J$2:$V$2,0)))</calculatedColumnFormula>
    </tableColumn>
    <tableColumn id="10" xr3:uid="{CA247153-E90C-41D1-845D-79103ED8A80C}" name="Total EF (kgCO2e/unit)" dataDxfId="338" dataCellStyle="Comma">
      <calculatedColumnFormula array="1">IF(OR(C7="",G7=""),"",INDEX('Emission factors'!$K$3:$V$381,MATCH(Medicalgases[[#This Row],[Type]]&amp;$C7,'Emission factors'!$J$3:$J$381&amp;'Emission factors'!$K$3:$K$381,0),MATCH(Medicalgases[[#Headers],[Total EF (kgCO2e/unit)]],'Emission factors'!$K$2:$V$2,0)))</calculatedColumnFormula>
    </tableColumn>
    <tableColumn id="11" xr3:uid="{2D0418BE-B1BF-40DD-9321-AFABC4F1616F}" name="Total emissions (kgCO2e)" dataDxfId="337" dataCellStyle="Comma">
      <calculatedColumnFormula>IF(OR(I7="",K7=""),"",SUM(Medicalgases[[#This Row],[Direct]:[Indirect WTT]]))</calculatedColumnFormula>
    </tableColumn>
    <tableColumn id="12" xr3:uid="{F5830494-B2F6-4418-A2D4-5A268F84C881}" name="Notes" dataDxfId="336"/>
    <tableColumn id="13" xr3:uid="{E57E3A8D-BFD9-4F13-BC6D-64E3FB446703}" name="Ease of collection" dataDxfId="335"/>
    <tableColumn id="14" xr3:uid="{8B0D53E1-59AA-4AC9-999A-C0849B9B6898}" name="Direct" dataDxfId="334" dataCellStyle="Comma">
      <calculatedColumnFormula array="1">IF(OR($B7="",$G7=""),"",(INDEX('Emission factors'!$K$3:$V$381,MATCH(Medicalgases[[#This Row],[Type]]&amp;$C7,'Emission factors'!$J$3:$J$381&amp;'Emission factors'!$K$3:$K$381,0),MATCH(Medicalgases[[#Headers],[Direct]],'Emission factors'!$K$2:$V$2,0)))*$I7)</calculatedColumnFormula>
    </tableColumn>
    <tableColumn id="15" xr3:uid="{92C57287-1B26-4A00-8A07-1BB904679C41}" name="Indirect generation" dataDxfId="333" dataCellStyle="Comma">
      <calculatedColumnFormula array="1">IF(OR($B7="",$G7=""),"",(INDEX('Emission factors'!$K$3:$V$381,MATCH('Buildings &amp; stationary assets'!$C130&amp;$C7,'Emission factors'!$J$3:$J$381&amp;'Emission factors'!$K$3:$K$381,0),MATCH(Medicalgases[[#Headers],[Indirect generation]],'Emission factors'!$K$2:$V$2,0)))*$I7)</calculatedColumnFormula>
    </tableColumn>
    <tableColumn id="16" xr3:uid="{6FF9ACC7-2A37-47A3-B510-AE2DF6487833}" name="Indirect service" dataDxfId="332" dataCellStyle="Comma">
      <calculatedColumnFormula array="1">IF(OR($B7="",$G7=""),"",(INDEX('Emission factors'!$K$3:$V$381,MATCH('Buildings &amp; stationary assets'!$C130&amp;$C7,'Emission factors'!$J$3:$J$381&amp;'Emission factors'!$K$3:$K$381,0),MATCH(Medicalgases[[#Headers],[Indirect service]],'Emission factors'!$K$2:$V$2,0)))*$I7)</calculatedColumnFormula>
    </tableColumn>
    <tableColumn id="17" xr3:uid="{6FC36EB3-FB0A-4E7A-ADA3-AE79E390D4BC}" name="Indirect T&amp;D" dataDxfId="331" dataCellStyle="Comma">
      <calculatedColumnFormula array="1">IF(OR($B7="",$G7=""),"",(INDEX('Emission factors'!$K$3:$V$381,MATCH('Buildings &amp; stationary assets'!$C130&amp;$C7,'Emission factors'!$J$3:$J$381&amp;'Emission factors'!$K$3:$K$381,0),MATCH(Medicalgases[[#Headers],[Indirect T&amp;D]],'Emission factors'!$K$2:$V$2,0)))*$I7)</calculatedColumnFormula>
    </tableColumn>
    <tableColumn id="18" xr3:uid="{D097A5C7-0733-4603-BB49-BC87935ED600}" name="Indirect WTT" dataDxfId="330" dataCellStyle="Comma">
      <calculatedColumnFormula array="1">IF(OR($B7="",$G7=""),"",(INDEX('Emission factors'!$K$3:$V$381,MATCH('Buildings &amp; stationary assets'!$C130&amp;$C7,'Emission factors'!$J$3:$J$381&amp;'Emission factors'!$K$3:$K$381,0),MATCH(Medicalgases[[#Headers],[Indirect WTT]],'Emission factors'!$K$2:$V$2,0)))*$I7)</calculatedColumnFormula>
    </tableColumn>
    <tableColumn id="19" xr3:uid="{82F06988-0FFB-48A5-B9ED-6CCE076C8D91}" name="High" dataDxfId="329" dataCellStyle="Comma">
      <calculatedColumnFormula>IF(OR($L7="",$F7=""),"",$L7*(1+$F7))</calculatedColumnFormula>
    </tableColumn>
    <tableColumn id="20" xr3:uid="{3DDDE848-5DAF-493F-8F87-9D71456C802B}" name="Low" dataDxfId="328" dataCellStyle="Comma">
      <calculatedColumnFormula>IF(OR($L7="",$F7=""),"",$L7*(1-$F7))</calculatedColumnFormula>
    </tableColumn>
    <tableColumn id="21" xr3:uid="{C4F81905-51B9-40EF-8EFE-F3E7E97612BF}" name="Outside of scopes" dataDxfId="327" dataCellStyle="Comma">
      <calculatedColumnFormula array="1">IF(OR($B7="",$G7=""),"",(INDEX('Emission factors'!$K$3:$V$381,MATCH('Buildings &amp; stationary assets'!$C130&amp;$C7,'Emission factors'!$J$3:$J$381&amp;'Emission factors'!$K$3:$K$381,0),MATCH(Medicalgases[[#Headers],[Outside of scopes]],'Emission factors'!$K$2:$V$2,0)))*$I7)</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D000000}" name="SupplychainTier2" displayName="SupplychainTier2" ref="B123:V250" totalsRowShown="0" dataDxfId="326" tableBorderDxfId="325">
  <autoFilter ref="B123:V250" xr:uid="{00000000-0009-0000-0100-00000A000000}"/>
  <tableColumns count="21">
    <tableColumn id="1" xr3:uid="{00000000-0010-0000-0D00-000001000000}" name="Supply chain group" dataDxfId="324"/>
    <tableColumn id="2" xr3:uid="{00000000-0010-0000-0D00-000002000000}" name="SIC code (SIC 2007)" dataDxfId="323"/>
    <tableColumn id="3" xr3:uid="{00000000-0010-0000-0D00-000003000000}" name="Product category" dataDxfId="322"/>
    <tableColumn id="11" xr3:uid="{3B65719D-4BB7-4D34-AC02-4226E41155E7}" name="Methodology" dataDxfId="321"/>
    <tableColumn id="12" xr3:uid="{91C6AE07-3F0B-4A9C-ABD1-4D4AB3048233}" name="RSD" dataDxfId="320"/>
    <tableColumn id="4" xr3:uid="{00000000-0010-0000-0D00-000004000000}" name="Spend for which Tier 2 method accounts" dataDxfId="319" dataCellStyle="Comma"/>
    <tableColumn id="5" xr3:uid="{00000000-0010-0000-0D00-000005000000}" name="Unit" dataDxfId="318"/>
    <tableColumn id="6" xr3:uid="{00000000-0010-0000-0D00-000006000000}" name="Converted data" dataDxfId="317" dataCellStyle="Comma">
      <calculatedColumnFormula>SupplychainTier2[[#This Row],[Spend for which Tier 2 method accounts]]</calculatedColumnFormula>
    </tableColumn>
    <tableColumn id="13" xr3:uid="{82E8E146-F728-486A-A83C-9573450EF053}" name="Standard units" dataDxfId="316" dataCellStyle="Comma"/>
    <tableColumn id="7" xr3:uid="{00000000-0010-0000-0D00-000007000000}" name="Total EF (kgCO2e/unit)" dataDxfId="315">
      <calculatedColumnFormula>IFERROR(SupplychainTier2[[#This Row],[Calculated emissions (kgCO2e) for this spend]]/SupplychainTier2[[#This Row],[Spend for which Tier 2 method accounts]],"")</calculatedColumnFormula>
    </tableColumn>
    <tableColumn id="14" xr3:uid="{3EA298DF-EF96-4A21-8D7E-8CBBFF5ADDD6}" name="Calculated emissions (kgCO2e) for this spend" dataDxfId="314" dataCellStyle="Percent"/>
    <tableColumn id="8" xr3:uid="{00000000-0010-0000-0D00-000008000000}" name="Notes on data source and methods" dataDxfId="313"/>
    <tableColumn id="15" xr3:uid="{C1E52126-60C4-4E63-9156-3F3D2B427B08}" name="Ease of collection" dataDxfId="312"/>
    <tableColumn id="16" xr3:uid="{C61CEF5C-6A91-475D-9622-8B129BAE8F0F}" name="Direct" dataDxfId="311"/>
    <tableColumn id="17" xr3:uid="{6692F9CC-5BAE-4BBF-A21E-9AA2E83B7F1D}" name="Indirect generation" dataDxfId="310"/>
    <tableColumn id="18" xr3:uid="{85F8F382-23B3-4A71-BCE9-E6452B8D74B5}" name="Indirect service" dataDxfId="309">
      <calculatedColumnFormula>SupplychainTier2[[#This Row],[Calculated emissions (kgCO2e) for this spend]]</calculatedColumnFormula>
    </tableColumn>
    <tableColumn id="19" xr3:uid="{7F71F65E-04A3-4CF9-B1CE-5140F93C368A}" name="Indirect T&amp;D" dataDxfId="308"/>
    <tableColumn id="20" xr3:uid="{A27676EE-48FE-4C7D-86DB-C5070CEFE9B5}" name="Indirect WTT" dataDxfId="307"/>
    <tableColumn id="9" xr3:uid="{E7EA0D9F-E5F0-4390-B8E0-0F47E8269F65}" name="High" dataDxfId="306">
      <calculatedColumnFormula>IF(SupplychainTier2[[#This Row],[Calculated emissions (kgCO2e) for this spend]]="","",(SupplychainTier2[[#This Row],[Calculated emissions (kgCO2e) for this spend]]*(1+SupplychainTier2[[#This Row],[RSD]])))</calculatedColumnFormula>
    </tableColumn>
    <tableColumn id="10" xr3:uid="{65A23ABC-30AE-4DEE-B505-F1ADB2267162}" name="Low" dataDxfId="305">
      <calculatedColumnFormula>IF(SupplychainTier2[[#This Row],[Calculated emissions (kgCO2e) for this spend]]="","",(SupplychainTier2[[#This Row],[Calculated emissions (kgCO2e) for this spend]]*(1-SupplychainTier2[[#This Row],[RSD]])))</calculatedColumnFormula>
    </tableColumn>
    <tableColumn id="21" xr3:uid="{6ABD1227-6C0A-4B99-B4B2-1200F2C74B0E}" name="Outside of scopes" dataDxfId="304"/>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E000000}" name="SupplyChainTier1" displayName="SupplyChainTier1" ref="B7:V117" totalsRowShown="0" headerRowDxfId="303" dataDxfId="302" tableBorderDxfId="301">
  <autoFilter ref="B7:V117" xr:uid="{00000000-0009-0000-0100-00000B000000}"/>
  <tableColumns count="21">
    <tableColumn id="1" xr3:uid="{00000000-0010-0000-0E00-000001000000}" name="Supply chain group" dataDxfId="300"/>
    <tableColumn id="2" xr3:uid="{00000000-0010-0000-0E00-000002000000}" name="SIC code (SIC 2007)" dataDxfId="299"/>
    <tableColumn id="3" xr3:uid="{00000000-0010-0000-0E00-000003000000}" name="Product category" dataDxfId="298"/>
    <tableColumn id="12" xr3:uid="{6CC8B958-8E40-46A2-9973-908006BB95B3}" name="Methodology" dataDxfId="297"/>
    <tableColumn id="13" xr3:uid="{1B2D0CE2-300F-4562-A964-3405F5A0312F}" name="RSD" dataDxfId="296" dataCellStyle="Percent"/>
    <tableColumn id="4" xr3:uid="{00000000-0010-0000-0E00-000004000000}" name="Amount spent by product category (£)" dataDxfId="295"/>
    <tableColumn id="16" xr3:uid="{E1B3C4AC-1A1D-44EA-BA38-EDAAFA4AA4A7}" name="Units" dataDxfId="294" dataCellStyle="Percent"/>
    <tableColumn id="15" xr3:uid="{C769DC4C-C54B-4E87-8945-594E546F1758}" name="Converted Data (£)" dataDxfId="293">
      <calculatedColumnFormula>SupplyChainTier1[[#This Row],[Amount spent by product category (£)]]</calculatedColumnFormula>
    </tableColumn>
    <tableColumn id="14" xr3:uid="{D5EB907C-A5DA-4094-8356-0511C1F326F3}" name="Standard Units" dataDxfId="292"/>
    <tableColumn id="5" xr3:uid="{00000000-0010-0000-0E00-000005000000}" name="Emission factor (kgCO2e per £ spent)" dataDxfId="291"/>
    <tableColumn id="6" xr3:uid="{00000000-0010-0000-0E00-000006000000}" name="Total kg CO2e" dataDxfId="290" dataCellStyle="Comma">
      <calculatedColumnFormula>IF(ISBLANK(G8),"",G8*K8)</calculatedColumnFormula>
    </tableColumn>
    <tableColumn id="8" xr3:uid="{00000000-0010-0000-0E00-000008000000}" name="Notes on data source and exclusions" dataDxfId="289"/>
    <tableColumn id="17" xr3:uid="{A00968CD-AD80-46D4-94F5-41299A8AF3DB}" name="Ease of collection" dataDxfId="288"/>
    <tableColumn id="19" xr3:uid="{17B95218-1FB4-45B3-BBAA-E6E237DDA7D8}" name="Direct" dataDxfId="287"/>
    <tableColumn id="20" xr3:uid="{134C172B-B399-4857-A967-B4B0BE654D9A}" name="Indirect generation" dataDxfId="286"/>
    <tableColumn id="11" xr3:uid="{DC2A7C2E-9D1F-41DF-BA5A-5E65FDF08032}" name="Indirect service" dataDxfId="285">
      <calculatedColumnFormula>((SupplyChainTier1[[#This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calculatedColumnFormula>
    </tableColumn>
    <tableColumn id="22" xr3:uid="{92FE4B4F-B127-41A0-BCA1-5505A07A3ECD}" name="Indirect T&amp;D" dataDxfId="284"/>
    <tableColumn id="21" xr3:uid="{CB0445E3-536F-4EC9-86D7-DD6843471914}" name="Indirect WTT" dataDxfId="283"/>
    <tableColumn id="9" xr3:uid="{39F25AE2-3B62-47C4-A5EA-0905A53AD4F7}" name="High" dataDxfId="282">
      <calculatedColumnFormula>(SupplyChainTier1[[#This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calculatedColumnFormula>
    </tableColumn>
    <tableColumn id="10" xr3:uid="{E85DA3C2-02C9-4DE9-B5AC-59FE2359C47E}" name="Low" dataDxfId="281">
      <calculatedColumnFormula>(SupplyChainTier1[[#This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calculatedColumnFormula>
    </tableColumn>
    <tableColumn id="23" xr3:uid="{595308A6-6B84-4D1D-ACC9-E610C9CCE1BA}" name="Outside of scopes" dataDxfId="280"/>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MunicipalWasteTable" displayName="MunicipalWasteTable" ref="B52:V80" totalsRowShown="0" headerRowDxfId="279" dataDxfId="277" headerRowBorderDxfId="278" tableBorderDxfId="276" totalsRowBorderDxfId="275" dataCellStyle="Comma">
  <autoFilter ref="B52:V80" xr:uid="{00000000-0009-0000-0100-000009000000}"/>
  <tableColumns count="21">
    <tableColumn id="1" xr3:uid="{00000000-0010-0000-0800-000001000000}" name="Waste type" dataDxfId="274"/>
    <tableColumn id="2" xr3:uid="{00000000-0010-0000-0800-000002000000}" name="Disposal" dataDxfId="273"/>
    <tableColumn id="21" xr3:uid="{72237363-A07F-4700-BF7F-4DE1904BB8D4}" name="Blank" dataDxfId="272"/>
    <tableColumn id="3" xr3:uid="{00000000-0010-0000-0800-000003000000}" name="Methodology used" dataDxfId="271"/>
    <tableColumn id="4" xr3:uid="{00000000-0010-0000-0800-000004000000}" name="RSD" dataDxfId="270">
      <calculatedColumnFormula>IF(E53="","",INDEX(Methodologytier,MATCH(B$50,Lists!$AZ$4:$AZ$32,0),MATCH(E53,Lists!$BA$3:$BC$3,0)))</calculatedColumnFormula>
    </tableColumn>
    <tableColumn id="5" xr3:uid="{00000000-0010-0000-0800-000005000000}" name="Data" dataDxfId="269" dataCellStyle="Comma"/>
    <tableColumn id="6" xr3:uid="{00000000-0010-0000-0800-000006000000}" name="Units" dataDxfId="268"/>
    <tableColumn id="7" xr3:uid="{00000000-0010-0000-0800-000007000000}" name="Converted data" dataDxfId="267" dataCellStyle="Comma">
      <calculatedColumnFormula array="1">IF(OR($B53="",$C53="",H53=""),"",IF(H53=J53,G53,(INDEX('Emission factors'!$K$3:$V$381,MATCH($B53&amp;$C53,'Emission factors'!$K$3:$K$381&amp;'Emission factors'!$L$3:$L$381,0),MATCH($I$52,'Emission factors'!$K$2:$V$2,0)))*G53))</calculatedColumnFormula>
    </tableColumn>
    <tableColumn id="8" xr3:uid="{00000000-0010-0000-0800-000008000000}" name="Standard units" dataDxfId="266">
      <calculatedColumnFormula array="1">IF(OR($B53="",$G53="",MunicipalWasteTable[[#This Row],[Units]]=""),"",INDEX('Emission factors'!$K$3:$V$381,MATCH($B53&amp;$C53,'Emission factors'!$K$3:$K$381&amp;'Emission factors'!$L$3:$L$381,0),MATCH($J$52,'Emission factors'!$K$2:$V$2,0)))</calculatedColumnFormula>
    </tableColumn>
    <tableColumn id="9" xr3:uid="{00000000-0010-0000-0800-000009000000}" name="Total EF (kgCO2e/unit)" dataDxfId="265">
      <calculatedColumnFormula array="1">IF(OR(B53="",C53="",MunicipalWasteTable[[#This Row],[Data]]=""),"",INDEX('Emission factors'!$K$3:$V$381,MATCH($J$51&amp;$B53&amp;$C53,'Emission factors'!$J$3:$J$381&amp;'Emission factors'!$K$3:$K$381&amp;'Emission factors'!$L$3:$L$381,0),MATCH($K$52,'Emission factors'!$K$2:$V$2,0)))</calculatedColumnFormula>
    </tableColumn>
    <tableColumn id="10" xr3:uid="{00000000-0010-0000-0800-00000A000000}" name="Total emissions" dataDxfId="264" dataCellStyle="Comma">
      <calculatedColumnFormula>SUM(MunicipalWasteTable[[#This Row],[Direct]:[Indirect WTT]])</calculatedColumnFormula>
    </tableColumn>
    <tableColumn id="11" xr3:uid="{00000000-0010-0000-0800-00000B000000}" name="Notes" dataDxfId="263"/>
    <tableColumn id="12" xr3:uid="{00000000-0010-0000-0800-00000C000000}" name="Ease of collection" dataDxfId="262"/>
    <tableColumn id="13" xr3:uid="{00000000-0010-0000-0800-00000D000000}" name="Direct" dataDxfId="261" dataCellStyle="Comma">
      <calculatedColumnFormula array="1">IF(OR($B53="",$G53="",$I53=""),"",(INDEX('Emission factors'!$K$3:$V$381,MATCH($J$51&amp;$B53&amp;$C53,'Emission factors'!$J$3:$J$381&amp;'Emission factors'!$K$3:$K$381&amp;'Emission factors'!$L$3:$L$381,0),MATCH(O$52,'Emission factors'!$K$2:$V$2,0)))*$I53)</calculatedColumnFormula>
    </tableColumn>
    <tableColumn id="14" xr3:uid="{00000000-0010-0000-0800-00000E000000}" name="Indirect generation" dataDxfId="260" dataCellStyle="Comma">
      <calculatedColumnFormula array="1">IF(OR($B53="",$G53="",$I53=""),"",(INDEX('Emission factors'!$K$3:$V$381,MATCH($J$51&amp;$B53&amp;$C53,'Emission factors'!$J$3:$J$381&amp;'Emission factors'!$K$3:$K$381&amp;'Emission factors'!$L$3:$L$381,0),MATCH(P$52,'Emission factors'!$K$2:$V$2,0)))*$I53)</calculatedColumnFormula>
    </tableColumn>
    <tableColumn id="15" xr3:uid="{00000000-0010-0000-0800-00000F000000}" name="Indirect service" dataDxfId="259" dataCellStyle="Comma">
      <calculatedColumnFormula array="1">IF(OR($B53="",$G53="",$I53=""),"",(INDEX('Emission factors'!$K$3:$V$381,MATCH($J$51&amp;$B53&amp;$C53,'Emission factors'!$J$3:$J$381&amp;'Emission factors'!$K$3:$K$381&amp;'Emission factors'!$L$3:$L$381,0),MATCH(Q$52,'Emission factors'!$K$2:$V$2,0)))*$I53)</calculatedColumnFormula>
    </tableColumn>
    <tableColumn id="16" xr3:uid="{00000000-0010-0000-0800-000010000000}" name="Indirect T&amp;D" dataDxfId="258" dataCellStyle="Comma">
      <calculatedColumnFormula array="1">IF(OR($B53="",$G53="",$I53=""),"",(INDEX('Emission factors'!$K$3:$V$381,MATCH($J$51&amp;$B53&amp;$C53,'Emission factors'!$J$3:$J$381&amp;'Emission factors'!$K$3:$K$381&amp;'Emission factors'!$L$3:$L$381,0),MATCH(R$52,'Emission factors'!$K$2:$V$2,0)))*$I53)</calculatedColumnFormula>
    </tableColumn>
    <tableColumn id="17" xr3:uid="{00000000-0010-0000-0800-000011000000}" name="Indirect WTT" dataDxfId="257" dataCellStyle="Comma">
      <calculatedColumnFormula array="1">IF(OR($B53="",$G53="",$I53=""),"",(INDEX('Emission factors'!$K$3:$V$381,MATCH($J$51&amp;$B53&amp;$C53,'Emission factors'!$J$3:$J$381&amp;'Emission factors'!$K$3:$K$381&amp;'Emission factors'!$L$3:$L$381,0),MATCH(S$52,'Emission factors'!$K$2:$V$2,0)))*$I53)</calculatedColumnFormula>
    </tableColumn>
    <tableColumn id="18" xr3:uid="{00000000-0010-0000-0800-000012000000}" name="High" dataDxfId="256" dataCellStyle="Comma">
      <calculatedColumnFormula>IF(OR(MunicipalWasteTable[[#This Row],[RSD]]="", MunicipalWasteTable[[#This Row],[Total emissions]]=""),"",MunicipalWasteTable[[#This Row],[Total emissions]]*(1+MunicipalWasteTable[[#This Row],[RSD]]))</calculatedColumnFormula>
    </tableColumn>
    <tableColumn id="19" xr3:uid="{00000000-0010-0000-0800-000013000000}" name="Low" dataDxfId="255" dataCellStyle="Comma">
      <calculatedColumnFormula>IF(OR(MunicipalWasteTable[[#This Row],[RSD]]="",MunicipalWasteTable[[#This Row],[Total emissions]]=""),"",MunicipalWasteTable[[#This Row],[Total emissions]]*(1-MunicipalWasteTable[[#This Row],[RSD]]))</calculatedColumnFormula>
    </tableColumn>
    <tableColumn id="20" xr3:uid="{00000000-0010-0000-0800-000014000000}" name="Outside of scopes" dataDxfId="254" dataCellStyle="Comma">
      <calculatedColumnFormula array="1">IF(OR($B53="",$G53="",$I53=""),"",(INDEX('Emission factors'!$K$3:$V$381,MATCH($J$51&amp;$B53&amp;$C53,'Emission factors'!$J$3:$J$381&amp;'Emission factors'!$K$3:$K$381&amp;'Emission factors'!$L$3:$L$381,0),MATCH(V$52,'Emission factors'!$K$2:$V$2,0)))*$I53)</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9000000}" name="OrganisationalWasteTable" displayName="OrganisationalWasteTable" ref="B7:V48" totalsRowShown="0" headerRowDxfId="253" dataDxfId="251" headerRowBorderDxfId="252" tableBorderDxfId="250" totalsRowBorderDxfId="249" dataCellStyle="Comma">
  <autoFilter ref="B7:V48" xr:uid="{00000000-0009-0000-0100-000008000000}"/>
  <tableColumns count="21">
    <tableColumn id="1" xr3:uid="{00000000-0010-0000-0900-000001000000}" name="Waste type" dataDxfId="248"/>
    <tableColumn id="2" xr3:uid="{00000000-0010-0000-0900-000002000000}" name="Disposal" dataDxfId="247"/>
    <tableColumn id="21" xr3:uid="{DAA1A045-77B2-408D-BBC8-AC8AD635CFEB}" name="Blank" dataDxfId="246"/>
    <tableColumn id="3" xr3:uid="{00000000-0010-0000-0900-000003000000}" name="Methodology used" dataDxfId="245"/>
    <tableColumn id="4" xr3:uid="{00000000-0010-0000-0900-000004000000}" name="RSD" dataDxfId="244">
      <calculatedColumnFormula>IF(E8="","",INDEX(Methodologytier,MATCH(B$50,Lists!$AZ$4:$AZ$32,0),MATCH(E8,Lists!$BA$3:$BC$3,0)))</calculatedColumnFormula>
    </tableColumn>
    <tableColumn id="5" xr3:uid="{00000000-0010-0000-0900-000005000000}" name="Data" dataDxfId="243" dataCellStyle="Comma"/>
    <tableColumn id="6" xr3:uid="{00000000-0010-0000-0900-000006000000}" name="Units" dataDxfId="242"/>
    <tableColumn id="7" xr3:uid="{00000000-0010-0000-0900-000007000000}" name="Converted data" dataDxfId="241" dataCellStyle="Comma">
      <calculatedColumnFormula array="1">IF(OR($B8="",$C8="",H8=""),"",IF(H8=J8,G8,(INDEX('Emission factors'!$K$3:$V$381,MATCH($B8&amp;$C8,'Emission factors'!$K$3:$K$381&amp;'Emission factors'!$L$3:$L$381,0),MATCH($I$7,'Emission factors'!$K$2:$V$2,0)))*G8))</calculatedColumnFormula>
    </tableColumn>
    <tableColumn id="8" xr3:uid="{00000000-0010-0000-0900-000008000000}" name="Standard units" dataDxfId="240">
      <calculatedColumnFormula array="1">IF(OR($B8="",$G8="",OrganisationalWasteTable[[#This Row],[Units]]=""),"",INDEX('Emission factors'!$K$3:$V$381,MATCH($B8&amp;$C8,'Emission factors'!$K$3:$K$381&amp;'Emission factors'!$L$3:$L$381,0),MATCH($J$7,'Emission factors'!$K$2:$V$2,0)))</calculatedColumnFormula>
    </tableColumn>
    <tableColumn id="9" xr3:uid="{00000000-0010-0000-0900-000009000000}" name="Total EF (kgCO2e/unit)" dataDxfId="239">
      <calculatedColumnFormula array="1">IF(OR(B8="",C8="",OrganisationalWasteTable[[#This Row],[Data]]=""),"",INDEX('Emission factors'!$K$3:$V$381,MATCH($B8&amp;$C8,'Emission factors'!$K$3:$K$381&amp;'Emission factors'!$L$3:$L$381,0),MATCH($K$7,'Emission factors'!$K$2:$V$2,0)))</calculatedColumnFormula>
    </tableColumn>
    <tableColumn id="10" xr3:uid="{00000000-0010-0000-0900-00000A000000}" name="Total emissions" dataDxfId="238" dataCellStyle="Comma">
      <calculatedColumnFormula>IF(OR(OrganisationalWasteTable[[#This Row],[Waste type]]="",OrganisationalWasteTable[[#This Row],[Converted data]]=""),"",SUM(OrganisationalWasteTable[[#This Row],[Direct]:[Indirect WTT]]))</calculatedColumnFormula>
    </tableColumn>
    <tableColumn id="11" xr3:uid="{00000000-0010-0000-0900-00000B000000}" name="Notes" dataDxfId="237"/>
    <tableColumn id="12" xr3:uid="{00000000-0010-0000-0900-00000C000000}" name="Ease of collection" dataDxfId="236"/>
    <tableColumn id="13" xr3:uid="{00000000-0010-0000-0900-00000D000000}" name="Direct" dataDxfId="235" dataCellStyle="Comma">
      <calculatedColumnFormula array="1">IF(OR($B8="",$G8="",$I8=""),"",(INDEX('Emission factors'!$K$3:$V$381,MATCH($B8&amp;$C8,'Emission factors'!$K$3:$K$381&amp;'Emission factors'!$L$3:$L$381,0),MATCH(O$7,'Emission factors'!$K$2:$V$2,0)))*$I8)</calculatedColumnFormula>
    </tableColumn>
    <tableColumn id="14" xr3:uid="{00000000-0010-0000-0900-00000E000000}" name="Indirect generation" dataDxfId="234" dataCellStyle="Comma">
      <calculatedColumnFormula array="1">IF(OR($B8="",$G8="",$I8=""),"",(INDEX('Emission factors'!$K$3:$V$381,MATCH($B8&amp;$C8,'Emission factors'!$K$3:$K$381&amp;'Emission factors'!$L$3:$L$381,0),MATCH(P$7,'Emission factors'!$K$2:$V$2,0)))*$I8)</calculatedColumnFormula>
    </tableColumn>
    <tableColumn id="15" xr3:uid="{00000000-0010-0000-0900-00000F000000}" name="Indirect service" dataDxfId="233" dataCellStyle="Comma">
      <calculatedColumnFormula array="1">IF(OR($B8="",$G8="",$I8=""),"",(INDEX('Emission factors'!$K$3:$V$381,MATCH($B8&amp;$C8,'Emission factors'!$K$3:$K$381&amp;'Emission factors'!$L$3:$L$381,0),MATCH(Q$7,'Emission factors'!$K$2:$V$2,0)))*$I8)</calculatedColumnFormula>
    </tableColumn>
    <tableColumn id="16" xr3:uid="{00000000-0010-0000-0900-000010000000}" name="Indirect T&amp;D" dataDxfId="232" dataCellStyle="Comma">
      <calculatedColumnFormula array="1">IF(OR($B8="",$G8="",$I8=""),"",(INDEX('Emission factors'!$K$3:$V$381,MATCH($B8&amp;$C8,'Emission factors'!$K$3:$K$381&amp;'Emission factors'!$L$3:$L$381,0),MATCH(R$7,'Emission factors'!$K$2:$V$2,0)))*$I8)</calculatedColumnFormula>
    </tableColumn>
    <tableColumn id="17" xr3:uid="{00000000-0010-0000-0900-000011000000}" name="Indirect WTT" dataDxfId="231" dataCellStyle="Comma">
      <calculatedColumnFormula array="1">IF(OR($B8="",$G8="",$I8=""),"",(INDEX('Emission factors'!$K$3:$V$381,MATCH($B8&amp;$C8,'Emission factors'!$K$3:$K$381&amp;'Emission factors'!$L$3:$L$381,0),MATCH(S$7,'Emission factors'!$K$2:$V$2,0)))*$I8)</calculatedColumnFormula>
    </tableColumn>
    <tableColumn id="18" xr3:uid="{00000000-0010-0000-0900-000012000000}" name="High" dataDxfId="230" dataCellStyle="Comma">
      <calculatedColumnFormula>IF(OR(F8="", L8=""), "", L8*(1+F8))</calculatedColumnFormula>
    </tableColumn>
    <tableColumn id="19" xr3:uid="{00000000-0010-0000-0900-000013000000}" name="Low" dataDxfId="229" dataCellStyle="Comma">
      <calculatedColumnFormula>IF(OR(OrganisationalWasteTable[[#This Row],[RSD]]="", OrganisationalWasteTable[[#This Row],[Total emissions]]=""), "", OrganisationalWasteTable[[#This Row],[Total emissions]]*(1-OrganisationalWasteTable[[#This Row],[RSD]]))</calculatedColumnFormula>
    </tableColumn>
    <tableColumn id="20" xr3:uid="{00000000-0010-0000-0900-000014000000}" name="Outside of scopes" dataDxfId="228" dataCellStyle="Comma">
      <calculatedColumnFormula array="1">IF(OR($B8="",$G8="",$I8=""),"",(INDEX('Emission factors'!$K$3:$V$381,MATCH($B8&amp;$C8,'Emission factors'!$K$3:$K$381&amp;'Emission factors'!$L$3:$L$381,0),MATCH(V$7,'Emission factors'!$K$2:$V$2,0)))*$I8)</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A000000}" name="ProjectWasteTable" displayName="ProjectWasteTable" ref="B83:V105" totalsRowShown="0" headerRowDxfId="227" dataDxfId="225" headerRowBorderDxfId="226" tableBorderDxfId="224" totalsRowBorderDxfId="223" dataCellStyle="Comma">
  <autoFilter ref="B83:V105" xr:uid="{00000000-0009-0000-0100-00000F000000}"/>
  <tableColumns count="21">
    <tableColumn id="1" xr3:uid="{00000000-0010-0000-0A00-000001000000}" name="Waste type" dataDxfId="222"/>
    <tableColumn id="2" xr3:uid="{00000000-0010-0000-0A00-000002000000}" name="Disposal" dataDxfId="221"/>
    <tableColumn id="21" xr3:uid="{B6DC8683-FA33-44EE-B68E-8F092108883A}" name="Blank" dataDxfId="220"/>
    <tableColumn id="3" xr3:uid="{00000000-0010-0000-0A00-000003000000}" name="Methodology used" dataDxfId="219"/>
    <tableColumn id="4" xr3:uid="{00000000-0010-0000-0A00-000004000000}" name="RSD" dataDxfId="218">
      <calculatedColumnFormula>IF(E84="","",INDEX(Methodologytier,MATCH(B$82,Lists!$AZ$4:$AZ$32,0),MATCH(E84,Lists!$BA$3:$BC$3,0)))</calculatedColumnFormula>
    </tableColumn>
    <tableColumn id="5" xr3:uid="{00000000-0010-0000-0A00-000005000000}" name="Data" dataDxfId="217" dataCellStyle="Comma"/>
    <tableColumn id="6" xr3:uid="{00000000-0010-0000-0A00-000006000000}" name="Units" dataDxfId="216"/>
    <tableColumn id="7" xr3:uid="{00000000-0010-0000-0A00-000007000000}" name="Converted data" dataDxfId="215" dataCellStyle="Comma">
      <calculatedColumnFormula array="1">IF(OR($B84="",$C84="",H84=""),"",IF(H84=J84,G84,(INDEX('Emission factors'!$K$3:$V$381,MATCH($B84&amp;$C84,'Emission factors'!$K$3:$K$381&amp;'Emission factors'!$L$3:$L$381,0),MATCH($I$52,'Emission factors'!$K$2:$V$2,0)))*G84))</calculatedColumnFormula>
    </tableColumn>
    <tableColumn id="8" xr3:uid="{00000000-0010-0000-0A00-000008000000}" name="Standard units" dataDxfId="214">
      <calculatedColumnFormula array="1">IF(OR($B84="",$C84="",ProjectWasteTable[[#Headers],[Units]]=""),"",INDEX('Emission factors'!$K$3:$V$381,MATCH($B84&amp;$C84,'Emission factors'!$K$3:$K$381&amp;'Emission factors'!$L$3:$L$381,0),MATCH($J$83,'Emission factors'!$K$2:$V$2,0)))</calculatedColumnFormula>
    </tableColumn>
    <tableColumn id="9" xr3:uid="{00000000-0010-0000-0A00-000009000000}" name="Total EF (kgCO2e/unit)" dataDxfId="213">
      <calculatedColumnFormula array="1">IF(OR(B84="",C84="",ProjectWasteTable[[#This Row],[Data]]=""),"",INDEX('Emission factors'!$K$3:$V$381,MATCH($B84&amp;$C84,'Emission factors'!$K$3:$K$381&amp;'Emission factors'!$L$3:$L$381,0),MATCH($K$52,'Emission factors'!$K$2:$V$2,0)))</calculatedColumnFormula>
    </tableColumn>
    <tableColumn id="10" xr3:uid="{00000000-0010-0000-0A00-00000A000000}" name="Total emissions" dataDxfId="212" dataCellStyle="Comma">
      <calculatedColumnFormula>SUM(ProjectWasteTable[[#This Row],[Direct]:[Indirect WTT]])</calculatedColumnFormula>
    </tableColumn>
    <tableColumn id="11" xr3:uid="{00000000-0010-0000-0A00-00000B000000}" name="Notes" dataDxfId="211"/>
    <tableColumn id="12" xr3:uid="{00000000-0010-0000-0A00-00000C000000}" name="Ease of collection" dataDxfId="210"/>
    <tableColumn id="13" xr3:uid="{00000000-0010-0000-0A00-00000D000000}" name="Direct" dataDxfId="209" dataCellStyle="Comma">
      <calculatedColumnFormula array="1">IF(OR($B84="",$G84="",ProjectWasteTable[Converted data]=""),"",(INDEX('Emission factors'!$K$3:$V$381,MATCH($B84&amp;$C84,'Emission factors'!$K$3:$K$381&amp;'Emission factors'!$L$3:$L$381,0),MATCH(O$52,'Emission factors'!$K$2:$V$2,0)))*$I84)</calculatedColumnFormula>
    </tableColumn>
    <tableColumn id="14" xr3:uid="{00000000-0010-0000-0A00-00000E000000}" name="Indirect generation" dataDxfId="208" dataCellStyle="Comma">
      <calculatedColumnFormula array="1">IF(OR($B84="",$G84="",ProjectWasteTable[[#This Row],[Converted data]]=""),"",(INDEX('Emission factors'!$K$3:$V$381,MATCH($B84&amp;$C84,'Emission factors'!$K$3:$K$381&amp;'Emission factors'!$L$3:$L$381,0),MATCH(P$52,'Emission factors'!$K$2:$V$2,0)))*$I84)</calculatedColumnFormula>
    </tableColumn>
    <tableColumn id="15" xr3:uid="{00000000-0010-0000-0A00-00000F000000}" name="Indirect service" dataDxfId="207" dataCellStyle="Comma">
      <calculatedColumnFormula array="1">IF(OR($B84="",$G84="",ProjectWasteTable[[#This Row],[Converted data]]=""),"",(INDEX('Emission factors'!$K$3:$V$381,MATCH($B84&amp;$C84,'Emission factors'!$K$3:$K$381&amp;'Emission factors'!$L$3:$L$381,0),MATCH(Q$52,'Emission factors'!$K$2:$V$2,0)))*$I84)</calculatedColumnFormula>
    </tableColumn>
    <tableColumn id="16" xr3:uid="{00000000-0010-0000-0A00-000010000000}" name="Indirect T&amp;D" dataDxfId="206" dataCellStyle="Comma">
      <calculatedColumnFormula array="1">IF(OR($B84="",$G84="",ProjectWasteTable[[#This Row],[Converted data]]=""),"",(INDEX('Emission factors'!$K$3:$V$381,MATCH($B84&amp;$C84,'Emission factors'!$K$3:$K$381&amp;'Emission factors'!$L$3:$L$381,0),MATCH(R$52,'Emission factors'!$K$2:$V$2,0)))*$I84)</calculatedColumnFormula>
    </tableColumn>
    <tableColumn id="17" xr3:uid="{00000000-0010-0000-0A00-000011000000}" name="Indirect WTT" dataDxfId="205" dataCellStyle="Comma">
      <calculatedColumnFormula array="1">IF(OR($B84="",$G84="",ProjectWasteTable[[#This Row],[Converted data]]=""),"",(INDEX('Emission factors'!$K$3:$V$381,MATCH($B84&amp;$C84,'Emission factors'!$K$3:$K$381&amp;'Emission factors'!$L$3:$L$381,0),MATCH(S$52,'Emission factors'!$K$2:$V$2,0)))*$I84)</calculatedColumnFormula>
    </tableColumn>
    <tableColumn id="18" xr3:uid="{00000000-0010-0000-0A00-000012000000}" name="High" dataDxfId="204" dataCellStyle="Comma">
      <calculatedColumnFormula>IF(OR(ProjectWasteTable[[#This Row],[RSD]]="",ProjectWasteTable[[#This Row],[Total emissions]]=""),"",ProjectWasteTable[[#This Row],[Total emissions]]*(1+ProjectWasteTable[[#This Row],[RSD]]))</calculatedColumnFormula>
    </tableColumn>
    <tableColumn id="19" xr3:uid="{00000000-0010-0000-0A00-000013000000}" name="Low" dataDxfId="203" dataCellStyle="Comma">
      <calculatedColumnFormula>IF(OR(ProjectWasteTable[[#This Row],[RSD]]="",ProjectWasteTable[[#This Row],[Total emissions]]=""), "",ProjectWasteTable[[#This Row],[Total emissions]]*(1-ProjectWasteTable[[#This Row],[RSD]]))</calculatedColumnFormula>
    </tableColumn>
    <tableColumn id="20" xr3:uid="{00000000-0010-0000-0A00-000014000000}" name="Outside of scopes" dataDxfId="202" dataCellStyle="Comma">
      <calculatedColumnFormula array="1">IF(OR($B84="",$G84="",ProjectWasteTable[[#This Row],[Converted data]]=""),"",(INDEX('Emission factors'!$K$3:$V$381,MATCH($B84&amp;$C84,'Emission factors'!$K$3:$K$381&amp;'Emission factors'!$L$3:$L$381,0),MATCH(V$52,'Emission factors'!$K$2:$V$2,0)))*$I84)</calculatedColumnFormula>
    </tableColumn>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LandTier1Table" displayName="LandTier1Table" ref="B15:V36" totalsRowShown="0" headerRowDxfId="201" tableBorderDxfId="200">
  <autoFilter ref="B15:V36" xr:uid="{00000000-0009-0000-0100-00000E000000}"/>
  <tableColumns count="21">
    <tableColumn id="1" xr3:uid="{00000000-0010-0000-0B00-000001000000}" name="Current land use type" dataDxfId="199"/>
    <tableColumn id="2" xr3:uid="{00000000-0010-0000-0B00-000002000000}" name="Soil type" dataDxfId="198"/>
    <tableColumn id="3" xr3:uid="{00000000-0010-0000-0B00-000003000000}" name="Previous land use type (select the same type as current if &gt;20 years under same use)" dataDxfId="197"/>
    <tableColumn id="11" xr3:uid="{425825CD-76CA-4411-986A-F1C69791B49D}" name="Methodology" dataDxfId="196"/>
    <tableColumn id="12" xr3:uid="{F2AB16EA-4B17-46D9-B85D-C38EE0802206}" name="RSD estimate (+/-%)" dataDxfId="195">
      <calculatedColumnFormula>IF(LandTier1Table[[#This Row],[Total  kg CO2e]]="", " ", 0.25)</calculatedColumnFormula>
    </tableColumn>
    <tableColumn id="4" xr3:uid="{00000000-0010-0000-0B00-000004000000}" name="Land area in hectares (ha)" dataDxfId="194" dataCellStyle="Comma"/>
    <tableColumn id="13" xr3:uid="{5F6B4F28-8288-48D9-9666-478A042E213E}" name="Unit" dataDxfId="193" dataCellStyle="Comma"/>
    <tableColumn id="14" xr3:uid="{EAC2AF74-3075-40CA-88E7-3E8F17EE43F7}" name="Converted data" dataDxfId="192" dataCellStyle="Comma">
      <calculatedColumnFormula>LandTier1Table[[#This Row],[Land area in hectares (ha)]]</calculatedColumnFormula>
    </tableColumn>
    <tableColumn id="15" xr3:uid="{093C0A29-99BE-44C8-BF48-25698F283BB0}" name="Standard units" dataDxfId="191" dataCellStyle="Comma"/>
    <tableColumn id="5" xr3:uid="{00000000-0010-0000-0B00-000005000000}" name="Emission factor (tCO2/ha/year)" dataDxfId="190">
      <calculatedColumnFormula array="1">IF(OR(B16="",C16="",D16="",G16=""),"",INDEX('Land Emission Factors'!$E$9:$J$20,MATCH(B16&amp;C16,'Land Emission Factors'!$C$9:$C$20&amp;'Land Emission Factors'!$D$9:$D$20,0),MATCH('Land use &amp; agriculture'!D16,'Land Emission Factors'!$E$8:$J$8,0)))</calculatedColumnFormula>
    </tableColumn>
    <tableColumn id="6" xr3:uid="{00000000-0010-0000-0B00-000006000000}" name="Total  kg CO2e" dataDxfId="189" dataCellStyle="Comma">
      <calculatedColumnFormula>IF(OR(B16="",C16="",D16="",G16="",K16="No emission factor available"),"",G16*K16*1000)</calculatedColumnFormula>
    </tableColumn>
    <tableColumn id="7" xr3:uid="{00000000-0010-0000-0B00-000007000000}" name="Source of data (e.g. estates team digital maps or estimates)" dataDxfId="188"/>
    <tableColumn id="8" xr3:uid="{00000000-0010-0000-0B00-000008000000}" name="Ease of collection" dataDxfId="187"/>
    <tableColumn id="20" xr3:uid="{9A94638D-DCC3-4107-87B6-0BE9324497D6}" name="Direct" dataDxfId="186"/>
    <tableColumn id="19" xr3:uid="{9E1493B3-81EE-4178-A6FA-404AEC4A6A35}" name="Indirect generation" dataDxfId="185"/>
    <tableColumn id="18" xr3:uid="{47C9C687-4807-462B-BED3-2158BA9F3762}" name="Indirect service" dataDxfId="184"/>
    <tableColumn id="17" xr3:uid="{6E32610D-A997-44D1-9D17-6918ADE05650}" name="Indirect T&amp;D" dataDxfId="183"/>
    <tableColumn id="16" xr3:uid="{8F5A49EE-205B-4559-8D10-E64B4EAFAEB0}" name="Indirect WTT" dataDxfId="182"/>
    <tableColumn id="9" xr3:uid="{512D0B73-C529-4F5D-9809-BAF2F9C5FC62}" name="High" dataDxfId="181" dataCellStyle="Percent">
      <calculatedColumnFormula>IF(LandTier1Table[[#This Row],[Total  kg CO2e]]="", "",(LandTier1Table[[#This Row],[Total  kg CO2e]]*(1+LandTier1Table[[#This Row],[RSD estimate (+/-%)]])))</calculatedColumnFormula>
    </tableColumn>
    <tableColumn id="10" xr3:uid="{B1AF86DE-3C88-4476-96FA-029C7E257CED}" name="Low" dataDxfId="180">
      <calculatedColumnFormula>IF(LandTier1Table[[#This Row],[Total  kg CO2e]]="", "",(LandTier1Table[[#This Row],[Total  kg CO2e]]*(1-LandTier1Table[[#This Row],[RSD estimate (+/-%)]])))</calculatedColumnFormula>
    </tableColumn>
    <tableColumn id="21" xr3:uid="{332D6817-0C5E-4C64-8721-D290CF1E2168}" name="Outside of scopes" dataDxfId="179">
      <calculatedColumnFormula>LandTier1Table[[#This Row],[Total  kg CO2e]]</calculatedColumnFormula>
    </tableColumn>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C000000}" name="LandTier2Table" displayName="LandTier2Table" ref="B40:V63" totalsRowShown="0" headerRowDxfId="178" dataDxfId="177" tableBorderDxfId="176">
  <autoFilter ref="B40:V63" xr:uid="{00000000-0009-0000-0100-000010000000}"/>
  <tableColumns count="21">
    <tableColumn id="1" xr3:uid="{00000000-0010-0000-0C00-000001000000}" name="Land use type" dataDxfId="175"/>
    <tableColumn id="2" xr3:uid="{00000000-0010-0000-0C00-000002000000}" name="Soil type" dataDxfId="174"/>
    <tableColumn id="3" xr3:uid="{00000000-0010-0000-0C00-000003000000}" name="Not used" dataDxfId="173"/>
    <tableColumn id="9" xr3:uid="{2A0CC188-6743-4D2F-B70A-83A070E93F1F}" name="Methodology used (IPCC equivalent Tier)" dataDxfId="172"/>
    <tableColumn id="10" xr3:uid="{64F0716A-A60F-4AEE-98CE-695129F56584}" name="RSD estimate (+/-%)" dataDxfId="171">
      <calculatedColumnFormula array="1">IFERROR(_xlfn.SWITCH(LandTier2Table[[#This Row],[Methodology used (IPCC equivalent Tier)]],"Tier 3",0.1,"Tier 2",0.15,"Tier 1",0.2,"",""),"")</calculatedColumnFormula>
    </tableColumn>
    <tableColumn id="4" xr3:uid="{00000000-0010-0000-0C00-000004000000}" name="Land area in hectares (ha)" dataDxfId="170" dataCellStyle="Comma"/>
    <tableColumn id="5" xr3:uid="{00000000-0010-0000-0C00-000005000000}" name="Unit" dataDxfId="169"/>
    <tableColumn id="12" xr3:uid="{E8544369-9067-43FB-8FE3-1E002531E7EB}" name="Converted data" dataDxfId="168">
      <calculatedColumnFormula>LandTier2Table[[#This Row],[Land area in hectares (ha)]]</calculatedColumnFormula>
    </tableColumn>
    <tableColumn id="13" xr3:uid="{081A4A8A-EBFB-4C99-AC13-33AF99C5CD76}" name="Standard units" dataDxfId="167"/>
    <tableColumn id="11" xr3:uid="{A3D6A7CD-143F-4AA0-A84D-983B7C179602}" name="Emission factor (tCO2/ha/year)" dataDxfId="166">
      <calculatedColumnFormula>IFERROR(LandTier2Table[[#This Row],[Emission kg CO2e]]/LandTier2Table[[#This Row],[Land area in hectares (ha)]],"")</calculatedColumnFormula>
    </tableColumn>
    <tableColumn id="6" xr3:uid="{00000000-0010-0000-0C00-000006000000}" name="Emission kg CO2e" dataDxfId="165" dataCellStyle="Comma"/>
    <tableColumn id="7" xr3:uid="{00000000-0010-0000-0C00-000007000000}" name="Notes on data sources " dataDxfId="164"/>
    <tableColumn id="14" xr3:uid="{31B9503D-0314-465A-ACC8-BB82D2F012CD}" name="Ease of collection" dataDxfId="163"/>
    <tableColumn id="8" xr3:uid="{00000000-0010-0000-0C00-000008000000}" name="Direct" dataDxfId="162"/>
    <tableColumn id="15" xr3:uid="{7A0010FA-6AB1-4B69-8F9D-6EDB922C1A8F}" name="Indirect generation" dataDxfId="161"/>
    <tableColumn id="16" xr3:uid="{D4039E4A-45F0-4FC5-904C-886CF4F9A67A}" name="Indirect service" dataDxfId="160"/>
    <tableColumn id="17" xr3:uid="{C8A01AFF-2A29-43F1-A840-C73679EA7B18}" name="Indirect T&amp;D" dataDxfId="159"/>
    <tableColumn id="18" xr3:uid="{93238AC9-2B19-4E2C-A848-E209927CECD7}" name="Indirect WTT" dataDxfId="158"/>
    <tableColumn id="19" xr3:uid="{7A7CCD5C-1F8B-4541-AF6D-D6F420B0BE23}" name="High" dataDxfId="157">
      <calculatedColumnFormula>IF(LandTier2Table[[#This Row],[Emission kg CO2e]]="", "",(LandTier2Table[[#This Row],[Emission kg CO2e]]*(1+LandTier2Table[[#This Row],[RSD estimate (+/-%)]])))</calculatedColumnFormula>
    </tableColumn>
    <tableColumn id="20" xr3:uid="{593DFA34-0345-4311-944A-84C1B8731E16}" name="Low" dataDxfId="156">
      <calculatedColumnFormula>IF(LandTier2Table[[#This Row],[Emission kg CO2e]]="", "",(LandTier2Table[[#This Row],[Emission kg CO2e]]*(1-LandTier2Table[[#This Row],[RSD estimate (+/-%)]])))</calculatedColumnFormula>
    </tableColumn>
    <tableColumn id="21" xr3:uid="{6AFDEC61-EB59-4877-8016-0725874EFE7E}" name="Outside of scopes" dataDxfId="155">
      <calculatedColumnFormula>LandTier2Table[[#This Row],[Emission kg CO2e]]</calculatedColumnFormula>
    </tableColumn>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95459E53-1555-454A-B074-61F7E972BD4B}" name="AgricultureTable" displayName="AgricultureTable" ref="B66:V82" totalsRowShown="0" headerRowDxfId="154" dataDxfId="153" tableBorderDxfId="152" dataCellStyle="Comma">
  <autoFilter ref="B66:V82" xr:uid="{95459E53-1555-454A-B074-61F7E972BD4B}"/>
  <tableColumns count="21">
    <tableColumn id="1" xr3:uid="{E009B087-FF94-4CC4-A68A-4800FEE4C194}" name="Agriculture emission source" dataDxfId="151"/>
    <tableColumn id="2" xr3:uid="{EDD61EEB-7EB0-4543-B8D0-191B8428CFE1}" name="Category  1" dataDxfId="150"/>
    <tableColumn id="3" xr3:uid="{F5161481-601A-489C-8AD7-A5FE861C52AA}" name="Not used" dataDxfId="149"/>
    <tableColumn id="4" xr3:uid="{A6064294-40DB-4C5E-B8C5-AB0694F8A9EC}" name="Methodology" dataDxfId="148"/>
    <tableColumn id="5" xr3:uid="{FE344A72-AF78-42D8-9E9A-BAD55FA046E4}" name="RSD" dataDxfId="147">
      <calculatedColumnFormula>IF(E67="","",INDEX(Lists!$BA$4:$BC$31,MATCH(B67,Lists!$AZ$4:$AZ$31,0),MATCH(E67,Lists!$BA$3:$BC$3,0)))</calculatedColumnFormula>
    </tableColumn>
    <tableColumn id="6" xr3:uid="{C6BD0D27-BFF9-44DE-8BA5-D02F58B45A20}" name="Data" dataDxfId="146" dataCellStyle="Comma"/>
    <tableColumn id="7" xr3:uid="{3E77A178-512D-4250-AF78-A4262D1F190D}" name="Units" dataDxfId="145"/>
    <tableColumn id="8" xr3:uid="{20B8240D-7B59-4B27-8F36-5984AB44EE14}" name="Converted data" dataDxfId="144" dataCellStyle="Comma">
      <calculatedColumnFormula array="1">IF(OR($C67="",$B67="",$G67="",$H67=""),"",IF(H67=J67,G67,(INDEX('Emission factors'!$K$3:$V$201,MATCH(B67&amp;C67,'Emission factors'!$J$3:$J$201&amp;'Emission factors'!$K$3:$K$201,0),MATCH(AgricultureTable[[#Headers],[Converted data]],'Emission factors'!$K$2:$V$2,0)))*G67))</calculatedColumnFormula>
    </tableColumn>
    <tableColumn id="9" xr3:uid="{2FF47EEE-4F3E-4357-993A-3C305C63CD9E}" name="Standard units" dataDxfId="143">
      <calculatedColumnFormula>IF(B67="","",INDEX('Emission factors'!$J$3:$V$201,MATCH('Land use &amp; agriculture'!$B67,'Emission factors'!$J$3:$J$201,0),MATCH($J$66,'Emission factors'!$J$2:$V$2,0)))</calculatedColumnFormula>
    </tableColumn>
    <tableColumn id="10" xr3:uid="{8A58F492-3A74-4E01-8701-A6D64B597DC7}" name="Total EF (kgCO2e/unit)" dataDxfId="142" dataCellStyle="Comma">
      <calculatedColumnFormula array="1">IF(OR(C67="",G67=""),"",INDEX('Emission factors'!$K$3:$V$201,MATCH('Land use &amp; agriculture'!$B67&amp;$C67,'Emission factors'!$J$3:$J$201&amp;'Emission factors'!$K$3:$K$201,0),MATCH(AgricultureTable[[#Headers],[Total EF (kgCO2e/unit)]],'Emission factors'!$K$2:$V$2,0)))</calculatedColumnFormula>
    </tableColumn>
    <tableColumn id="11" xr3:uid="{821C8A18-FF28-4BB7-BD84-110F6C0F07FF}" name="Total emissions (kgCO2e)" dataDxfId="141" dataCellStyle="Comma">
      <calculatedColumnFormula>IF(OR(I67="",K67=""),"",SUM(AgricultureTable[[#This Row],[Direct]:[Indirect WTT]]))</calculatedColumnFormula>
    </tableColumn>
    <tableColumn id="12" xr3:uid="{62EF7453-625E-4B65-9853-DA81330B7183}" name="Notes" dataDxfId="140"/>
    <tableColumn id="13" xr3:uid="{0F0520B1-6B7B-40A4-B635-6B29F7828CD6}" name="Ease of collection" dataDxfId="139"/>
    <tableColumn id="14" xr3:uid="{CDD2DE00-33A8-4FED-B696-2CECEE41DA3B}" name="Direct" dataDxfId="138" dataCellStyle="Comma">
      <calculatedColumnFormula>IF(OR($B67="",$G67=""),"",AgricultureTable[[#This Row],[Total EF (kgCO2e/unit)]]*$I67)</calculatedColumnFormula>
    </tableColumn>
    <tableColumn id="15" xr3:uid="{8D3A8C99-08D3-41C4-9C1E-C814C2ACC8DC}" name="Indirect generation" dataDxfId="137" dataCellStyle="Comma">
      <calculatedColumnFormula array="1">IF(OR($B67="",$G67=""),"",(INDEX('Emission factors'!$K$3:$V$201,MATCH('Land use &amp; agriculture'!$B67&amp;$C67,'Emission factors'!$J$3:$J$201&amp;'Emission factors'!$K$3:$K$201,0),MATCH(AgricultureTable[[#Headers],[Indirect generation]],'Emission factors'!$K$2:$V$2,0)))*$I67)</calculatedColumnFormula>
    </tableColumn>
    <tableColumn id="16" xr3:uid="{3B4F536F-5A71-461E-88B0-B38C3EF1A393}" name="Indirect service" dataDxfId="136" dataCellStyle="Comma">
      <calculatedColumnFormula array="1">IF(OR($B67="",$G67=""),"",(INDEX('Emission factors'!$K$3:$V$201,MATCH('Land use &amp; agriculture'!$B67&amp;$C67,'Emission factors'!$J$3:$J$201&amp;'Emission factors'!$K$3:$K$201,0),MATCH(AgricultureTable[[#Headers],[Indirect service]],'Emission factors'!$K$2:$V$2,0)))*$I67)</calculatedColumnFormula>
    </tableColumn>
    <tableColumn id="17" xr3:uid="{EA3C410A-2E73-49DB-B1C2-02016CA01B5F}" name="Indirect T&amp;D" dataDxfId="135" dataCellStyle="Comma">
      <calculatedColumnFormula array="1">IF(OR($B67="",$G67=""),"",(INDEX('Emission factors'!$K$3:$V$201,MATCH('Land use &amp; agriculture'!$B67&amp;$C67,'Emission factors'!$J$3:$J$201&amp;'Emission factors'!$K$3:$K$201,0),MATCH(AgricultureTable[[#Headers],[Indirect T&amp;D]],'Emission factors'!$K$2:$V$2,0)))*$I67)</calculatedColumnFormula>
    </tableColumn>
    <tableColumn id="18" xr3:uid="{42E7FB0E-5110-45F6-8113-8167EF68995B}" name="Indirect WTT" dataDxfId="134" dataCellStyle="Comma">
      <calculatedColumnFormula array="1">IF(OR($B67="",$G67=""),"",(INDEX('Emission factors'!$K$3:$V$201,MATCH('Land use &amp; agriculture'!$B67&amp;$C67,'Emission factors'!$J$3:$J$201&amp;'Emission factors'!$K$3:$K$201,0),MATCH(AgricultureTable[[#Headers],[Indirect WTT]],'Emission factors'!$K$2:$V$2,0)))*$I67)</calculatedColumnFormula>
    </tableColumn>
    <tableColumn id="19" xr3:uid="{5C975ABA-E138-4250-A6C0-95599DC80AF3}" name="High" dataDxfId="133" dataCellStyle="Comma">
      <calculatedColumnFormula>IF(OR($L67="",$F67=""),"",$L67*(1+$F67))</calculatedColumnFormula>
    </tableColumn>
    <tableColumn id="20" xr3:uid="{45A22334-33B2-47A4-A8A2-5A861B8B27C0}" name="Low" dataDxfId="132" dataCellStyle="Comma">
      <calculatedColumnFormula>IF(OR($L67="",$F67=""),"",$L67*(1-$F67))</calculatedColumnFormula>
    </tableColumn>
    <tableColumn id="21" xr3:uid="{E54ABB4D-08BB-4F23-BFE7-29FBEC93295B}" name="Outside of scopes" dataDxfId="131" dataCellStyle="Comma">
      <calculatedColumnFormula array="1">IF(OR($B67="",$G67=""),"",(INDEX('Emission factors'!$K$3:$V$201,MATCH('Land use &amp; agriculture'!$B67&amp;$C67,'Emission factors'!$J$3:$J$201&amp;'Emission factors'!$K$3:$K$201,0),MATCH($V$66,'Emission factors'!$K$2:$V$2,0)))*$I67)</calculatedColumnFormula>
    </tableColumn>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F000000}" name="OnsiteRenewablesTable" displayName="OnsiteRenewablesTable" ref="B7:Q31" totalsRowShown="0" headerRowDxfId="130" dataDxfId="128" headerRowBorderDxfId="129" tableBorderDxfId="127" totalsRowBorderDxfId="126" dataCellStyle="Comma">
  <autoFilter ref="B7:Q31" xr:uid="{00000000-0009-0000-0100-00000C000000}"/>
  <tableColumns count="16">
    <tableColumn id="14" xr3:uid="{3C17BAE0-FB93-4192-AF72-04B9CD0FCAEC}" name="Generating site name" dataDxfId="125" dataCellStyle="Comma"/>
    <tableColumn id="15" xr3:uid="{2B82AFB9-5017-4BFF-B8C0-CBEC9A6BFBBA}" name="Location" dataDxfId="124"/>
    <tableColumn id="1" xr3:uid="{00000000-0010-0000-0F00-000001000000}" name="Renewable Type" dataDxfId="123"/>
    <tableColumn id="2" xr3:uid="{00000000-0010-0000-0F00-000002000000}" name="Technology" dataDxfId="122"/>
    <tableColumn id="3" xr3:uid="{00000000-0010-0000-0F00-000003000000}" name="Methodology used" dataDxfId="121"/>
    <tableColumn id="10" xr3:uid="{2C3DD388-D73E-4BF0-B601-EE2AD575A0EC}" name="Type of ownership" dataDxfId="120"/>
    <tableColumn id="16" xr3:uid="{B50FBE4A-C047-4588-AC56-2030EDC88DC8}" name="Age (years)" dataDxfId="119"/>
    <tableColumn id="4" xr3:uid="{00000000-0010-0000-0F00-000004000000}" name="RSD" dataDxfId="118">
      <calculatedColumnFormula>IF(F8="","",INDEX(Lists!$BA$4:$BC$37,MATCH(OnsiteRenewablesTable[[#This Row],[Renewable Type]],Lists!$AZ$4:$AZ$37,0),MATCH(OnsiteRenewablesTable[[#This Row],[Methodology used]],Lists!$BA$3:$BC$3,0)))</calculatedColumnFormula>
    </tableColumn>
    <tableColumn id="12" xr3:uid="{EFCAD6AB-B3A7-4660-A3E1-0F0D52A6D23A}" name="Total MWe capacity (at inverter)" dataDxfId="117" dataCellStyle="Comma"/>
    <tableColumn id="5" xr3:uid="{00000000-0010-0000-0F00-000005000000}" name="Total kWh generated" dataDxfId="116" dataCellStyle="Comma"/>
    <tableColumn id="6" xr3:uid="{00000000-0010-0000-0F00-000006000000}" name="kWh consumed by reporting organisation" dataDxfId="115" dataCellStyle="Comma"/>
    <tableColumn id="11" xr3:uid="{CF2CDA7D-1CD5-4D10-9DE3-722D7E285EED}" name="kWh exported to grid" dataDxfId="114" dataCellStyle="Comma"/>
    <tableColumn id="7" xr3:uid="{00000000-0010-0000-0F00-000007000000}" name="kWh exported to other PSB" dataDxfId="113" dataCellStyle="Comma"/>
    <tableColumn id="13" xr3:uid="{2275ED76-3F23-4F9C-A4DE-8471E6B8F491}" name="Name of other Public Sector Body" dataDxfId="112" dataCellStyle="Comma"/>
    <tableColumn id="8" xr3:uid="{00000000-0010-0000-0F00-000008000000}" name="Notes" dataDxfId="111"/>
    <tableColumn id="9" xr3:uid="{00000000-0010-0000-0F00-000009000000}" name="Ease of collection" dataDxfId="110"/>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0000000}" name="PurchasedRenewablesTable" displayName="PurchasedRenewablesTable" ref="B34:J48" totalsRowShown="0" headerRowDxfId="109" dataDxfId="107" headerRowBorderDxfId="108" tableBorderDxfId="106" totalsRowBorderDxfId="105" dataCellStyle="Comma">
  <autoFilter ref="B34:J48" xr:uid="{00000000-0009-0000-0100-00000D000000}"/>
  <tableColumns count="9">
    <tableColumn id="1" xr3:uid="{00000000-0010-0000-1000-000001000000}" name="Renewable Type" dataDxfId="104"/>
    <tableColumn id="2" xr3:uid="{00000000-0010-0000-1000-000002000000}" name="Agreement" dataDxfId="103"/>
    <tableColumn id="3" xr3:uid="{00000000-0010-0000-1000-000003000000}" name="Methodology used" dataDxfId="102"/>
    <tableColumn id="4" xr3:uid="{00000000-0010-0000-1000-000004000000}" name="RSD" dataDxfId="101">
      <calculatedColumnFormula>IF(D35="","",INDEX(Lists!$BA$4:$BC$37,MATCH(PurchasedRenewablesTable[[#This Row],[Renewable Type]],Lists!$AZ$4:$AZ$37,0),MATCH(PurchasedRenewablesTable[[#This Row],[Methodology used]],Lists!$BA$3:$BC$3,0)))</calculatedColumnFormula>
    </tableColumn>
    <tableColumn id="5" xr3:uid="{00000000-0010-0000-1000-000005000000}" name="Total kWh purchased" dataDxfId="100" dataCellStyle="Comma"/>
    <tableColumn id="6" xr3:uid="{00000000-0010-0000-1000-000006000000}" name="Not used" dataDxfId="99" dataCellStyle="Comma"/>
    <tableColumn id="7" xr3:uid="{00000000-0010-0000-1000-000007000000}" name="Not used2" dataDxfId="98" dataCellStyle="Comma">
      <calculatedColumnFormula>IF(OR(PurchasedRenewablesTable[[#This Row],[Total kWh purchased]]="",PurchasedRenewablesTable[[#This Row],[Not used]]=""),"",PurchasedRenewablesTable[[#This Row],[Total kWh purchased]]*PurchasedRenewablesTable[[#This Row],[Not used]])</calculatedColumnFormula>
    </tableColumn>
    <tableColumn id="8" xr3:uid="{00000000-0010-0000-1000-000008000000}" name="Notes" dataDxfId="97"/>
    <tableColumn id="9" xr3:uid="{00000000-0010-0000-1000-000009000000}" name="Ease of collection" dataDxfId="96"/>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126DF57-2319-40D5-A8E1-372B5FCD0EBB}" name="TableErrors" displayName="TableErrors" ref="B3:E31" totalsRowShown="0" headerRowDxfId="95" headerRowBorderDxfId="94" tableBorderDxfId="93">
  <autoFilter ref="B3:E31" xr:uid="{4126DF57-2319-40D5-A8E1-372B5FCD0EBB}"/>
  <tableColumns count="4">
    <tableColumn id="1" xr3:uid="{109FE07E-3B34-4FB7-A8A3-54300BCD8945}" name="Organisation Name" dataDxfId="92">
      <calculatedColumnFormula>Introduction!$D$8</calculatedColumnFormula>
    </tableColumn>
    <tableColumn id="2" xr3:uid="{C6F95D2A-AEA4-4011-B2DB-70C85372E91F}" name="Table" dataDxfId="91"/>
    <tableColumn id="3" xr3:uid="{9F392F9D-5EF4-4F5F-8DF8-91924A7AE17E}" name="Note" dataDxfId="90"/>
    <tableColumn id="4" xr3:uid="{352A94FB-C9B2-4B23-813C-1A8CD9EC52F3}" name="Error?" dataDxfId="89"/>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D859C88-95AF-4565-AC49-754D612016AF}" name="TableTotals" displayName="TableTotals" ref="B2:AC642" totalsRowShown="0" headerRowDxfId="88" tableBorderDxfId="87">
  <autoFilter ref="B2:AC642" xr:uid="{DD859C88-95AF-4565-AC49-754D612016AF}"/>
  <tableColumns count="28">
    <tableColumn id="1" xr3:uid="{B35DABE7-5E9C-4A35-BEF8-EC7ED9814577}" name="ID" dataDxfId="86">
      <calculatedColumnFormula>"2024"&amp;MATCH(Totals!D3,OrgType,0)&amp;"_"&amp;MATCH(Totals!E3,Organisations,0)&amp;"_"&amp;LEFT(Totals!F3,1)&amp;"_"&amp;LEFT(G3,1)&amp;"_"&amp;COUNTIF($G$3:G3,G3)</calculatedColumnFormula>
    </tableColumn>
    <tableColumn id="2" xr3:uid="{EAFA7CD4-1756-4628-9D5C-175CB6C904A8}" name="Year" dataDxfId="85"/>
    <tableColumn id="3" xr3:uid="{0CBBBBFF-002F-4463-AB19-C29F49094BF8}" name="Orgainsation Type" dataDxfId="84">
      <calculatedColumnFormula>Introduction!$D$7</calculatedColumnFormula>
    </tableColumn>
    <tableColumn id="4" xr3:uid="{B0466310-7BF4-4397-8CFD-DF95D426D95F}" name="Organisation Name" dataDxfId="83">
      <calculatedColumnFormula>Introduction!$D$8</calculatedColumnFormula>
    </tableColumn>
    <tableColumn id="5" xr3:uid="{FFFFAE13-1F12-4472-9B6F-AA08F59EFD15}" name="Category" dataDxfId="82"/>
    <tableColumn id="6" xr3:uid="{52F6E133-8E53-4E6C-A6AA-D5310C34FA09}" name="Sub-Category" dataDxfId="81"/>
    <tableColumn id="7" xr3:uid="{AB3835EF-3B93-4E53-BFA6-75559FB9AA6A}" name="Descriptor 1" dataDxfId="80"/>
    <tableColumn id="8" xr3:uid="{5CE00D10-D8F8-450D-AC8E-A110B1371235}" name="Descriptor 2" dataDxfId="79"/>
    <tableColumn id="9" xr3:uid="{7BAF3923-D36B-4A21-BF2F-3C7C9E9C51FD}" name="Descriptor 3" dataDxfId="78"/>
    <tableColumn id="10" xr3:uid="{4DD554A0-84EA-4FD8-AB6F-A97D5A18632C}" name="Descriptor 4" dataDxfId="77"/>
    <tableColumn id="11" xr3:uid="{AF0233EF-8A60-4159-991A-DE297392CCC0}" name="Methodology" dataDxfId="76"/>
    <tableColumn id="12" xr3:uid="{7855F39C-54D7-4D6D-B6F1-1CCBE6C398ED}" name="RSD" dataDxfId="75"/>
    <tableColumn id="13" xr3:uid="{B1E1EDED-4667-43E3-8CD0-32141C96D5FA}" name="Data" dataDxfId="74"/>
    <tableColumn id="14" xr3:uid="{6E456586-CF0C-4DCF-B1AF-A4223AFC7882}" name="Units" dataDxfId="73"/>
    <tableColumn id="15" xr3:uid="{8A9DF263-40F9-40E6-962D-F5DA2361E0C0}" name="Converted data" dataDxfId="72"/>
    <tableColumn id="16" xr3:uid="{3612FC6D-E0B0-4B2E-8546-504A76B3796E}" name="Standard units" dataDxfId="71"/>
    <tableColumn id="17" xr3:uid="{DD361A74-3756-4593-9794-B3A1A3248AB8}" name="Total EF (kgCO2e/unit)" dataDxfId="70"/>
    <tableColumn id="18" xr3:uid="{9588F5B7-11B7-4AA5-9304-5A7A8FB0F54B}" name="Total emissions (kgCO2e)" dataDxfId="69"/>
    <tableColumn id="19" xr3:uid="{7CC6C071-B5CA-4115-A00A-5CF73EDFABBD}" name="Notes" dataDxfId="68"/>
    <tableColumn id="20" xr3:uid="{4CBDD06D-8399-405D-A2D3-5D2FDBD77F09}" name="Ease of collection" dataDxfId="67"/>
    <tableColumn id="21" xr3:uid="{3C67B136-13B8-4F93-8ADA-0D23DE30E30A}" name="Direct" dataDxfId="66"/>
    <tableColumn id="22" xr3:uid="{AF7A9653-BB82-40D2-AE38-B1F4E911E66B}" name="Indirect generation" dataDxfId="65"/>
    <tableColumn id="23" xr3:uid="{A2781356-9D45-4911-BE88-2F4F06E9F5C0}" name="Indirect service" dataDxfId="64"/>
    <tableColumn id="24" xr3:uid="{E5A962E5-4F48-44F3-845F-8E2FF96779CA}" name="Indirect T&amp;D" dataDxfId="63"/>
    <tableColumn id="25" xr3:uid="{A8F2FD80-2421-4FE5-A687-BF7CD8F869FD}" name="Indirect WTT" dataDxfId="62"/>
    <tableColumn id="26" xr3:uid="{97ACF5CA-D176-4214-9532-AE0E6664F9F9}" name="High" dataDxfId="61"/>
    <tableColumn id="27" xr3:uid="{3F6762E2-AABE-407C-B212-FE129DD191FC}" name="Low" dataDxfId="60"/>
    <tableColumn id="28" xr3:uid="{7776FA7B-DC9B-4AFE-A7AE-E42C31983D81}" name="Outside of scopes" dataDxfId="59"/>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3.bin"/><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table" Target="../tables/table8.xml"/><Relationship Id="rId4" Type="http://schemas.openxmlformats.org/officeDocument/2006/relationships/table" Target="../tables/table7.xml"/></Relationships>
</file>

<file path=xl/worksheets/_rels/sheet7.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printerSettings" Target="../printerSettings/printerSettings8.bin"/><Relationship Id="rId4" Type="http://schemas.openxmlformats.org/officeDocument/2006/relationships/table" Target="../tables/table14.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table" Target="../tables/table15.xml"/><Relationship Id="rId1" Type="http://schemas.openxmlformats.org/officeDocument/2006/relationships/printerSettings" Target="../printerSettings/printerSettings9.bin"/><Relationship Id="rId4" Type="http://schemas.openxmlformats.org/officeDocument/2006/relationships/table" Target="../tables/table17.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table" Target="../tables/table18.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hyperlink" Target="https://www.cibse.org/Knowledge/Benchmarking" TargetMode="External"/><Relationship Id="rId2" Type="http://schemas.openxmlformats.org/officeDocument/2006/relationships/hyperlink" Target="https://www.racfoundation.org/assets/rac_foundation/content/downloadables/car-and-the-commute-web-version.pdf" TargetMode="External"/><Relationship Id="rId1" Type="http://schemas.openxmlformats.org/officeDocument/2006/relationships/hyperlink" Target="http://www.webflyer.com/travel/mileage_calculator/" TargetMode="External"/><Relationship Id="rId6" Type="http://schemas.openxmlformats.org/officeDocument/2006/relationships/printerSettings" Target="../printerSettings/printerSettings13.bin"/><Relationship Id="rId5" Type="http://schemas.openxmlformats.org/officeDocument/2006/relationships/hyperlink" Target="https://www.walesonline.co.uk/news/wales-news/dragon-taxis-cardiff-cost-fares-17767633" TargetMode="External"/><Relationship Id="rId4" Type="http://schemas.openxmlformats.org/officeDocument/2006/relationships/hyperlink" Target="https://www.gov.uk/government/statistical-data-sets/bus-statistics-data-tables%20-%20Number%20of%20journeys%20(BUS01a)"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2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27CCF9"/>
  </sheetPr>
  <dimension ref="A1:Q54"/>
  <sheetViews>
    <sheetView showGridLines="0" tabSelected="1" workbookViewId="0">
      <selection activeCell="D7" sqref="D7"/>
    </sheetView>
  </sheetViews>
  <sheetFormatPr defaultColWidth="8.54296875" defaultRowHeight="14.5" x14ac:dyDescent="0.35"/>
  <cols>
    <col min="1" max="1" width="3.81640625" style="1" customWidth="1"/>
    <col min="2" max="2" width="25.453125" style="1" customWidth="1"/>
    <col min="3" max="3" width="81.54296875" style="1" customWidth="1"/>
    <col min="4" max="4" width="47.08984375" style="1" customWidth="1"/>
    <col min="5" max="8" width="8.54296875" style="1"/>
    <col min="9" max="9" width="43.81640625" style="1" customWidth="1"/>
    <col min="10" max="16384" width="8.54296875" style="1"/>
  </cols>
  <sheetData>
    <row r="1" spans="2:14" x14ac:dyDescent="0.35">
      <c r="E1" s="389">
        <v>45496</v>
      </c>
      <c r="F1" s="389" t="s">
        <v>1236</v>
      </c>
    </row>
    <row r="2" spans="2:14" ht="18.5" x14ac:dyDescent="0.35">
      <c r="B2" s="487" t="s">
        <v>0</v>
      </c>
      <c r="C2" s="488"/>
      <c r="D2" s="488"/>
      <c r="E2" s="488"/>
      <c r="F2" s="488"/>
      <c r="G2" s="488"/>
      <c r="H2" s="488"/>
      <c r="I2" s="488"/>
    </row>
    <row r="3" spans="2:14" ht="171.65" customHeight="1" x14ac:dyDescent="0.35">
      <c r="B3" s="485" t="s">
        <v>1237</v>
      </c>
      <c r="C3" s="486"/>
      <c r="D3" s="486"/>
      <c r="E3" s="486"/>
      <c r="F3" s="486"/>
      <c r="G3" s="486"/>
      <c r="H3" s="486"/>
      <c r="I3" s="486"/>
      <c r="J3" s="88"/>
    </row>
    <row r="4" spans="2:14" ht="24" customHeight="1" x14ac:dyDescent="0.35">
      <c r="B4" s="489" t="s">
        <v>1191</v>
      </c>
      <c r="C4" s="490"/>
      <c r="D4" s="262"/>
      <c r="E4" s="172"/>
      <c r="F4" s="172"/>
      <c r="G4" s="172"/>
      <c r="H4" s="172"/>
      <c r="I4" s="171"/>
      <c r="J4" s="88"/>
    </row>
    <row r="5" spans="2:14" x14ac:dyDescent="0.35">
      <c r="D5" s="18"/>
      <c r="J5" s="88"/>
    </row>
    <row r="6" spans="2:14" ht="19" thickBot="1" x14ac:dyDescent="0.4">
      <c r="B6" s="37" t="s">
        <v>1</v>
      </c>
      <c r="D6" s="14"/>
      <c r="J6" s="88"/>
    </row>
    <row r="7" spans="2:14" ht="15" thickBot="1" x14ac:dyDescent="0.4">
      <c r="B7" s="20" t="s">
        <v>1</v>
      </c>
      <c r="C7" s="4" t="s">
        <v>2</v>
      </c>
      <c r="D7" s="220"/>
      <c r="E7" s="18"/>
      <c r="H7" s="13" t="s">
        <v>4</v>
      </c>
      <c r="I7" s="13"/>
      <c r="J7" s="88"/>
    </row>
    <row r="8" spans="2:14" ht="15" thickBot="1" x14ac:dyDescent="0.4">
      <c r="B8" s="20" t="s">
        <v>1</v>
      </c>
      <c r="C8" s="4" t="s">
        <v>5</v>
      </c>
      <c r="D8" s="220"/>
      <c r="E8" s="18"/>
      <c r="J8" s="88"/>
    </row>
    <row r="9" spans="2:14" ht="15" thickBot="1" x14ac:dyDescent="0.4">
      <c r="B9" s="20" t="s">
        <v>1</v>
      </c>
      <c r="C9" s="4" t="s">
        <v>7</v>
      </c>
      <c r="D9" s="220"/>
      <c r="E9" s="18"/>
      <c r="H9" s="4"/>
      <c r="I9" s="15" t="s">
        <v>8</v>
      </c>
      <c r="J9" s="88"/>
    </row>
    <row r="10" spans="2:14" ht="15" thickBot="1" x14ac:dyDescent="0.4">
      <c r="B10" s="20" t="s">
        <v>1</v>
      </c>
      <c r="C10" s="4" t="s">
        <v>9</v>
      </c>
      <c r="D10" s="220"/>
      <c r="H10" s="10"/>
      <c r="I10" s="15" t="s">
        <v>10</v>
      </c>
      <c r="J10" s="88"/>
    </row>
    <row r="11" spans="2:14" ht="15" thickBot="1" x14ac:dyDescent="0.4">
      <c r="B11" s="20" t="s">
        <v>1</v>
      </c>
      <c r="C11" s="4" t="s">
        <v>11</v>
      </c>
      <c r="D11" s="221"/>
      <c r="H11" s="106"/>
      <c r="I11" s="15" t="s">
        <v>12</v>
      </c>
      <c r="J11" s="88"/>
    </row>
    <row r="12" spans="2:14" ht="15" thickBot="1" x14ac:dyDescent="0.4">
      <c r="B12" s="20" t="s">
        <v>1</v>
      </c>
      <c r="C12" s="4" t="s">
        <v>739</v>
      </c>
      <c r="D12" s="221"/>
      <c r="H12" s="49"/>
      <c r="I12" s="15" t="s">
        <v>13</v>
      </c>
      <c r="J12" s="88"/>
    </row>
    <row r="13" spans="2:14" ht="15" thickBot="1" x14ac:dyDescent="0.4">
      <c r="B13" s="20" t="s">
        <v>1</v>
      </c>
      <c r="C13" s="4" t="s">
        <v>1006</v>
      </c>
      <c r="D13" s="272"/>
      <c r="E13" s="18"/>
      <c r="H13" s="86"/>
      <c r="I13" s="15" t="s">
        <v>15</v>
      </c>
      <c r="J13" s="88"/>
    </row>
    <row r="14" spans="2:14" ht="15" thickBot="1" x14ac:dyDescent="0.4">
      <c r="B14" s="20" t="s">
        <v>1</v>
      </c>
      <c r="C14" s="4" t="s">
        <v>14</v>
      </c>
      <c r="D14" s="148"/>
      <c r="H14" s="6"/>
      <c r="I14" s="15" t="s">
        <v>18</v>
      </c>
      <c r="J14" s="88"/>
      <c r="N14" s="18"/>
    </row>
    <row r="15" spans="2:14" ht="15" thickBot="1" x14ac:dyDescent="0.4">
      <c r="B15" s="20" t="s">
        <v>1</v>
      </c>
      <c r="C15" s="372" t="s">
        <v>1026</v>
      </c>
      <c r="D15" s="148"/>
      <c r="H15"/>
      <c r="I15" s="15"/>
      <c r="J15" s="88"/>
      <c r="N15" s="18"/>
    </row>
    <row r="16" spans="2:14" ht="15" thickBot="1" x14ac:dyDescent="0.4">
      <c r="B16" s="20" t="s">
        <v>1</v>
      </c>
      <c r="C16" s="4" t="s">
        <v>16</v>
      </c>
      <c r="D16" s="221"/>
      <c r="E16" s="18"/>
      <c r="H16" s="232"/>
      <c r="I16" s="15"/>
      <c r="J16" s="88"/>
    </row>
    <row r="18" spans="2:17" ht="19" thickBot="1" x14ac:dyDescent="0.4">
      <c r="B18" s="37" t="s">
        <v>19</v>
      </c>
      <c r="C18" s="18"/>
      <c r="E18" s="11"/>
      <c r="F18" s="11"/>
      <c r="G18" s="11"/>
      <c r="H18" s="11"/>
      <c r="I18" s="11"/>
      <c r="J18" s="11"/>
      <c r="K18" s="11"/>
      <c r="L18" s="11"/>
      <c r="M18" s="11"/>
      <c r="N18" s="11"/>
      <c r="O18" s="11"/>
      <c r="P18" s="11"/>
    </row>
    <row r="19" spans="2:17" ht="15" thickBot="1" x14ac:dyDescent="0.4">
      <c r="B19" s="20" t="s">
        <v>20</v>
      </c>
      <c r="C19" s="399" t="s">
        <v>21</v>
      </c>
      <c r="D19" s="222"/>
      <c r="E19" s="89" t="str">
        <f>IF(D19="Y", "Please complete the 'Buildings' table in Buildings, fleet &amp; other assets sheet. See section 7.2 of the guidance for further information.", "")</f>
        <v/>
      </c>
      <c r="F19" s="88"/>
      <c r="G19" s="88"/>
      <c r="H19" s="88"/>
      <c r="I19" s="88"/>
      <c r="J19" s="88"/>
      <c r="K19" s="88"/>
      <c r="L19" s="88"/>
      <c r="M19" s="88"/>
      <c r="N19" s="88"/>
      <c r="O19" s="88"/>
      <c r="P19" s="88"/>
      <c r="Q19" s="66"/>
    </row>
    <row r="20" spans="2:17" ht="15" thickBot="1" x14ac:dyDescent="0.4">
      <c r="B20" s="20" t="s">
        <v>20</v>
      </c>
      <c r="C20" s="399" t="s">
        <v>22</v>
      </c>
      <c r="D20" s="222"/>
      <c r="E20" s="89" t="str">
        <f t="shared" ref="E20:E21" si="0">IF(D20="Y", "Please complete the 'Buildings' table in Buildings, fleet &amp; other assets sheet. See section 7.2 of the guidance for further information.", "")</f>
        <v/>
      </c>
      <c r="F20" s="88"/>
      <c r="G20" s="88"/>
      <c r="H20" s="88"/>
      <c r="I20" s="88"/>
      <c r="J20" s="88"/>
      <c r="K20" s="88"/>
      <c r="L20" s="88"/>
      <c r="M20" s="88"/>
      <c r="N20" s="88"/>
      <c r="O20" s="88"/>
      <c r="P20" s="88"/>
      <c r="Q20" s="66"/>
    </row>
    <row r="21" spans="2:17" ht="15" thickBot="1" x14ac:dyDescent="0.4">
      <c r="B21" s="20" t="s">
        <v>20</v>
      </c>
      <c r="C21" s="399" t="s">
        <v>23</v>
      </c>
      <c r="D21" s="222"/>
      <c r="E21" s="89" t="str">
        <f t="shared" si="0"/>
        <v/>
      </c>
      <c r="F21" s="88"/>
      <c r="G21" s="88"/>
      <c r="H21" s="88"/>
      <c r="I21" s="88"/>
      <c r="J21" s="88"/>
      <c r="K21" s="88"/>
      <c r="L21" s="88"/>
      <c r="M21" s="88"/>
      <c r="N21" s="88"/>
      <c r="O21" s="88"/>
      <c r="P21" s="88"/>
      <c r="Q21" s="66"/>
    </row>
    <row r="22" spans="2:17" ht="15" thickBot="1" x14ac:dyDescent="0.4">
      <c r="B22" s="20" t="s">
        <v>20</v>
      </c>
      <c r="C22" s="399" t="s">
        <v>24</v>
      </c>
      <c r="D22" s="222"/>
      <c r="E22" s="89" t="str">
        <f>IF(D22="Y", "If that public body is also reporting, these emissions are out of scope for your organisation. See section 7.2 of the guidance", "")</f>
        <v/>
      </c>
      <c r="F22" s="89"/>
      <c r="G22" s="88"/>
      <c r="H22" s="88"/>
      <c r="I22" s="88"/>
      <c r="J22" s="88"/>
      <c r="K22" s="88"/>
      <c r="L22" s="88"/>
      <c r="M22" s="88"/>
      <c r="N22" s="88"/>
      <c r="O22" s="88"/>
      <c r="P22" s="88"/>
      <c r="Q22" s="66"/>
    </row>
    <row r="23" spans="2:17" ht="15" thickBot="1" x14ac:dyDescent="0.4">
      <c r="B23" s="20" t="s">
        <v>20</v>
      </c>
      <c r="C23" s="399" t="s">
        <v>25</v>
      </c>
      <c r="D23" s="222"/>
      <c r="E23" s="93" t="str">
        <f>IF(D23="Y", "The majority of these emissions are out of scope. See section 7.2 of the guidance.", "")</f>
        <v/>
      </c>
      <c r="F23" s="89"/>
      <c r="G23" s="88"/>
      <c r="H23" s="88"/>
      <c r="I23" s="88"/>
      <c r="J23" s="88"/>
      <c r="K23" s="88"/>
      <c r="L23" s="88"/>
      <c r="M23" s="88"/>
      <c r="N23" s="88"/>
      <c r="O23" s="88"/>
      <c r="P23" s="88"/>
      <c r="Q23" s="66"/>
    </row>
    <row r="24" spans="2:17" ht="15" thickBot="1" x14ac:dyDescent="0.4">
      <c r="B24" s="20" t="s">
        <v>26</v>
      </c>
      <c r="C24" s="399" t="s">
        <v>27</v>
      </c>
      <c r="D24" s="222"/>
      <c r="E24" s="89" t="str">
        <f>IF(D24="Y", "Please complete the 'Streetlighting' table in Buildings, fleet &amp; other assets tab. See section 7.3 of the guidance for further help.", "")</f>
        <v/>
      </c>
      <c r="F24" s="88"/>
      <c r="G24" s="88"/>
      <c r="H24" s="88"/>
      <c r="I24" s="88"/>
      <c r="J24" s="88"/>
      <c r="K24" s="88"/>
      <c r="L24" s="88"/>
      <c r="M24" s="88"/>
      <c r="N24" s="88"/>
      <c r="O24" s="88"/>
      <c r="P24" s="88"/>
      <c r="Q24" s="66"/>
    </row>
    <row r="25" spans="2:17" ht="15" thickBot="1" x14ac:dyDescent="0.4">
      <c r="B25" s="20" t="s">
        <v>28</v>
      </c>
      <c r="C25" s="399" t="s">
        <v>29</v>
      </c>
      <c r="D25" s="222"/>
      <c r="E25" s="89" t="str">
        <f>IF(D25="Y", "Please complete the 'Fleet' table in Buidlings, fleet &amp; other assets.  See section 7.4 of the guidance for further help", "")</f>
        <v/>
      </c>
      <c r="F25" s="88"/>
      <c r="G25" s="88"/>
      <c r="H25" s="88"/>
      <c r="I25" s="88"/>
      <c r="J25" s="88"/>
      <c r="K25" s="88"/>
      <c r="L25" s="88"/>
      <c r="M25" s="88"/>
      <c r="N25" s="88"/>
      <c r="O25" s="88"/>
      <c r="P25" s="88"/>
      <c r="Q25" s="66"/>
    </row>
    <row r="26" spans="2:17" ht="15" thickBot="1" x14ac:dyDescent="0.4">
      <c r="B26" s="20" t="s">
        <v>30</v>
      </c>
      <c r="C26" s="399" t="s">
        <v>31</v>
      </c>
      <c r="D26" s="222"/>
      <c r="E26" s="89" t="str">
        <f>IF(D26="Y", "Please complete the 'Agriculture' table in Buidlings, fleet &amp; other assets. See section 7.5 of the guidance for further help", "")</f>
        <v/>
      </c>
      <c r="F26" s="88"/>
      <c r="G26" s="88"/>
      <c r="H26" s="88"/>
      <c r="I26" s="88"/>
      <c r="J26" s="88"/>
      <c r="K26" s="88"/>
      <c r="L26" s="88"/>
      <c r="M26" s="88"/>
      <c r="N26" s="88"/>
      <c r="O26" s="88"/>
      <c r="P26" s="88"/>
      <c r="Q26" s="66"/>
    </row>
    <row r="27" spans="2:17" ht="26.5" thickBot="1" x14ac:dyDescent="0.4">
      <c r="B27" s="20" t="s">
        <v>1022</v>
      </c>
      <c r="C27" s="400" t="s">
        <v>1023</v>
      </c>
      <c r="D27" s="222"/>
      <c r="E27" s="273" t="str">
        <f>IF(D27="Y", "Please complete the 'Other gases' table in Buidlings, fleet &amp; other assets. See section 7.5 of the guidance for further help", "")</f>
        <v/>
      </c>
      <c r="F27" s="88"/>
      <c r="G27" s="88"/>
      <c r="H27" s="88"/>
      <c r="I27" s="88"/>
      <c r="J27" s="88"/>
      <c r="K27" s="88"/>
      <c r="L27" s="88"/>
      <c r="M27" s="88"/>
      <c r="N27" s="88"/>
      <c r="O27" s="88"/>
      <c r="P27" s="88"/>
      <c r="Q27" s="66"/>
    </row>
    <row r="28" spans="2:17" ht="15" thickBot="1" x14ac:dyDescent="0.4">
      <c r="B28" s="20" t="s">
        <v>32</v>
      </c>
      <c r="C28" s="399" t="s">
        <v>33</v>
      </c>
      <c r="D28" s="222"/>
      <c r="E28" s="89" t="str">
        <f>IF(D28="Y", "Please complete the 'Business travel' table in Business travel, commute, home tab.  See section 8.2 of the guidance for further help", "")</f>
        <v/>
      </c>
      <c r="F28" s="88"/>
      <c r="G28" s="88"/>
      <c r="H28" s="88"/>
      <c r="I28" s="88"/>
      <c r="J28" s="88"/>
      <c r="K28" s="88"/>
      <c r="L28" s="88"/>
      <c r="M28" s="88"/>
      <c r="N28" s="88"/>
      <c r="O28" s="88"/>
      <c r="P28" s="88"/>
      <c r="Q28" s="66"/>
    </row>
    <row r="29" spans="2:17" ht="15" thickBot="1" x14ac:dyDescent="0.4">
      <c r="B29" s="20" t="s">
        <v>34</v>
      </c>
      <c r="C29" s="399" t="s">
        <v>35</v>
      </c>
      <c r="D29" s="222"/>
      <c r="E29" s="89" t="str">
        <f>IF(D29="Y", "Please complete the 'Commuting' table in Buidlings, fleet &amp; other assets.  See section 8.3 of the guidance for further help.", "")</f>
        <v/>
      </c>
      <c r="F29" s="88"/>
      <c r="G29" s="88"/>
      <c r="H29" s="88"/>
      <c r="I29" s="88"/>
      <c r="J29" s="88"/>
      <c r="K29" s="88"/>
      <c r="L29" s="88"/>
      <c r="M29" s="88"/>
      <c r="N29" s="88"/>
      <c r="O29" s="88"/>
      <c r="P29" s="88"/>
      <c r="Q29" s="66"/>
    </row>
    <row r="30" spans="2:17" ht="15" thickBot="1" x14ac:dyDescent="0.4">
      <c r="B30" s="20" t="s">
        <v>36</v>
      </c>
      <c r="C30" s="399" t="s">
        <v>37</v>
      </c>
      <c r="D30" s="222"/>
      <c r="E30" s="89" t="str">
        <f>IF(D30="Y", "Please complete the 'Homeworking' table in Buidlings, fleet &amp; other assets.  See section 8.4 of the guidance for further help", "")</f>
        <v/>
      </c>
      <c r="F30" s="88"/>
      <c r="G30" s="88"/>
      <c r="H30" s="88"/>
      <c r="I30" s="88"/>
      <c r="J30" s="88"/>
      <c r="K30" s="88"/>
      <c r="L30" s="88"/>
      <c r="M30" s="88"/>
      <c r="N30" s="88"/>
      <c r="O30" s="88"/>
      <c r="P30" s="88"/>
      <c r="Q30" s="66"/>
    </row>
    <row r="31" spans="2:17" ht="15" thickBot="1" x14ac:dyDescent="0.4">
      <c r="B31" s="20" t="s">
        <v>38</v>
      </c>
      <c r="C31" s="399" t="s">
        <v>39</v>
      </c>
      <c r="D31" s="222"/>
      <c r="E31" s="89" t="str">
        <f>IF(D31="Y", "Please complete the 'Supply chain emissions tab'.  See section 10 of the guidance for further help", "")</f>
        <v/>
      </c>
      <c r="F31" s="88"/>
      <c r="G31" s="88"/>
      <c r="H31" s="88"/>
      <c r="I31" s="88"/>
      <c r="J31" s="88"/>
      <c r="K31" s="88"/>
      <c r="L31" s="88"/>
      <c r="M31" s="88"/>
      <c r="N31" s="88"/>
      <c r="O31" s="88"/>
      <c r="P31" s="88"/>
      <c r="Q31" s="66"/>
    </row>
    <row r="32" spans="2:17" ht="15" thickBot="1" x14ac:dyDescent="0.4">
      <c r="B32" s="20" t="s">
        <v>40</v>
      </c>
      <c r="C32" s="399" t="s">
        <v>41</v>
      </c>
      <c r="D32" s="222"/>
      <c r="E32" s="89" t="str">
        <f>IF(D32="Y", "Please complete the 'Land Use emissions' sheet. See section 12 of the guidance for further information.", "")</f>
        <v/>
      </c>
      <c r="F32" s="88"/>
      <c r="G32" s="88"/>
      <c r="H32" s="88"/>
      <c r="I32" s="88"/>
      <c r="J32" s="88"/>
      <c r="K32" s="88"/>
      <c r="L32" s="88"/>
      <c r="M32" s="88"/>
      <c r="N32" s="88"/>
      <c r="O32" s="88"/>
      <c r="P32" s="88"/>
      <c r="Q32" s="66"/>
    </row>
    <row r="33" spans="1:17" ht="26.5" thickBot="1" x14ac:dyDescent="0.4">
      <c r="B33" s="494" t="s">
        <v>42</v>
      </c>
      <c r="C33" s="401" t="s">
        <v>43</v>
      </c>
      <c r="D33" s="222"/>
      <c r="E33" s="89" t="str">
        <f>IF(D33="Y", "Please complete the 'Operational Waste' table in the Waste sheet. See section 9.2 of the guidance for further information.", "")</f>
        <v/>
      </c>
      <c r="F33" s="88"/>
      <c r="G33" s="88"/>
      <c r="H33" s="88"/>
      <c r="I33" s="88"/>
      <c r="J33" s="88"/>
      <c r="K33" s="88"/>
      <c r="L33" s="88"/>
      <c r="M33" s="88"/>
      <c r="N33" s="88"/>
      <c r="O33" s="88"/>
      <c r="P33" s="88"/>
      <c r="Q33" s="66"/>
    </row>
    <row r="34" spans="1:17" ht="26.5" thickBot="1" x14ac:dyDescent="0.4">
      <c r="B34" s="495"/>
      <c r="C34" s="401" t="s">
        <v>44</v>
      </c>
      <c r="D34" s="222"/>
      <c r="E34" s="89" t="str">
        <f>IF(D34="Y", "Please complete the 'Operational Waste' table in the Waste sheet. See section 9.2 of the guidance for further information.", "")</f>
        <v/>
      </c>
      <c r="F34" s="88"/>
      <c r="G34" s="88"/>
      <c r="H34" s="88"/>
      <c r="I34" s="88"/>
      <c r="J34" s="88"/>
      <c r="K34" s="88"/>
      <c r="L34" s="88"/>
      <c r="M34" s="88"/>
      <c r="N34" s="88"/>
      <c r="O34" s="88"/>
      <c r="P34" s="88"/>
      <c r="Q34" s="66"/>
    </row>
    <row r="35" spans="1:17" ht="15" thickBot="1" x14ac:dyDescent="0.4">
      <c r="B35" s="495"/>
      <c r="C35" s="402" t="s">
        <v>45</v>
      </c>
      <c r="D35" s="222"/>
      <c r="E35" s="89" t="str">
        <f>IF(D35="Y", "Please complete the 'Municipal waste' table in the Waste sheet. See section 9.3 of the guidance for further information.", "")</f>
        <v/>
      </c>
      <c r="F35" s="88"/>
      <c r="G35" s="88"/>
      <c r="H35" s="88"/>
      <c r="I35" s="88"/>
      <c r="J35" s="88"/>
      <c r="K35" s="88"/>
      <c r="L35" s="88"/>
      <c r="M35" s="88"/>
      <c r="N35" s="88"/>
      <c r="O35" s="88"/>
      <c r="P35" s="88"/>
      <c r="Q35" s="66"/>
    </row>
    <row r="36" spans="1:17" ht="15" thickBot="1" x14ac:dyDescent="0.4">
      <c r="B36" s="496"/>
      <c r="C36" s="402" t="s">
        <v>46</v>
      </c>
      <c r="D36" s="222"/>
      <c r="E36" s="89" t="str">
        <f>IF(D36="Y", "Please either complete the 'Municipal waste' table in the Waste sheet OR record your annual spend for this servce in the supply chain sheet. See section 9.3 of the guidance for further information.", "")</f>
        <v/>
      </c>
      <c r="F36" s="92"/>
      <c r="G36" s="92"/>
      <c r="H36" s="92"/>
      <c r="I36" s="92"/>
      <c r="J36" s="92"/>
      <c r="K36" s="92"/>
      <c r="L36" s="92"/>
      <c r="M36" s="92"/>
      <c r="N36" s="92"/>
      <c r="O36" s="92"/>
      <c r="P36" s="92"/>
      <c r="Q36" s="66"/>
    </row>
    <row r="37" spans="1:17" x14ac:dyDescent="0.35">
      <c r="E37" s="33"/>
      <c r="F37" s="33"/>
      <c r="G37" s="33"/>
      <c r="H37" s="33"/>
      <c r="I37" s="33"/>
      <c r="J37" s="33"/>
      <c r="K37" s="33"/>
      <c r="L37" s="33"/>
      <c r="M37" s="33"/>
      <c r="N37" s="33"/>
      <c r="O37" s="33"/>
      <c r="P37" s="33"/>
    </row>
    <row r="38" spans="1:17" ht="19" thickBot="1" x14ac:dyDescent="0.4">
      <c r="B38" s="37" t="s">
        <v>47</v>
      </c>
    </row>
    <row r="39" spans="1:17" ht="65.5" thickBot="1" x14ac:dyDescent="0.4">
      <c r="B39" s="403" t="s">
        <v>47</v>
      </c>
      <c r="C39" s="400" t="s">
        <v>1061</v>
      </c>
      <c r="D39" s="484"/>
      <c r="E39" s="484"/>
      <c r="F39" s="484"/>
      <c r="G39" s="484"/>
      <c r="H39" s="484"/>
      <c r="I39" s="484"/>
      <c r="J39" s="484"/>
      <c r="K39" s="484"/>
      <c r="L39" s="19"/>
    </row>
    <row r="40" spans="1:17" ht="29.5" customHeight="1" x14ac:dyDescent="0.35"/>
    <row r="41" spans="1:17" ht="19" thickBot="1" x14ac:dyDescent="0.4">
      <c r="B41" s="37" t="s">
        <v>48</v>
      </c>
    </row>
    <row r="42" spans="1:17" ht="15" thickBot="1" x14ac:dyDescent="0.4">
      <c r="A42"/>
      <c r="B42" s="491" t="s">
        <v>49</v>
      </c>
      <c r="C42" s="400" t="s">
        <v>50</v>
      </c>
      <c r="D42" s="233"/>
      <c r="E42" s="159"/>
      <c r="F42" s="159"/>
      <c r="G42" s="159"/>
      <c r="H42" s="159"/>
      <c r="I42" s="159"/>
      <c r="J42" s="159"/>
      <c r="K42" s="159"/>
    </row>
    <row r="43" spans="1:17" ht="15" thickBot="1" x14ac:dyDescent="0.4">
      <c r="B43" s="492"/>
      <c r="C43" s="400" t="s">
        <v>51</v>
      </c>
      <c r="D43" s="234"/>
      <c r="E43" s="159"/>
      <c r="F43" s="159"/>
      <c r="G43" s="159"/>
      <c r="H43" s="159"/>
      <c r="I43" s="159"/>
      <c r="J43" s="159"/>
      <c r="K43" s="159"/>
    </row>
    <row r="44" spans="1:17" ht="15" thickBot="1" x14ac:dyDescent="0.4">
      <c r="B44" s="492"/>
      <c r="C44" s="400" t="s">
        <v>52</v>
      </c>
      <c r="D44" s="233"/>
      <c r="E44" s="159"/>
      <c r="F44" s="159"/>
      <c r="G44" s="159"/>
      <c r="H44" s="159"/>
      <c r="I44" s="159"/>
      <c r="J44" s="159"/>
      <c r="K44" s="159"/>
    </row>
    <row r="45" spans="1:17" ht="50.4" customHeight="1" thickBot="1" x14ac:dyDescent="0.4">
      <c r="B45" s="493"/>
      <c r="C45" s="400" t="s">
        <v>53</v>
      </c>
      <c r="D45" s="481"/>
      <c r="E45" s="482"/>
      <c r="F45" s="482"/>
      <c r="G45" s="482"/>
      <c r="H45" s="482"/>
      <c r="I45" s="482"/>
      <c r="J45" s="482"/>
      <c r="K45" s="483"/>
    </row>
    <row r="48" spans="1:17" customFormat="1" x14ac:dyDescent="0.35"/>
    <row r="49" customFormat="1" x14ac:dyDescent="0.35"/>
    <row r="50" customFormat="1" x14ac:dyDescent="0.35"/>
    <row r="51" customFormat="1" x14ac:dyDescent="0.35"/>
    <row r="52" customFormat="1" x14ac:dyDescent="0.35"/>
    <row r="53" customFormat="1" x14ac:dyDescent="0.35"/>
    <row r="54" customFormat="1" x14ac:dyDescent="0.35"/>
  </sheetData>
  <sheetProtection algorithmName="SHA-512" hashValue="wSDWZBMvZTQy1EPY9vb/XrOFtUA3L3tPx9ldRk8djSsTOpMfXOi0SPMCakjDhV46aEHW/Yj7rREREIWdPRcZ1Q==" saltValue="pYHS9jXfc41Tc4Y2yTOuuA==" spinCount="100000" sheet="1" objects="1" scenarios="1"/>
  <mergeCells count="7">
    <mergeCell ref="D45:K45"/>
    <mergeCell ref="D39:K39"/>
    <mergeCell ref="B3:I3"/>
    <mergeCell ref="B2:I2"/>
    <mergeCell ref="B4:C4"/>
    <mergeCell ref="B42:B45"/>
    <mergeCell ref="B33:B36"/>
  </mergeCells>
  <dataValidations count="5">
    <dataValidation type="list" allowBlank="1" showInputMessage="1" showErrorMessage="1" sqref="D9" xr:uid="{00000000-0002-0000-0000-000000000000}">
      <formula1>Reportingyear</formula1>
    </dataValidation>
    <dataValidation type="list" allowBlank="1" showInputMessage="1" showErrorMessage="1" sqref="D19:D36" xr:uid="{00000000-0002-0000-0000-000001000000}">
      <formula1>Yesno</formula1>
    </dataValidation>
    <dataValidation type="decimal" operator="greaterThan" allowBlank="1" showInputMessage="1" showErrorMessage="1" sqref="D13:D14 D15" xr:uid="{00000000-0002-0000-0000-000002000000}">
      <formula1>0</formula1>
    </dataValidation>
    <dataValidation type="list" allowBlank="1" showInputMessage="1" showErrorMessage="1" sqref="D16" xr:uid="{00000000-0002-0000-0000-000003000000}">
      <formula1>Regions</formula1>
    </dataValidation>
    <dataValidation type="list" allowBlank="1" showInputMessage="1" showErrorMessage="1" sqref="D7" xr:uid="{00000000-0002-0000-0000-000005000000}">
      <formula1>OrgType</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OFFSET(Lists!$H$22,MATCH($D$7,TypeOrganisation,0)-1,,COUNTIF(TypeOrganisation,$D$7))</xm:f>
          </x14:formula1>
          <xm:sqref>D8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FAA17-4D5C-4955-B0BD-DDD13272574F}">
  <dimension ref="B3:E28"/>
  <sheetViews>
    <sheetView showGridLines="0" workbookViewId="0">
      <selection activeCell="D35" sqref="D35"/>
    </sheetView>
  </sheetViews>
  <sheetFormatPr defaultRowHeight="14.5" x14ac:dyDescent="0.35"/>
  <cols>
    <col min="3" max="3" width="15.453125" customWidth="1"/>
    <col min="4" max="4" width="14.08984375" customWidth="1"/>
    <col min="5" max="5" width="164.36328125" customWidth="1"/>
  </cols>
  <sheetData>
    <row r="3" spans="2:5" x14ac:dyDescent="0.35">
      <c r="B3" s="458" t="s">
        <v>1199</v>
      </c>
      <c r="C3" s="458" t="s">
        <v>1200</v>
      </c>
      <c r="D3" s="458" t="s">
        <v>1201</v>
      </c>
      <c r="E3" s="458" t="s">
        <v>1202</v>
      </c>
    </row>
    <row r="4" spans="2:5" x14ac:dyDescent="0.35">
      <c r="B4" s="432" t="s">
        <v>1205</v>
      </c>
      <c r="C4" s="459">
        <v>45404</v>
      </c>
      <c r="D4" s="432" t="s">
        <v>1203</v>
      </c>
      <c r="E4" s="472" t="s">
        <v>1206</v>
      </c>
    </row>
    <row r="5" spans="2:5" x14ac:dyDescent="0.35">
      <c r="B5" s="432" t="s">
        <v>1204</v>
      </c>
      <c r="C5" s="459">
        <v>45413</v>
      </c>
      <c r="D5" s="432" t="s">
        <v>1203</v>
      </c>
      <c r="E5" s="472" t="s">
        <v>1207</v>
      </c>
    </row>
    <row r="6" spans="2:5" x14ac:dyDescent="0.35">
      <c r="B6" s="432" t="s">
        <v>1208</v>
      </c>
      <c r="C6" s="459">
        <v>45415</v>
      </c>
      <c r="D6" s="432" t="s">
        <v>1203</v>
      </c>
      <c r="E6" s="472" t="s">
        <v>1209</v>
      </c>
    </row>
    <row r="7" spans="2:5" ht="29" x14ac:dyDescent="0.35">
      <c r="B7" s="432" t="s">
        <v>1210</v>
      </c>
      <c r="C7" s="459">
        <v>45422</v>
      </c>
      <c r="D7" s="432" t="s">
        <v>1203</v>
      </c>
      <c r="E7" s="472" t="s">
        <v>1214</v>
      </c>
    </row>
    <row r="8" spans="2:5" x14ac:dyDescent="0.35">
      <c r="B8" s="432" t="s">
        <v>1215</v>
      </c>
      <c r="C8" s="459">
        <v>45433</v>
      </c>
      <c r="D8" s="432" t="s">
        <v>1203</v>
      </c>
      <c r="E8" s="472" t="s">
        <v>1216</v>
      </c>
    </row>
    <row r="9" spans="2:5" x14ac:dyDescent="0.35">
      <c r="B9" s="432" t="s">
        <v>1217</v>
      </c>
      <c r="C9" s="459">
        <v>45447</v>
      </c>
      <c r="D9" s="432" t="s">
        <v>1203</v>
      </c>
      <c r="E9" s="472" t="s">
        <v>1218</v>
      </c>
    </row>
    <row r="10" spans="2:5" x14ac:dyDescent="0.35">
      <c r="B10" s="432" t="s">
        <v>1219</v>
      </c>
      <c r="C10" s="459">
        <v>45457</v>
      </c>
      <c r="D10" s="432" t="s">
        <v>1203</v>
      </c>
      <c r="E10" s="472" t="s">
        <v>1225</v>
      </c>
    </row>
    <row r="11" spans="2:5" x14ac:dyDescent="0.35">
      <c r="B11" s="432" t="s">
        <v>1228</v>
      </c>
      <c r="C11" s="459">
        <v>45461</v>
      </c>
      <c r="D11" s="432" t="s">
        <v>1203</v>
      </c>
      <c r="E11" s="472" t="s">
        <v>1229</v>
      </c>
    </row>
    <row r="12" spans="2:5" x14ac:dyDescent="0.35">
      <c r="B12" s="432" t="s">
        <v>1230</v>
      </c>
      <c r="C12" s="459">
        <v>45468</v>
      </c>
      <c r="D12" s="432" t="s">
        <v>1231</v>
      </c>
      <c r="E12" s="472" t="s">
        <v>1234</v>
      </c>
    </row>
    <row r="13" spans="2:5" x14ac:dyDescent="0.35">
      <c r="B13" s="432" t="s">
        <v>1232</v>
      </c>
      <c r="C13" s="459">
        <v>45482</v>
      </c>
      <c r="D13" s="432" t="s">
        <v>1203</v>
      </c>
      <c r="E13" s="472" t="s">
        <v>1235</v>
      </c>
    </row>
    <row r="14" spans="2:5" x14ac:dyDescent="0.35">
      <c r="B14" s="432"/>
      <c r="C14" s="432"/>
      <c r="D14" s="432"/>
      <c r="E14" s="472"/>
    </row>
    <row r="15" spans="2:5" x14ac:dyDescent="0.35">
      <c r="B15" s="432"/>
      <c r="C15" s="432"/>
      <c r="D15" s="432"/>
      <c r="E15" s="472"/>
    </row>
    <row r="16" spans="2:5" x14ac:dyDescent="0.35">
      <c r="B16" s="432"/>
      <c r="C16" s="432"/>
      <c r="D16" s="432"/>
      <c r="E16" s="472"/>
    </row>
    <row r="17" spans="2:5" x14ac:dyDescent="0.35">
      <c r="B17" s="432"/>
      <c r="C17" s="432"/>
      <c r="D17" s="432"/>
      <c r="E17" s="472"/>
    </row>
    <row r="18" spans="2:5" x14ac:dyDescent="0.35">
      <c r="B18" s="432"/>
      <c r="C18" s="432"/>
      <c r="D18" s="432"/>
      <c r="E18" s="472"/>
    </row>
    <row r="19" spans="2:5" x14ac:dyDescent="0.35">
      <c r="B19" s="432"/>
      <c r="C19" s="432"/>
      <c r="D19" s="432"/>
      <c r="E19" s="472"/>
    </row>
    <row r="20" spans="2:5" x14ac:dyDescent="0.35">
      <c r="B20" s="432"/>
      <c r="C20" s="432"/>
      <c r="D20" s="432"/>
      <c r="E20" s="472"/>
    </row>
    <row r="21" spans="2:5" x14ac:dyDescent="0.35">
      <c r="B21" s="432"/>
      <c r="C21" s="432"/>
      <c r="D21" s="432"/>
      <c r="E21" s="472"/>
    </row>
    <row r="22" spans="2:5" x14ac:dyDescent="0.35">
      <c r="B22" s="432"/>
      <c r="C22" s="432"/>
      <c r="D22" s="432"/>
      <c r="E22" s="472"/>
    </row>
    <row r="23" spans="2:5" x14ac:dyDescent="0.35">
      <c r="B23" s="432"/>
      <c r="C23" s="432"/>
      <c r="D23" s="432"/>
      <c r="E23" s="472"/>
    </row>
    <row r="24" spans="2:5" x14ac:dyDescent="0.35">
      <c r="B24" s="432"/>
      <c r="C24" s="432"/>
      <c r="D24" s="432"/>
      <c r="E24" s="472"/>
    </row>
    <row r="25" spans="2:5" x14ac:dyDescent="0.35">
      <c r="B25" s="432"/>
      <c r="C25" s="432"/>
      <c r="D25" s="432"/>
      <c r="E25" s="472"/>
    </row>
    <row r="26" spans="2:5" x14ac:dyDescent="0.35">
      <c r="B26" s="432"/>
      <c r="C26" s="432"/>
      <c r="D26" s="432"/>
      <c r="E26" s="472"/>
    </row>
    <row r="27" spans="2:5" x14ac:dyDescent="0.35">
      <c r="B27" s="432"/>
      <c r="C27" s="432"/>
      <c r="D27" s="432"/>
      <c r="E27" s="472"/>
    </row>
    <row r="28" spans="2:5" x14ac:dyDescent="0.35">
      <c r="B28" s="432"/>
      <c r="C28" s="432"/>
      <c r="D28" s="432"/>
      <c r="E28" s="472"/>
    </row>
  </sheetData>
  <sheetProtection algorithmName="SHA-512" hashValue="XdxECtEGre6tEE2ZJhNAaZ6ce3D+UcgUJ+sJOpoR8b3kftICkX/HLOsVtAUlZzK4eX3bciwx5NvxDI478TMiaA==" saltValue="pHZhEYu06lDtOl1X+xGr7Q=="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theme="5" tint="-0.249977111117893"/>
  </sheetPr>
  <dimension ref="A2:N111"/>
  <sheetViews>
    <sheetView workbookViewId="0">
      <selection activeCell="B1" sqref="B1"/>
    </sheetView>
  </sheetViews>
  <sheetFormatPr defaultColWidth="8.54296875" defaultRowHeight="14.5" x14ac:dyDescent="0.35"/>
  <cols>
    <col min="1" max="1" width="2.6328125" style="1" customWidth="1"/>
    <col min="2" max="2" width="55.1796875" style="1" customWidth="1"/>
    <col min="3" max="8" width="14.81640625" style="1" customWidth="1"/>
    <col min="9" max="9" width="14.6328125" style="1" customWidth="1"/>
    <col min="10" max="10" width="27.1796875" style="1" customWidth="1"/>
    <col min="11" max="11" width="8.54296875" style="1"/>
    <col min="12" max="12" width="35.81640625" style="1" customWidth="1"/>
    <col min="13" max="13" width="26.54296875" style="1" customWidth="1"/>
    <col min="14" max="16384" width="8.54296875" style="1"/>
  </cols>
  <sheetData>
    <row r="2" spans="1:11" ht="19" thickBot="1" x14ac:dyDescent="0.5">
      <c r="B2" s="50" t="s">
        <v>54</v>
      </c>
      <c r="F2" s="18"/>
    </row>
    <row r="3" spans="1:11" ht="16" customHeight="1" x14ac:dyDescent="0.35">
      <c r="B3" s="502" t="str">
        <f>"This section provides a summary of the reported emissions for " &amp;Introduction!D8 &amp; " for " &amp;Introduction!D9</f>
        <v xml:space="preserve">This section provides a summary of the reported emissions for  for </v>
      </c>
      <c r="C3" s="503"/>
      <c r="D3" s="503"/>
      <c r="E3" s="503"/>
      <c r="F3" s="503"/>
      <c r="G3" s="503"/>
      <c r="H3" s="503"/>
      <c r="I3" s="504"/>
    </row>
    <row r="4" spans="1:11" x14ac:dyDescent="0.35">
      <c r="B4" s="107" t="s">
        <v>55</v>
      </c>
      <c r="C4" s="11"/>
      <c r="D4" s="11"/>
      <c r="E4" s="59"/>
      <c r="F4" s="11"/>
      <c r="G4" s="11"/>
      <c r="H4" s="11"/>
      <c r="I4" s="11"/>
    </row>
    <row r="5" spans="1:11" x14ac:dyDescent="0.35">
      <c r="A5" s="66"/>
      <c r="B5" s="382" t="s">
        <v>1069</v>
      </c>
      <c r="C5" s="66"/>
      <c r="D5" s="66"/>
      <c r="E5" s="66"/>
      <c r="F5" s="66"/>
      <c r="G5" s="66"/>
      <c r="H5" s="66"/>
      <c r="I5" s="66"/>
      <c r="J5" s="66"/>
    </row>
    <row r="6" spans="1:11" ht="15" thickBot="1" x14ac:dyDescent="0.4">
      <c r="A6" s="275"/>
      <c r="B6" s="75"/>
      <c r="C6" s="505" t="s">
        <v>57</v>
      </c>
      <c r="D6" s="506"/>
      <c r="E6" s="506"/>
      <c r="F6" s="506"/>
      <c r="G6" s="506"/>
      <c r="H6" s="506"/>
      <c r="I6" s="507"/>
      <c r="J6" s="66"/>
    </row>
    <row r="7" spans="1:11" ht="19" thickBot="1" x14ac:dyDescent="0.4">
      <c r="B7" s="37" t="s">
        <v>88</v>
      </c>
      <c r="C7" s="21" t="s">
        <v>59</v>
      </c>
      <c r="D7" s="21" t="s">
        <v>60</v>
      </c>
      <c r="E7" s="21" t="s">
        <v>60</v>
      </c>
      <c r="F7" s="21" t="s">
        <v>61</v>
      </c>
      <c r="G7" s="21" t="s">
        <v>62</v>
      </c>
      <c r="H7" s="21" t="s">
        <v>62</v>
      </c>
      <c r="I7" s="21" t="s">
        <v>63</v>
      </c>
      <c r="J7" s="66"/>
    </row>
    <row r="8" spans="1:11" ht="15" thickBot="1" x14ac:dyDescent="0.4">
      <c r="A8" s="276"/>
      <c r="B8" s="75"/>
      <c r="C8" s="21" t="s">
        <v>64</v>
      </c>
      <c r="D8" s="21" t="s">
        <v>65</v>
      </c>
      <c r="E8" s="21" t="s">
        <v>66</v>
      </c>
      <c r="F8" s="21"/>
      <c r="G8" s="21" t="s">
        <v>67</v>
      </c>
      <c r="H8" s="21" t="s">
        <v>68</v>
      </c>
      <c r="I8" s="21"/>
      <c r="J8" s="66"/>
    </row>
    <row r="9" spans="1:11" ht="15" thickBot="1" x14ac:dyDescent="0.4">
      <c r="A9" s="32"/>
      <c r="B9" s="416" t="s">
        <v>88</v>
      </c>
      <c r="C9" s="417">
        <f>C19+C28+C36+C62+C71</f>
        <v>0</v>
      </c>
      <c r="D9" s="417">
        <f t="shared" ref="D9:H9" si="0">D19+D28+D36+D62+D71</f>
        <v>0</v>
      </c>
      <c r="E9" s="417">
        <f t="shared" si="0"/>
        <v>0</v>
      </c>
      <c r="F9" s="417">
        <f t="shared" si="0"/>
        <v>0</v>
      </c>
      <c r="G9" s="417">
        <f t="shared" si="0"/>
        <v>0</v>
      </c>
      <c r="H9" s="417">
        <f t="shared" si="0"/>
        <v>0</v>
      </c>
      <c r="I9" s="417">
        <f>I19+I28+I36+I62+I71</f>
        <v>0</v>
      </c>
      <c r="J9" s="66"/>
    </row>
    <row r="10" spans="1:11" x14ac:dyDescent="0.35">
      <c r="A10" s="32"/>
      <c r="B10" s="75"/>
      <c r="C10" s="75"/>
      <c r="D10" s="75"/>
      <c r="E10" s="75"/>
      <c r="F10" s="75"/>
      <c r="G10" s="75"/>
      <c r="H10" s="75"/>
      <c r="I10" s="75"/>
      <c r="J10" s="75"/>
    </row>
    <row r="11" spans="1:11" x14ac:dyDescent="0.35">
      <c r="A11" s="32"/>
      <c r="B11" s="75"/>
      <c r="C11" s="75"/>
      <c r="D11" s="75"/>
      <c r="E11" s="93"/>
      <c r="F11" s="75"/>
      <c r="G11" s="75"/>
      <c r="H11" s="75"/>
      <c r="I11" s="75"/>
      <c r="J11" s="66"/>
    </row>
    <row r="12" spans="1:11" ht="19" customHeight="1" thickBot="1" x14ac:dyDescent="0.4">
      <c r="B12" s="37" t="s">
        <v>1117</v>
      </c>
      <c r="C12" s="505" t="s">
        <v>57</v>
      </c>
      <c r="D12" s="506"/>
      <c r="E12" s="506"/>
      <c r="F12" s="506"/>
      <c r="G12" s="506"/>
      <c r="H12" s="506"/>
      <c r="I12" s="507"/>
    </row>
    <row r="13" spans="1:11" ht="29.5" customHeight="1" thickBot="1" x14ac:dyDescent="0.4">
      <c r="B13" s="3" t="s">
        <v>58</v>
      </c>
      <c r="C13" s="21" t="s">
        <v>59</v>
      </c>
      <c r="D13" s="21" t="s">
        <v>60</v>
      </c>
      <c r="E13" s="21" t="s">
        <v>60</v>
      </c>
      <c r="F13" s="21" t="s">
        <v>61</v>
      </c>
      <c r="G13" s="21" t="s">
        <v>62</v>
      </c>
      <c r="H13" s="21" t="s">
        <v>62</v>
      </c>
      <c r="I13" s="21" t="s">
        <v>63</v>
      </c>
    </row>
    <row r="14" spans="1:11" ht="15" thickBot="1" x14ac:dyDescent="0.4">
      <c r="B14" s="3"/>
      <c r="C14" s="21" t="s">
        <v>64</v>
      </c>
      <c r="D14" s="21" t="s">
        <v>65</v>
      </c>
      <c r="E14" s="21" t="s">
        <v>66</v>
      </c>
      <c r="F14" s="21"/>
      <c r="G14" s="21" t="s">
        <v>67</v>
      </c>
      <c r="H14" s="21" t="s">
        <v>68</v>
      </c>
      <c r="I14" s="21"/>
    </row>
    <row r="15" spans="1:11" ht="15" thickBot="1" x14ac:dyDescent="0.4">
      <c r="B15" s="23" t="str">
        <f>'Buildings &amp; stationary assets'!B5</f>
        <v>Buildings</v>
      </c>
      <c r="C15" s="17">
        <f>SUM(BuildingsTable[Direct])</f>
        <v>0</v>
      </c>
      <c r="D15" s="17">
        <f>SUM(BuildingsTable[Indirect generation])</f>
        <v>0</v>
      </c>
      <c r="E15" s="17">
        <f>SUM(BuildingsTable[[Indirect service]:[Indirect WTT]])</f>
        <v>0</v>
      </c>
      <c r="F15" s="25">
        <f>SUM(C15:E15)</f>
        <v>0</v>
      </c>
      <c r="G15" s="43">
        <f>SUM(BuildingsTable[High])</f>
        <v>0</v>
      </c>
      <c r="H15" s="43">
        <f>SUM(BuildingsTable[Low])</f>
        <v>0</v>
      </c>
      <c r="I15" s="24">
        <f>SUM(BuildingsTable[Outside of scopes])</f>
        <v>0</v>
      </c>
      <c r="K15" s="18"/>
    </row>
    <row r="16" spans="1:11" ht="15" thickBot="1" x14ac:dyDescent="0.4">
      <c r="B16" s="23" t="str">
        <f>'Buildings &amp; stationary assets'!B119</f>
        <v>Streetlighting</v>
      </c>
      <c r="C16" s="17">
        <f>SUM(StreetlightingTable[Direct])</f>
        <v>0</v>
      </c>
      <c r="D16" s="17">
        <f>SUM(StreetlightingTable[Indirect generation])</f>
        <v>0</v>
      </c>
      <c r="E16" s="17">
        <f>SUM(StreetlightingTable[[Indirect service]:[Indirect WTT]])</f>
        <v>0</v>
      </c>
      <c r="F16" s="25">
        <f>SUM(C16:E16)</f>
        <v>0</v>
      </c>
      <c r="G16" s="43">
        <f>SUM(StreetlightingTable[High])</f>
        <v>0</v>
      </c>
      <c r="H16" s="43">
        <f>SUM(StreetlightingTable[Low])</f>
        <v>0</v>
      </c>
      <c r="I16" s="235">
        <f>SUM(StreetlightingTable[Outside of scopes])</f>
        <v>0</v>
      </c>
    </row>
    <row r="17" spans="1:10" ht="14.5" customHeight="1" thickBot="1" x14ac:dyDescent="0.4">
      <c r="B17" s="223" t="s">
        <v>1142</v>
      </c>
      <c r="C17" s="322">
        <f>SUM(OthergasesTable[Direct])</f>
        <v>0</v>
      </c>
      <c r="D17" s="322">
        <f>SUM(OthergasesTable[Indirect generation])</f>
        <v>0</v>
      </c>
      <c r="E17" s="322">
        <f>SUM(OthergasesTable[[Indirect service]:[Indirect WTT]])</f>
        <v>0</v>
      </c>
      <c r="F17" s="384">
        <f>SUM(OthergasesTable[Total emissions (kgCO2e)])</f>
        <v>0</v>
      </c>
      <c r="G17" s="322">
        <f>SUM(OthergasesTable[High])</f>
        <v>0</v>
      </c>
      <c r="H17" s="322">
        <f>SUM(OthergasesTable[Low])</f>
        <v>0</v>
      </c>
      <c r="I17" s="322">
        <f>SUM(OthergasesTable[Outside of scopes])</f>
        <v>0</v>
      </c>
      <c r="J17" s="270"/>
    </row>
    <row r="18" spans="1:10" ht="14.5" customHeight="1" thickBot="1" x14ac:dyDescent="0.4">
      <c r="A18" s="32"/>
      <c r="B18" s="366" t="s">
        <v>1093</v>
      </c>
      <c r="C18" s="324">
        <f>SUM(Medicalgases[Direct])</f>
        <v>0</v>
      </c>
      <c r="D18" s="324">
        <f>SUM(Medicalgases[Indirect generation])</f>
        <v>0</v>
      </c>
      <c r="E18" s="324">
        <f>SUM(Medicalgases[[Indirect service]:[Indirect WTT]])</f>
        <v>0</v>
      </c>
      <c r="F18" s="385">
        <f>SUM(Medicalgases[Total emissions (kgCO2e)])</f>
        <v>0</v>
      </c>
      <c r="G18" s="324">
        <f>SUM(Medicalgases[High])</f>
        <v>0</v>
      </c>
      <c r="H18" s="324">
        <f>SUM(Medicalgases[Low])</f>
        <v>0</v>
      </c>
      <c r="I18" s="324">
        <f>SUM(Medicalgases[Outside of scopes])</f>
        <v>0</v>
      </c>
      <c r="J18" s="66"/>
    </row>
    <row r="19" spans="1:10" x14ac:dyDescent="0.35">
      <c r="B19" s="27" t="s">
        <v>1141</v>
      </c>
      <c r="C19" s="323">
        <f t="shared" ref="C19:I19" si="1">SUM(C15:C18)</f>
        <v>0</v>
      </c>
      <c r="D19" s="323">
        <f t="shared" si="1"/>
        <v>0</v>
      </c>
      <c r="E19" s="323">
        <f t="shared" si="1"/>
        <v>0</v>
      </c>
      <c r="F19" s="323">
        <f t="shared" si="1"/>
        <v>0</v>
      </c>
      <c r="G19" s="323">
        <f t="shared" si="1"/>
        <v>0</v>
      </c>
      <c r="H19" s="323">
        <f t="shared" si="1"/>
        <v>0</v>
      </c>
      <c r="I19" s="323">
        <f t="shared" si="1"/>
        <v>0</v>
      </c>
    </row>
    <row r="21" spans="1:10" ht="19" thickBot="1" x14ac:dyDescent="0.4">
      <c r="B21" s="37" t="s">
        <v>1108</v>
      </c>
      <c r="C21" s="499" t="s">
        <v>57</v>
      </c>
      <c r="D21" s="500"/>
      <c r="E21" s="500"/>
      <c r="F21" s="500"/>
      <c r="G21" s="500"/>
      <c r="H21" s="500"/>
      <c r="I21" s="501"/>
    </row>
    <row r="22" spans="1:10" ht="29.5" customHeight="1" thickBot="1" x14ac:dyDescent="0.4">
      <c r="B22" s="3" t="s">
        <v>58</v>
      </c>
      <c r="C22" s="21" t="s">
        <v>59</v>
      </c>
      <c r="D22" s="21" t="s">
        <v>60</v>
      </c>
      <c r="E22" s="21" t="s">
        <v>60</v>
      </c>
      <c r="F22" s="21" t="s">
        <v>61</v>
      </c>
      <c r="G22" s="21" t="s">
        <v>62</v>
      </c>
      <c r="H22" s="21" t="s">
        <v>62</v>
      </c>
      <c r="I22" s="21" t="s">
        <v>63</v>
      </c>
    </row>
    <row r="23" spans="1:10" ht="15" thickBot="1" x14ac:dyDescent="0.4">
      <c r="B23" s="3"/>
      <c r="C23" s="21" t="s">
        <v>64</v>
      </c>
      <c r="D23" s="21" t="s">
        <v>65</v>
      </c>
      <c r="E23" s="21" t="s">
        <v>66</v>
      </c>
      <c r="F23" s="21"/>
      <c r="G23" s="21" t="s">
        <v>67</v>
      </c>
      <c r="H23" s="21" t="s">
        <v>68</v>
      </c>
      <c r="I23" s="21"/>
    </row>
    <row r="24" spans="1:10" ht="15" thickBot="1" x14ac:dyDescent="0.4">
      <c r="B24" s="23" t="s">
        <v>69</v>
      </c>
      <c r="C24" s="17">
        <f>SUM(FleetTableDistance[Direct],FleetTableFuel[Direct])</f>
        <v>0</v>
      </c>
      <c r="D24" s="17">
        <f>SUM(FleetTableDistance[Indirect generation],FleetTableFuel[Indirect generation])</f>
        <v>0</v>
      </c>
      <c r="E24" s="17">
        <f>SUM(FleetTableDistance[[Indirect service]:[Indirect WTT]],FleetTableFuel[[Indirect service]:[Indirect WTT]])</f>
        <v>0</v>
      </c>
      <c r="F24" s="25">
        <f>SUM(C24:E24)</f>
        <v>0</v>
      </c>
      <c r="G24" s="43">
        <f>SUM(FleetTableDistance[High],FleetTableFuel[High])</f>
        <v>0</v>
      </c>
      <c r="H24" s="236">
        <f>SUM(FleetTableDistance[Low],FleetTableFuel[Low])</f>
        <v>0</v>
      </c>
      <c r="I24" s="17">
        <f>SUM(FleetTableDistance[Outside of scopes],FleetTableFuel[Outside of scopes])</f>
        <v>0</v>
      </c>
      <c r="J24" s="66"/>
    </row>
    <row r="25" spans="1:10" ht="15" thickBot="1" x14ac:dyDescent="0.4">
      <c r="B25" s="23" t="s">
        <v>70</v>
      </c>
      <c r="C25" s="17">
        <f>SUM(BusinessTable[Direct])</f>
        <v>0</v>
      </c>
      <c r="D25" s="17">
        <f>SUM(BusinessTable[Indirect generation])</f>
        <v>0</v>
      </c>
      <c r="E25" s="17">
        <f>SUM(BusinessTable[[Indirect service]:[Indirect WTT]])</f>
        <v>0</v>
      </c>
      <c r="F25" s="25">
        <f>SUM(C25:E25)</f>
        <v>0</v>
      </c>
      <c r="G25" s="43">
        <f>SUM(BusinessTable[High])</f>
        <v>0</v>
      </c>
      <c r="H25" s="43">
        <f>SUM(BusinessTable[Low])</f>
        <v>0</v>
      </c>
      <c r="I25" s="235">
        <f>SUM(BusinessTable[Outside of scopes])</f>
        <v>0</v>
      </c>
      <c r="J25" s="66"/>
    </row>
    <row r="26" spans="1:10" ht="15" thickBot="1" x14ac:dyDescent="0.4">
      <c r="B26" s="23" t="s">
        <v>71</v>
      </c>
      <c r="C26" s="17">
        <f>SUM(CommutingTable[Direct])</f>
        <v>0</v>
      </c>
      <c r="D26" s="17">
        <f>SUM(CommutingTable[Indirect generation])</f>
        <v>0</v>
      </c>
      <c r="E26" s="17">
        <f>SUM(CommutingTable[[Indirect service]:[Indirect WTT]])</f>
        <v>0</v>
      </c>
      <c r="F26" s="25">
        <f>SUM(C26:E26)</f>
        <v>0</v>
      </c>
      <c r="G26" s="43">
        <f>SUM(CommutingTable[High])</f>
        <v>0</v>
      </c>
      <c r="H26" s="236">
        <f>SUM(CommutingTable[Low])</f>
        <v>0</v>
      </c>
      <c r="I26" s="17">
        <f>SUM(CommutingTable[Outside of scopes])</f>
        <v>0</v>
      </c>
      <c r="J26" s="66"/>
    </row>
    <row r="27" spans="1:10" ht="15" thickBot="1" x14ac:dyDescent="0.4">
      <c r="B27" s="23" t="s">
        <v>72</v>
      </c>
      <c r="C27" s="17">
        <f>SUM(HomeworkingTable[Direct])</f>
        <v>0</v>
      </c>
      <c r="D27" s="17">
        <f>SUM(HomeworkingTable[Indirect generation])</f>
        <v>0</v>
      </c>
      <c r="E27" s="17">
        <f>SUM(HomeworkingTable[[Indirect service]:[Indirect WTT]])</f>
        <v>0</v>
      </c>
      <c r="F27" s="240">
        <f>SUM(C27:E27)</f>
        <v>0</v>
      </c>
      <c r="G27" s="43">
        <f>SUM(HomeworkingTable[High])</f>
        <v>0</v>
      </c>
      <c r="H27" s="43">
        <f>SUM(HomeworkingTable[Low])</f>
        <v>0</v>
      </c>
      <c r="I27" s="237">
        <f>SUM(HomeworkingTable[Outside of scopes])</f>
        <v>0</v>
      </c>
      <c r="J27" s="66"/>
    </row>
    <row r="28" spans="1:10" x14ac:dyDescent="0.35">
      <c r="B28" s="27" t="s">
        <v>1116</v>
      </c>
      <c r="C28" s="28">
        <f>SUM(C24:C27)</f>
        <v>0</v>
      </c>
      <c r="D28" s="28">
        <f t="shared" ref="D28:I28" si="2">SUM(D24:D27)</f>
        <v>0</v>
      </c>
      <c r="E28" s="28">
        <f t="shared" si="2"/>
        <v>0</v>
      </c>
      <c r="F28" s="28">
        <f t="shared" si="2"/>
        <v>0</v>
      </c>
      <c r="G28" s="28">
        <f t="shared" si="2"/>
        <v>0</v>
      </c>
      <c r="H28" s="28">
        <f t="shared" si="2"/>
        <v>0</v>
      </c>
      <c r="I28" s="28">
        <f t="shared" si="2"/>
        <v>0</v>
      </c>
    </row>
    <row r="30" spans="1:10" ht="18" customHeight="1" thickBot="1" x14ac:dyDescent="0.4">
      <c r="B30" s="37" t="s">
        <v>73</v>
      </c>
      <c r="C30" s="499" t="s">
        <v>57</v>
      </c>
      <c r="D30" s="500"/>
      <c r="E30" s="500"/>
      <c r="F30" s="500"/>
      <c r="G30" s="500"/>
      <c r="H30" s="500"/>
      <c r="I30" s="501"/>
    </row>
    <row r="31" spans="1:10" ht="29.5" customHeight="1" thickBot="1" x14ac:dyDescent="0.4">
      <c r="B31" s="3" t="s">
        <v>58</v>
      </c>
      <c r="C31" s="21" t="s">
        <v>59</v>
      </c>
      <c r="D31" s="21" t="s">
        <v>60</v>
      </c>
      <c r="E31" s="21" t="s">
        <v>60</v>
      </c>
      <c r="F31" s="21" t="s">
        <v>61</v>
      </c>
      <c r="G31" s="21" t="s">
        <v>62</v>
      </c>
      <c r="H31" s="21" t="s">
        <v>62</v>
      </c>
      <c r="I31" s="21" t="s">
        <v>63</v>
      </c>
    </row>
    <row r="32" spans="1:10" ht="15" thickBot="1" x14ac:dyDescent="0.4">
      <c r="B32" s="3"/>
      <c r="C32" s="21" t="s">
        <v>64</v>
      </c>
      <c r="D32" s="21" t="s">
        <v>65</v>
      </c>
      <c r="E32" s="21" t="s">
        <v>66</v>
      </c>
      <c r="F32" s="21"/>
      <c r="G32" s="21" t="s">
        <v>67</v>
      </c>
      <c r="H32" s="21" t="s">
        <v>68</v>
      </c>
      <c r="I32" s="21"/>
    </row>
    <row r="33" spans="2:13" ht="15" thickBot="1" x14ac:dyDescent="0.4">
      <c r="B33" s="23" t="s">
        <v>74</v>
      </c>
      <c r="C33" s="17">
        <f>SUM(OrganisationalWasteTable[Direct])</f>
        <v>0</v>
      </c>
      <c r="D33" s="17">
        <f>-SUM(OrganisationalWasteTable[Indirect generation])</f>
        <v>0</v>
      </c>
      <c r="E33" s="17">
        <f>SUM(OrganisationalWasteTable[[Indirect service]:[Indirect WTT]])</f>
        <v>0</v>
      </c>
      <c r="F33" s="25">
        <f>SUM(C33:E33)</f>
        <v>0</v>
      </c>
      <c r="G33" s="43">
        <f>SUM(OrganisationalWasteTable[High])</f>
        <v>0</v>
      </c>
      <c r="H33" s="43">
        <f>SUM(OrganisationalWasteTable[Low])</f>
        <v>0</v>
      </c>
      <c r="I33" s="24">
        <f>SUM(OrganisationalWasteTable[Outside of scopes])</f>
        <v>0</v>
      </c>
    </row>
    <row r="34" spans="2:13" ht="15" thickBot="1" x14ac:dyDescent="0.4">
      <c r="B34" s="23" t="s">
        <v>75</v>
      </c>
      <c r="C34" s="17">
        <f>SUM(MunicipalWasteTable[Direct])</f>
        <v>0</v>
      </c>
      <c r="D34" s="17">
        <f>SUM(MunicipalWasteTable[Indirect generation])</f>
        <v>0</v>
      </c>
      <c r="E34" s="17">
        <f>SUM(MunicipalWasteTable[[Indirect service]:[Indirect WTT]])</f>
        <v>0</v>
      </c>
      <c r="F34" s="25">
        <f>SUM(C34:E34)</f>
        <v>0</v>
      </c>
      <c r="G34" s="43">
        <f>SUM(MunicipalWasteTable[High])</f>
        <v>0</v>
      </c>
      <c r="H34" s="43">
        <f>SUM(MunicipalWasteTable[Low])</f>
        <v>0</v>
      </c>
      <c r="I34" s="24">
        <f>SUM(MunicipalWasteTable[Outside of scopes])</f>
        <v>0</v>
      </c>
    </row>
    <row r="35" spans="2:13" ht="15" thickBot="1" x14ac:dyDescent="0.4">
      <c r="B35" s="23" t="s">
        <v>76</v>
      </c>
      <c r="C35" s="17">
        <f>SUM(ProjectWasteTable[Direct])</f>
        <v>0</v>
      </c>
      <c r="D35" s="17">
        <f>SUM(ProjectWasteTable[Indirect generation])</f>
        <v>0</v>
      </c>
      <c r="E35" s="17">
        <f>SUM(ProjectWasteTable[[Indirect service]:[Indirect WTT]])</f>
        <v>0</v>
      </c>
      <c r="F35" s="239">
        <f>SUM(C35:E35)</f>
        <v>0</v>
      </c>
      <c r="G35" s="43">
        <f>SUM(ProjectWasteTable[High])</f>
        <v>0</v>
      </c>
      <c r="H35" s="43">
        <f>SUM(ProjectWasteTable[Low])</f>
        <v>0</v>
      </c>
      <c r="I35" s="24">
        <f>SUM(MunicipalWasteTable[Outside of scopes])</f>
        <v>0</v>
      </c>
    </row>
    <row r="36" spans="2:13" ht="15" thickBot="1" x14ac:dyDescent="0.4">
      <c r="B36" s="27" t="str">
        <f>B30</f>
        <v>Waste</v>
      </c>
      <c r="C36" s="28">
        <f>SUM(C33:C35)</f>
        <v>0</v>
      </c>
      <c r="D36" s="28">
        <f t="shared" ref="D36:E36" si="3">SUM(D33:D35)</f>
        <v>0</v>
      </c>
      <c r="E36" s="28">
        <f t="shared" si="3"/>
        <v>0</v>
      </c>
      <c r="F36" s="238">
        <f>SUM(F33:F35)</f>
        <v>0</v>
      </c>
      <c r="G36" s="42">
        <f>SUM(G33:G35)</f>
        <v>0</v>
      </c>
      <c r="H36" s="42">
        <f>SUM(H33:H35)</f>
        <v>0</v>
      </c>
      <c r="I36" s="28">
        <f>SUM(I33:I35)</f>
        <v>0</v>
      </c>
    </row>
    <row r="39" spans="2:13" ht="19" thickBot="1" x14ac:dyDescent="0.4">
      <c r="B39" s="37" t="s">
        <v>1021</v>
      </c>
      <c r="C39" s="499" t="s">
        <v>57</v>
      </c>
      <c r="D39" s="500"/>
      <c r="E39" s="500"/>
      <c r="F39" s="500"/>
      <c r="G39" s="500"/>
      <c r="H39" s="500"/>
      <c r="I39" s="500"/>
      <c r="J39" s="271"/>
    </row>
    <row r="40" spans="2:13" ht="35.5" customHeight="1" thickBot="1" x14ac:dyDescent="0.4">
      <c r="B40" s="3" t="s">
        <v>58</v>
      </c>
      <c r="C40" s="21" t="s">
        <v>59</v>
      </c>
      <c r="D40" s="21" t="s">
        <v>60</v>
      </c>
      <c r="E40" s="21" t="s">
        <v>60</v>
      </c>
      <c r="F40" s="21" t="s">
        <v>61</v>
      </c>
      <c r="G40" s="21" t="s">
        <v>62</v>
      </c>
      <c r="H40" s="21" t="s">
        <v>62</v>
      </c>
      <c r="I40" s="21" t="s">
        <v>63</v>
      </c>
      <c r="J40" s="60"/>
    </row>
    <row r="41" spans="2:13" ht="15" thickBot="1" x14ac:dyDescent="0.4">
      <c r="B41" s="3"/>
      <c r="C41" s="21" t="s">
        <v>64</v>
      </c>
      <c r="D41" s="21" t="s">
        <v>65</v>
      </c>
      <c r="E41" s="21" t="s">
        <v>66</v>
      </c>
      <c r="F41" s="21"/>
      <c r="G41" s="21" t="s">
        <v>67</v>
      </c>
      <c r="H41" s="21" t="s">
        <v>68</v>
      </c>
      <c r="I41" s="21"/>
      <c r="J41" s="60"/>
    </row>
    <row r="42" spans="2:13" ht="15" thickBot="1" x14ac:dyDescent="0.4">
      <c r="B42" s="23" t="s">
        <v>87</v>
      </c>
      <c r="C42" s="6"/>
      <c r="D42" s="6"/>
      <c r="E42" s="274">
        <f>SUMIF(SupplyChainTier1[Supply chain group], B42, SupplyChainTier1[Indirect service])</f>
        <v>0</v>
      </c>
      <c r="F42" s="274">
        <f>SUM(E42)</f>
        <v>0</v>
      </c>
      <c r="G42" s="274">
        <f>SUMIF(SupplyChainTier1[Supply chain group], B42, SupplyChainTier1[High])</f>
        <v>0</v>
      </c>
      <c r="H42" s="274">
        <f>SUMIF(SupplyChainTier1[Supply chain group], B42, SupplyChainTier1[Low])</f>
        <v>0</v>
      </c>
      <c r="I42" s="6"/>
      <c r="J42" s="61"/>
    </row>
    <row r="43" spans="2:13" ht="15" thickBot="1" x14ac:dyDescent="0.4">
      <c r="B43" s="23" t="s">
        <v>89</v>
      </c>
      <c r="C43" s="6"/>
      <c r="D43" s="6"/>
      <c r="E43" s="274">
        <f>SUMIF(SupplyChainTier1[Supply chain group], B43, SupplyChainTier1[Indirect service])</f>
        <v>0</v>
      </c>
      <c r="F43" s="274">
        <f t="shared" ref="F43:F60" si="4">SUM(E43)</f>
        <v>0</v>
      </c>
      <c r="G43" s="274">
        <f>SUMIF(SupplyChainTier1[Supply chain group], B43, SupplyChainTier1[High])</f>
        <v>0</v>
      </c>
      <c r="H43" s="274">
        <f>SUMIF(SupplyChainTier1[Supply chain group], B43, SupplyChainTier1[Low])</f>
        <v>0</v>
      </c>
      <c r="I43" s="6"/>
      <c r="J43" s="56"/>
      <c r="L43" s="140"/>
      <c r="M43" s="61"/>
    </row>
    <row r="44" spans="2:13" ht="15" thickBot="1" x14ac:dyDescent="0.4">
      <c r="B44" s="23" t="s">
        <v>90</v>
      </c>
      <c r="C44" s="6"/>
      <c r="D44" s="6"/>
      <c r="E44" s="274">
        <f>SUMIF(SupplyChainTier1[Supply chain group], B44, SupplyChainTier1[Indirect service])</f>
        <v>0</v>
      </c>
      <c r="F44" s="274">
        <f t="shared" si="4"/>
        <v>0</v>
      </c>
      <c r="G44" s="274">
        <f>SUMIF(SupplyChainTier1[Supply chain group], B44, SupplyChainTier1[High])</f>
        <v>0</v>
      </c>
      <c r="H44" s="274">
        <f>SUMIF(SupplyChainTier1[Supply chain group], B44, SupplyChainTier1[Low])</f>
        <v>0</v>
      </c>
      <c r="I44" s="6"/>
      <c r="L44" s="140"/>
      <c r="M44" s="61"/>
    </row>
    <row r="45" spans="2:13" ht="15" thickBot="1" x14ac:dyDescent="0.4">
      <c r="B45" s="23" t="s">
        <v>91</v>
      </c>
      <c r="C45" s="6"/>
      <c r="D45" s="6"/>
      <c r="E45" s="274">
        <f>SUMIF(SupplyChainTier1[Supply chain group], B45, SupplyChainTier1[Indirect service])</f>
        <v>0</v>
      </c>
      <c r="F45" s="274">
        <f t="shared" si="4"/>
        <v>0</v>
      </c>
      <c r="G45" s="274">
        <f>SUMIF(SupplyChainTier1[Supply chain group], B45, SupplyChainTier1[High])</f>
        <v>0</v>
      </c>
      <c r="H45" s="274">
        <f>SUMIF(SupplyChainTier1[Supply chain group], B45, SupplyChainTier1[Low])</f>
        <v>0</v>
      </c>
      <c r="I45" s="6"/>
      <c r="L45" s="140"/>
      <c r="M45" s="61"/>
    </row>
    <row r="46" spans="2:13" ht="22.75" customHeight="1" thickBot="1" x14ac:dyDescent="0.4">
      <c r="B46" s="23" t="s">
        <v>92</v>
      </c>
      <c r="C46" s="6"/>
      <c r="D46" s="6"/>
      <c r="E46" s="274">
        <f>SUMIF(SupplyChainTier1[Supply chain group], B46, SupplyChainTier1[Indirect service])</f>
        <v>0</v>
      </c>
      <c r="F46" s="274">
        <f t="shared" si="4"/>
        <v>0</v>
      </c>
      <c r="G46" s="274">
        <f>SUMIF(SupplyChainTier1[Supply chain group], B46, SupplyChainTier1[High])</f>
        <v>0</v>
      </c>
      <c r="H46" s="274">
        <f>SUMIF(SupplyChainTier1[Supply chain group], B46, SupplyChainTier1[Low])</f>
        <v>0</v>
      </c>
      <c r="I46" s="6"/>
      <c r="L46" s="140"/>
      <c r="M46" s="61"/>
    </row>
    <row r="47" spans="2:13" ht="15" thickBot="1" x14ac:dyDescent="0.4">
      <c r="B47" s="23" t="s">
        <v>93</v>
      </c>
      <c r="C47" s="6"/>
      <c r="D47" s="6"/>
      <c r="E47" s="274">
        <f>SUMIF(SupplyChainTier1[Supply chain group], B47, SupplyChainTier1[Indirect service])</f>
        <v>0</v>
      </c>
      <c r="F47" s="274">
        <f t="shared" si="4"/>
        <v>0</v>
      </c>
      <c r="G47" s="274">
        <f>SUMIF(SupplyChainTier1[Supply chain group], B47, SupplyChainTier1[High])</f>
        <v>0</v>
      </c>
      <c r="H47" s="274">
        <f>SUMIF(SupplyChainTier1[Supply chain group], B47, SupplyChainTier1[Low])</f>
        <v>0</v>
      </c>
      <c r="I47" s="6"/>
      <c r="L47" s="140"/>
      <c r="M47" s="61"/>
    </row>
    <row r="48" spans="2:13" ht="15" thickBot="1" x14ac:dyDescent="0.4">
      <c r="B48" s="23" t="s">
        <v>94</v>
      </c>
      <c r="C48" s="6"/>
      <c r="D48" s="6"/>
      <c r="E48" s="274">
        <f>SUMIF(SupplyChainTier1[Supply chain group], B48, SupplyChainTier1[Indirect service])</f>
        <v>0</v>
      </c>
      <c r="F48" s="274">
        <f t="shared" si="4"/>
        <v>0</v>
      </c>
      <c r="G48" s="274">
        <f>SUMIF(SupplyChainTier1[Supply chain group], B48, SupplyChainTier1[High])</f>
        <v>0</v>
      </c>
      <c r="H48" s="274">
        <f>SUMIF(SupplyChainTier1[Supply chain group], B48, SupplyChainTier1[Low])</f>
        <v>0</v>
      </c>
      <c r="I48" s="6"/>
      <c r="L48" s="140"/>
      <c r="M48" s="61"/>
    </row>
    <row r="49" spans="2:14" ht="15" thickBot="1" x14ac:dyDescent="0.4">
      <c r="B49" s="23" t="s">
        <v>95</v>
      </c>
      <c r="C49" s="6"/>
      <c r="D49" s="6"/>
      <c r="E49" s="274">
        <f>SUMIF(SupplyChainTier1[Supply chain group], B49, SupplyChainTier1[Indirect service])</f>
        <v>0</v>
      </c>
      <c r="F49" s="274">
        <f t="shared" si="4"/>
        <v>0</v>
      </c>
      <c r="G49" s="274">
        <f>SUMIF(SupplyChainTier1[Supply chain group], B49, SupplyChainTier1[High])</f>
        <v>0</v>
      </c>
      <c r="H49" s="274">
        <f>SUMIF(SupplyChainTier1[Supply chain group], B49, SupplyChainTier1[Low])</f>
        <v>0</v>
      </c>
      <c r="I49" s="6"/>
      <c r="L49" s="140"/>
      <c r="M49" s="61"/>
    </row>
    <row r="50" spans="2:14" ht="15" thickBot="1" x14ac:dyDescent="0.4">
      <c r="B50" s="23" t="s">
        <v>96</v>
      </c>
      <c r="C50" s="6"/>
      <c r="D50" s="6"/>
      <c r="E50" s="274">
        <f>SUMIF(SupplyChainTier1[Supply chain group], B50, SupplyChainTier1[Indirect service])</f>
        <v>0</v>
      </c>
      <c r="F50" s="274">
        <f t="shared" si="4"/>
        <v>0</v>
      </c>
      <c r="G50" s="274">
        <f>SUMIF(SupplyChainTier1[Supply chain group], B50, SupplyChainTier1[High])</f>
        <v>0</v>
      </c>
      <c r="H50" s="274">
        <f>SUMIF(SupplyChainTier1[Supply chain group], B50, SupplyChainTier1[Low])</f>
        <v>0</v>
      </c>
      <c r="I50" s="6"/>
      <c r="L50" s="140"/>
      <c r="M50" s="61"/>
    </row>
    <row r="51" spans="2:14" ht="15" thickBot="1" x14ac:dyDescent="0.4">
      <c r="B51" s="23" t="s">
        <v>97</v>
      </c>
      <c r="C51" s="6"/>
      <c r="D51" s="6"/>
      <c r="E51" s="274">
        <f>SUMIF(SupplyChainTier1[Supply chain group], B51, SupplyChainTier1[Indirect service])</f>
        <v>0</v>
      </c>
      <c r="F51" s="274">
        <f t="shared" si="4"/>
        <v>0</v>
      </c>
      <c r="G51" s="274">
        <f>SUMIF(SupplyChainTier1[Supply chain group], B51, SupplyChainTier1[High])</f>
        <v>0</v>
      </c>
      <c r="H51" s="274">
        <f>SUMIF(SupplyChainTier1[Supply chain group], B51, SupplyChainTier1[Low])</f>
        <v>0</v>
      </c>
      <c r="I51" s="6"/>
      <c r="L51" s="140"/>
      <c r="M51" s="61"/>
    </row>
    <row r="52" spans="2:14" ht="15" thickBot="1" x14ac:dyDescent="0.4">
      <c r="B52" s="23" t="s">
        <v>98</v>
      </c>
      <c r="C52" s="6"/>
      <c r="D52" s="6"/>
      <c r="E52" s="274">
        <f>SUMIF(SupplyChainTier1[Supply chain group], B52, SupplyChainTier1[Indirect service])</f>
        <v>0</v>
      </c>
      <c r="F52" s="274">
        <f t="shared" si="4"/>
        <v>0</v>
      </c>
      <c r="G52" s="274">
        <f>SUMIF(SupplyChainTier1[Supply chain group], B52, SupplyChainTier1[High])</f>
        <v>0</v>
      </c>
      <c r="H52" s="274">
        <f>SUMIF(SupplyChainTier1[Supply chain group], B52, SupplyChainTier1[Low])</f>
        <v>0</v>
      </c>
      <c r="I52" s="6"/>
      <c r="K52" s="370"/>
      <c r="L52" s="140"/>
      <c r="M52" s="61"/>
    </row>
    <row r="53" spans="2:14" ht="15" thickBot="1" x14ac:dyDescent="0.4">
      <c r="B53" s="23" t="s">
        <v>99</v>
      </c>
      <c r="C53" s="6"/>
      <c r="D53" s="6"/>
      <c r="E53" s="274">
        <f>SUMIF(SupplyChainTier1[Supply chain group], B53, SupplyChainTier1[Indirect service])</f>
        <v>0</v>
      </c>
      <c r="F53" s="274">
        <f t="shared" si="4"/>
        <v>0</v>
      </c>
      <c r="G53" s="274">
        <f>SUMIF(SupplyChainTier1[Supply chain group], B53, SupplyChainTier1[High])</f>
        <v>0</v>
      </c>
      <c r="H53" s="274">
        <f>SUMIF(SupplyChainTier1[Supply chain group], B53, SupplyChainTier1[Low])</f>
        <v>0</v>
      </c>
      <c r="I53" s="6"/>
      <c r="L53" s="140"/>
      <c r="M53" s="61"/>
    </row>
    <row r="54" spans="2:14" ht="15" thickBot="1" x14ac:dyDescent="0.4">
      <c r="B54" s="23" t="s">
        <v>100</v>
      </c>
      <c r="C54" s="6"/>
      <c r="D54" s="6"/>
      <c r="E54" s="274">
        <f>SUMIF(SupplyChainTier1[Supply chain group], B54, SupplyChainTier1[Indirect service])</f>
        <v>0</v>
      </c>
      <c r="F54" s="274">
        <f t="shared" si="4"/>
        <v>0</v>
      </c>
      <c r="G54" s="274">
        <f>SUMIF(SupplyChainTier1[Supply chain group], B54, SupplyChainTier1[High])</f>
        <v>0</v>
      </c>
      <c r="H54" s="274">
        <f>SUMIF(SupplyChainTier1[Supply chain group], B54, SupplyChainTier1[Low])</f>
        <v>0</v>
      </c>
      <c r="I54" s="6"/>
      <c r="L54" s="140"/>
      <c r="M54" s="61"/>
    </row>
    <row r="55" spans="2:14" ht="15" thickBot="1" x14ac:dyDescent="0.4">
      <c r="B55" s="23" t="s">
        <v>101</v>
      </c>
      <c r="C55" s="6"/>
      <c r="D55" s="6"/>
      <c r="E55" s="274">
        <f>SUMIF(SupplyChainTier1[Supply chain group], B55, SupplyChainTier1[Indirect service])</f>
        <v>0</v>
      </c>
      <c r="F55" s="274">
        <f t="shared" si="4"/>
        <v>0</v>
      </c>
      <c r="G55" s="274">
        <f>SUMIF(SupplyChainTier1[Supply chain group], B55, SupplyChainTier1[High])</f>
        <v>0</v>
      </c>
      <c r="H55" s="274">
        <f>SUMIF(SupplyChainTier1[Supply chain group], B55, SupplyChainTier1[Low])</f>
        <v>0</v>
      </c>
      <c r="I55" s="6"/>
      <c r="L55" s="140"/>
      <c r="M55" s="61"/>
    </row>
    <row r="56" spans="2:14" ht="15" thickBot="1" x14ac:dyDescent="0.4">
      <c r="B56" s="23" t="s">
        <v>102</v>
      </c>
      <c r="C56" s="6"/>
      <c r="D56" s="6"/>
      <c r="E56" s="274">
        <f>SUMIF(SupplyChainTier1[Supply chain group], B56, SupplyChainTier1[Indirect service])</f>
        <v>0</v>
      </c>
      <c r="F56" s="274">
        <f t="shared" si="4"/>
        <v>0</v>
      </c>
      <c r="G56" s="274">
        <f>SUMIF(SupplyChainTier1[Supply chain group], B56, SupplyChainTier1[High])</f>
        <v>0</v>
      </c>
      <c r="H56" s="274">
        <f>SUMIF(SupplyChainTier1[Supply chain group], B56, SupplyChainTier1[Low])</f>
        <v>0</v>
      </c>
      <c r="I56" s="6"/>
      <c r="L56" s="140"/>
      <c r="M56" s="61"/>
    </row>
    <row r="57" spans="2:14" ht="15" thickBot="1" x14ac:dyDescent="0.4">
      <c r="B57" s="23" t="s">
        <v>103</v>
      </c>
      <c r="C57" s="6"/>
      <c r="D57" s="6"/>
      <c r="E57" s="274">
        <f>SUMIF(SupplyChainTier1[Supply chain group], B57, SupplyChainTier1[Indirect service])</f>
        <v>0</v>
      </c>
      <c r="F57" s="274">
        <f t="shared" si="4"/>
        <v>0</v>
      </c>
      <c r="G57" s="274">
        <f>SUMIF(SupplyChainTier1[Supply chain group], B57, SupplyChainTier1[High])</f>
        <v>0</v>
      </c>
      <c r="H57" s="274">
        <f>SUMIF(SupplyChainTier1[Supply chain group], B57, SupplyChainTier1[Low])</f>
        <v>0</v>
      </c>
      <c r="I57" s="6"/>
      <c r="L57" s="140"/>
      <c r="M57" s="61"/>
    </row>
    <row r="58" spans="2:14" ht="15" thickBot="1" x14ac:dyDescent="0.4">
      <c r="B58" s="23" t="s">
        <v>104</v>
      </c>
      <c r="C58" s="6"/>
      <c r="D58" s="6"/>
      <c r="E58" s="274">
        <f>SUMIF(SupplyChainTier1[Supply chain group], B58, SupplyChainTier1[Indirect service])</f>
        <v>0</v>
      </c>
      <c r="F58" s="274">
        <f t="shared" si="4"/>
        <v>0</v>
      </c>
      <c r="G58" s="274">
        <f>SUMIF(SupplyChainTier1[Supply chain group], B58, SupplyChainTier1[High])</f>
        <v>0</v>
      </c>
      <c r="H58" s="274">
        <f>SUMIF(SupplyChainTier1[Supply chain group], B58, SupplyChainTier1[Low])</f>
        <v>0</v>
      </c>
      <c r="I58" s="6"/>
      <c r="L58" s="140"/>
      <c r="M58" s="61"/>
    </row>
    <row r="59" spans="2:14" ht="15" thickBot="1" x14ac:dyDescent="0.4">
      <c r="B59" s="23" t="s">
        <v>105</v>
      </c>
      <c r="C59" s="6"/>
      <c r="D59" s="6"/>
      <c r="E59" s="274">
        <f>SUMIF(SupplyChainTier1[Supply chain group], B59, SupplyChainTier1[Indirect service])</f>
        <v>0</v>
      </c>
      <c r="F59" s="274">
        <f t="shared" si="4"/>
        <v>0</v>
      </c>
      <c r="G59" s="274">
        <f>SUMIF(SupplyChainTier1[Supply chain group], B59, SupplyChainTier1[High])</f>
        <v>0</v>
      </c>
      <c r="H59" s="274">
        <f>SUMIF(SupplyChainTier1[Supply chain group], B59, SupplyChainTier1[Low])</f>
        <v>0</v>
      </c>
      <c r="I59" s="6"/>
      <c r="L59" s="140"/>
      <c r="M59" s="61"/>
    </row>
    <row r="60" spans="2:14" ht="15" thickBot="1" x14ac:dyDescent="0.4">
      <c r="B60" s="23" t="s">
        <v>106</v>
      </c>
      <c r="C60" s="6"/>
      <c r="D60" s="6"/>
      <c r="E60" s="274">
        <f>SUMIF(SupplyChainTier1[Supply chain group], B60, SupplyChainTier1[Indirect service])</f>
        <v>0</v>
      </c>
      <c r="F60" s="274">
        <f t="shared" si="4"/>
        <v>0</v>
      </c>
      <c r="G60" s="274">
        <f>SUMIF(SupplyChainTier1[Supply chain group], B60, SupplyChainTier1[High])</f>
        <v>0</v>
      </c>
      <c r="H60" s="274">
        <f>SUMIF(SupplyChainTier1[Supply chain group], B60, SupplyChainTier1[Low])</f>
        <v>0</v>
      </c>
      <c r="I60" s="6"/>
      <c r="J60" s="11"/>
      <c r="L60" s="141"/>
      <c r="M60" s="67"/>
    </row>
    <row r="61" spans="2:14" ht="26.5" thickBot="1" x14ac:dyDescent="0.4">
      <c r="B61" s="23" t="s">
        <v>107</v>
      </c>
      <c r="C61" s="418"/>
      <c r="D61" s="418"/>
      <c r="E61" s="274">
        <f>SUMIF(SupplyChainTier1[Supply chain group], B61, SupplyChainTier1[Indirect service])</f>
        <v>0</v>
      </c>
      <c r="F61" s="274">
        <f>SUM(E61)</f>
        <v>0</v>
      </c>
      <c r="G61" s="274">
        <f>SUMIF(SupplyChainTier1[Supply chain group], B61, SupplyChainTier1[High])</f>
        <v>0</v>
      </c>
      <c r="H61" s="274">
        <f>SUMIF(SupplyChainTier1[Supply chain group], B61, SupplyChainTier1[Low])</f>
        <v>0</v>
      </c>
      <c r="I61" s="419"/>
      <c r="J61" s="75"/>
      <c r="K61" s="79"/>
      <c r="L61" s="142"/>
      <c r="M61" s="71"/>
      <c r="N61" s="66"/>
    </row>
    <row r="62" spans="2:14" ht="15" thickBot="1" x14ac:dyDescent="0.4">
      <c r="B62" s="27" t="str">
        <f>B39</f>
        <v>Supply chain - Tier 1 and Tier 2 combined</v>
      </c>
      <c r="C62" s="6"/>
      <c r="D62" s="6"/>
      <c r="E62" s="28">
        <f>SUM(E42:E61)</f>
        <v>0</v>
      </c>
      <c r="F62" s="28">
        <f>SUM(F42:F61)</f>
        <v>0</v>
      </c>
      <c r="G62" s="28">
        <f>SUM(G42:G61)</f>
        <v>0</v>
      </c>
      <c r="H62" s="28">
        <f>SUM(H42:H61)</f>
        <v>0</v>
      </c>
      <c r="I62" s="241"/>
      <c r="J62" s="75"/>
      <c r="K62" s="79"/>
      <c r="L62" s="143"/>
      <c r="M62" s="72"/>
      <c r="N62" s="66"/>
    </row>
    <row r="64" spans="2:14" ht="15" customHeight="1" x14ac:dyDescent="0.35"/>
    <row r="65" spans="2:10" ht="18.649999999999999" customHeight="1" thickBot="1" x14ac:dyDescent="0.4">
      <c r="B65" s="37" t="s">
        <v>1143</v>
      </c>
      <c r="C65" s="499" t="s">
        <v>57</v>
      </c>
      <c r="D65" s="500"/>
      <c r="E65" s="500"/>
      <c r="F65" s="500"/>
      <c r="G65" s="500"/>
      <c r="H65" s="500"/>
      <c r="I65" s="500"/>
    </row>
    <row r="66" spans="2:10" ht="15" thickBot="1" x14ac:dyDescent="0.4">
      <c r="B66" s="3" t="s">
        <v>58</v>
      </c>
      <c r="C66" s="21" t="s">
        <v>59</v>
      </c>
      <c r="D66" s="21" t="s">
        <v>60</v>
      </c>
      <c r="E66" s="21" t="s">
        <v>60</v>
      </c>
      <c r="F66" s="21" t="s">
        <v>61</v>
      </c>
      <c r="G66" s="21" t="s">
        <v>62</v>
      </c>
      <c r="H66" s="21" t="s">
        <v>62</v>
      </c>
      <c r="I66" s="21" t="s">
        <v>63</v>
      </c>
    </row>
    <row r="67" spans="2:10" ht="15" thickBot="1" x14ac:dyDescent="0.4">
      <c r="B67" s="3"/>
      <c r="C67" s="21" t="s">
        <v>64</v>
      </c>
      <c r="D67" s="21" t="s">
        <v>65</v>
      </c>
      <c r="E67" s="21" t="s">
        <v>66</v>
      </c>
      <c r="F67" s="21"/>
      <c r="G67" s="21" t="s">
        <v>67</v>
      </c>
      <c r="H67" s="21" t="s">
        <v>68</v>
      </c>
      <c r="I67" s="21"/>
    </row>
    <row r="68" spans="2:10" ht="15" thickBot="1" x14ac:dyDescent="0.4">
      <c r="B68" s="23" t="s">
        <v>77</v>
      </c>
      <c r="C68" s="17">
        <f>SUM(SUMIF(LandTier1Table[Direct],"&gt;0"),SUMIF(LandTier2Table[Direct], "&gt;0"))</f>
        <v>0</v>
      </c>
      <c r="D68" s="17">
        <f>SUM(SUMIF(LandTier1Table[Indirect generation],"&gt;0"),SUMIF(LandTier2Table[Indirect generation], "&gt;0"))</f>
        <v>0</v>
      </c>
      <c r="E68" s="17">
        <f>SUM(SUMIF(LandTier1Table[[Indirect service]:[Indirect WTT]],"&gt;0"),SUMIF(LandTier2Table[[Indirect service]:[Indirect WTT]], "&gt;0"))</f>
        <v>0</v>
      </c>
      <c r="F68" s="25">
        <f>SUM(C68:E68)</f>
        <v>0</v>
      </c>
      <c r="G68" s="236">
        <f>SUM(SUMIF(LandTier1Table[High],"&gt;0"),SUMIF(LandTier2Table[High], "&gt;0"))</f>
        <v>0</v>
      </c>
      <c r="H68" s="17">
        <f>SUM(SUMIF(LandTier1Table[Low],"&gt;0"),SUMIF(LandTier2Table[Low], "&gt;0"))</f>
        <v>0</v>
      </c>
      <c r="I68" s="25">
        <f>SUM(SUMIF(LandTier1Table[Outside of scopes],"&gt;0"),SUMIF(LandTier2Table[Outside of scopes], "&gt;0"))</f>
        <v>0</v>
      </c>
    </row>
    <row r="69" spans="2:10" ht="15" thickBot="1" x14ac:dyDescent="0.4">
      <c r="B69" s="23" t="s">
        <v>1144</v>
      </c>
      <c r="C69" s="17">
        <f>SUM(SUMIF(LandTier1Table[Direct],"&lt;0"),SUMIF(LandTier2Table[Direct], "&lt;0"))</f>
        <v>0</v>
      </c>
      <c r="D69" s="17">
        <f>SUM(SUMIF(LandTier1Table[Indirect generation],"&lt;0"),SUMIF(LandTier2Table[Indirect generation], "&lt;0"))</f>
        <v>0</v>
      </c>
      <c r="E69" s="17">
        <f>SUM(SUMIF(LandTier1Table[[Indirect service]:[Indirect WTT]],"&lt;0"),SUMIF(LandTier2Table[[Indirect service]:[Indirect WTT]], "&lt;0"))</f>
        <v>0</v>
      </c>
      <c r="F69" s="25">
        <f t="shared" ref="F69:F70" si="5">SUM(C69:E69)</f>
        <v>0</v>
      </c>
      <c r="G69" s="43">
        <f>SUM(SUMIF(LandTier1Table[High],"&lt;0"),SUMIF(LandTier2Table[High], "&lt;0"))</f>
        <v>0</v>
      </c>
      <c r="H69" s="43">
        <f>SUM(SUMIF(LandTier1Table[Low],"&lt;0"),SUMIF(LandTier2Table[Low], "&lt;0"))</f>
        <v>0</v>
      </c>
      <c r="I69" s="235">
        <f>SUM(SUMIF(LandTier1Table[Outside of scopes],"&lt;0"),SUMIF(LandTier2Table[Outside of scopes], "&lt;0"))</f>
        <v>0</v>
      </c>
    </row>
    <row r="70" spans="2:10" ht="15" thickBot="1" x14ac:dyDescent="0.4">
      <c r="B70" s="223" t="s">
        <v>152</v>
      </c>
      <c r="C70" s="324">
        <f>SUM(AgricultureTable[Direct])</f>
        <v>0</v>
      </c>
      <c r="D70" s="324">
        <f>SUM(AgricultureTable[Indirect generation])</f>
        <v>0</v>
      </c>
      <c r="E70" s="324">
        <f>SUM(AgricultureTable[[Indirect service]:[Indirect WTT]])</f>
        <v>0</v>
      </c>
      <c r="F70" s="385">
        <f t="shared" si="5"/>
        <v>0</v>
      </c>
      <c r="G70" s="324">
        <f>SUM(AgricultureTable[High])</f>
        <v>0</v>
      </c>
      <c r="H70" s="324">
        <f>SUM(AgricultureTable[Low])</f>
        <v>0</v>
      </c>
      <c r="I70" s="324">
        <f>SUM(AgricultureTable[Outside of scopes])</f>
        <v>0</v>
      </c>
    </row>
    <row r="71" spans="2:10" ht="15" thickBot="1" x14ac:dyDescent="0.4">
      <c r="B71" s="27" t="s">
        <v>1145</v>
      </c>
      <c r="C71" s="28">
        <f>SUM(C68:C70)</f>
        <v>0</v>
      </c>
      <c r="D71" s="28">
        <f t="shared" ref="D71:E71" si="6">SUM(D68:D70)</f>
        <v>0</v>
      </c>
      <c r="E71" s="28">
        <f t="shared" si="6"/>
        <v>0</v>
      </c>
      <c r="F71" s="238">
        <f>SUM(F68:F70)</f>
        <v>0</v>
      </c>
      <c r="G71" s="42">
        <f>SUM(G68:G70)</f>
        <v>0</v>
      </c>
      <c r="H71" s="42">
        <f>SUM(H68:H70)</f>
        <v>0</v>
      </c>
      <c r="I71" s="28">
        <f>SUM(I68:I70)</f>
        <v>0</v>
      </c>
    </row>
    <row r="73" spans="2:10" ht="15" thickBot="1" x14ac:dyDescent="0.4"/>
    <row r="74" spans="2:10" ht="26.5" customHeight="1" thickBot="1" x14ac:dyDescent="0.4">
      <c r="B74" s="37" t="s">
        <v>78</v>
      </c>
      <c r="C74" s="497" t="s">
        <v>79</v>
      </c>
      <c r="D74" s="498"/>
      <c r="E74" s="60"/>
      <c r="F74" s="60"/>
      <c r="G74" s="60"/>
      <c r="H74" s="60"/>
      <c r="I74" s="60"/>
    </row>
    <row r="75" spans="2:10" ht="37.5" customHeight="1" thickBot="1" x14ac:dyDescent="0.4">
      <c r="B75" s="3" t="s">
        <v>58</v>
      </c>
      <c r="C75" s="21" t="s">
        <v>80</v>
      </c>
      <c r="D75" s="21" t="s">
        <v>81</v>
      </c>
      <c r="E75" s="60"/>
      <c r="F75" s="60"/>
      <c r="G75" s="60"/>
      <c r="H75" s="60"/>
      <c r="I75" s="60"/>
    </row>
    <row r="76" spans="2:10" ht="15" thickBot="1" x14ac:dyDescent="0.4">
      <c r="B76" s="3"/>
      <c r="C76" s="21" t="s">
        <v>64</v>
      </c>
      <c r="D76" s="21" t="s">
        <v>65</v>
      </c>
      <c r="E76" s="60"/>
      <c r="F76" s="60"/>
      <c r="G76" s="60"/>
      <c r="H76" s="60"/>
      <c r="I76" s="60"/>
    </row>
    <row r="77" spans="2:10" ht="15" thickBot="1" x14ac:dyDescent="0.4">
      <c r="B77" s="23" t="s">
        <v>82</v>
      </c>
      <c r="C77" s="17">
        <f>SUMIFS(OnsiteRenewablesTable[Total kWh generated],OnsiteRenewablesTable[Renewable Type], "Renewable heat",OnsiteRenewablesTable[Location],"Onsite")</f>
        <v>0</v>
      </c>
      <c r="D77" s="17">
        <f>SUMIFS(OnsiteRenewablesTable[kWh exported to other PSB], OnsiteRenewablesTable[Renewable Type], "Renewable heat", OnsiteRenewablesTable[Location],"Onsite")+SUMIFS(OnsiteRenewablesTable[kWh exported to grid], OnsiteRenewablesTable[Renewable Type], "Renewable heat", OnsiteRenewablesTable[Location],"Onsite")</f>
        <v>0</v>
      </c>
      <c r="E77" s="94"/>
      <c r="F77" s="62"/>
      <c r="G77" s="63"/>
      <c r="H77" s="64"/>
      <c r="I77" s="64"/>
    </row>
    <row r="78" spans="2:10" ht="15" thickBot="1" x14ac:dyDescent="0.4">
      <c r="B78" s="23" t="s">
        <v>83</v>
      </c>
      <c r="C78" s="17">
        <f>SUMIFS(OnsiteRenewablesTable[Total kWh generated],OnsiteRenewablesTable[Renewable Type], "Renewable electricity",OnsiteRenewablesTable[Location],"Onsite")</f>
        <v>0</v>
      </c>
      <c r="D78" s="17">
        <f>SUMIFS(OnsiteRenewablesTable[kWh exported to other PSB], OnsiteRenewablesTable[Renewable Type], "Renewable electricity", OnsiteRenewablesTable[Location],"Onsite")+SUMIFS(OnsiteRenewablesTable[kWh exported to grid], OnsiteRenewablesTable[Renewable Type], "Renewable electricity", OnsiteRenewablesTable[Location],"Onsite")</f>
        <v>0</v>
      </c>
      <c r="E78" s="61"/>
      <c r="F78" s="62"/>
      <c r="G78" s="63"/>
      <c r="H78" s="64"/>
      <c r="I78" s="64"/>
    </row>
    <row r="79" spans="2:10" ht="15" thickBot="1" x14ac:dyDescent="0.4">
      <c r="B79" s="23" t="s">
        <v>1197</v>
      </c>
      <c r="C79" s="17">
        <f>SUMIFS(OnsiteRenewablesTable[Total kWh generated],OnsiteRenewablesTable[Renewable Type], "Renewable electricity",OnsiteRenewablesTable[Location],"Offsite")</f>
        <v>0</v>
      </c>
      <c r="D79" s="17">
        <f>SUMIFS(OnsiteRenewablesTable[kWh exported to other PSB], OnsiteRenewablesTable[Renewable Type], "Renewable electricity", OnsiteRenewablesTable[Location],"Offsite")+SUMIFS(OnsiteRenewablesTable[kWh exported to grid], OnsiteRenewablesTable[Renewable Type], "Renewable electricity", OnsiteRenewablesTable[Location],"Offsite")</f>
        <v>0</v>
      </c>
      <c r="E79" s="67"/>
      <c r="F79" s="68"/>
      <c r="G79" s="69"/>
      <c r="H79" s="70"/>
      <c r="I79" s="70"/>
      <c r="J79" s="11"/>
    </row>
    <row r="80" spans="2:10" ht="15" thickBot="1" x14ac:dyDescent="0.4">
      <c r="B80" s="23" t="s">
        <v>84</v>
      </c>
      <c r="C80" s="17">
        <f>SUMIF(OnsiteRenewablesTable[Renewable Type], "Renewable CHP", OnsiteRenewablesTable[Total kWh generated])</f>
        <v>0</v>
      </c>
      <c r="D80" s="17">
        <f>SUMIF(OnsiteRenewablesTable[Renewable Type], "Renewable CHP", OnsiteRenewablesTable[kWh exported to other PSB])+SUMIF(OnsiteRenewablesTable[Renewable Type], "Renewable CHP", OnsiteRenewablesTable[kWh exported to grid])</f>
        <v>0</v>
      </c>
      <c r="E80" s="67"/>
      <c r="F80" s="68"/>
      <c r="G80" s="69"/>
      <c r="H80" s="70"/>
      <c r="I80" s="70"/>
      <c r="J80" s="74"/>
    </row>
    <row r="81" spans="2:11" ht="15" thickBot="1" x14ac:dyDescent="0.4">
      <c r="B81" s="23" t="s">
        <v>85</v>
      </c>
      <c r="C81" s="17">
        <f>SUMIF(PurchasedRenewablesTable[Renewable Type], "Purchased renewable heat", PurchasedRenewablesTable[Total kWh purchased])</f>
        <v>0</v>
      </c>
      <c r="D81" s="242"/>
      <c r="E81" s="71"/>
      <c r="F81" s="71"/>
      <c r="G81" s="72"/>
      <c r="H81" s="73"/>
      <c r="I81" s="73"/>
      <c r="J81" s="75"/>
      <c r="K81" s="66"/>
    </row>
    <row r="82" spans="2:11" ht="15" thickBot="1" x14ac:dyDescent="0.4">
      <c r="B82" s="23" t="s">
        <v>86</v>
      </c>
      <c r="C82" s="17">
        <f>SUMIF(PurchasedRenewablesTable[Renewable Type], "Purchased renewable electricity", PurchasedRenewablesTable[Total kWh purchased])</f>
        <v>0</v>
      </c>
      <c r="D82" s="242"/>
      <c r="E82" s="71"/>
      <c r="F82" s="71"/>
      <c r="G82" s="72"/>
      <c r="H82" s="73"/>
      <c r="I82" s="73"/>
      <c r="J82" s="75"/>
      <c r="K82" s="66"/>
    </row>
    <row r="83" spans="2:11" x14ac:dyDescent="0.35">
      <c r="B83" s="27" t="str">
        <f>B74</f>
        <v>Renewables</v>
      </c>
      <c r="C83" s="28">
        <f>SUM(C77:C82)</f>
        <v>0</v>
      </c>
      <c r="D83" s="65">
        <f>SUM(D77:D82)</f>
        <v>0</v>
      </c>
      <c r="E83" s="33"/>
      <c r="F83" s="33"/>
      <c r="G83" s="33"/>
      <c r="H83" s="33"/>
      <c r="I83" s="58"/>
      <c r="J83" s="58"/>
    </row>
    <row r="84" spans="2:11" x14ac:dyDescent="0.35">
      <c r="I84" s="56"/>
      <c r="J84" s="56"/>
    </row>
    <row r="85" spans="2:11" x14ac:dyDescent="0.35">
      <c r="I85" s="56"/>
      <c r="J85" s="56"/>
    </row>
    <row r="86" spans="2:11" ht="18.5" x14ac:dyDescent="0.35">
      <c r="B86" s="37"/>
    </row>
    <row r="110" spans="6:13" x14ac:dyDescent="0.35">
      <c r="F110" s="32"/>
      <c r="G110" s="75"/>
      <c r="H110" s="75"/>
      <c r="I110" s="75"/>
      <c r="J110" s="75"/>
      <c r="K110" s="66"/>
      <c r="L110" s="33"/>
      <c r="M110" s="33"/>
    </row>
    <row r="111" spans="6:13" x14ac:dyDescent="0.35">
      <c r="G111" s="33"/>
      <c r="H111" s="33"/>
      <c r="I111" s="33"/>
      <c r="J111" s="33"/>
    </row>
  </sheetData>
  <sheetProtection sheet="1" objects="1" scenarios="1"/>
  <mergeCells count="8">
    <mergeCell ref="C74:D74"/>
    <mergeCell ref="C30:I30"/>
    <mergeCell ref="B3:I3"/>
    <mergeCell ref="C12:I12"/>
    <mergeCell ref="C21:I21"/>
    <mergeCell ref="C39:I39"/>
    <mergeCell ref="C6:I6"/>
    <mergeCell ref="C65:I65"/>
  </mergeCells>
  <dataValidations count="1">
    <dataValidation type="list" allowBlank="1" showInputMessage="1" showErrorMessage="1" sqref="B33:B35 B42:B61 B15:B18 B24:B27 B77:B78 B80:B82" xr:uid="{00000000-0002-0000-0100-000000000000}">
      <formula1>Type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rgb="FF27CCF9"/>
  </sheetPr>
  <dimension ref="A1:AF167"/>
  <sheetViews>
    <sheetView workbookViewId="0">
      <selection activeCell="B1" sqref="B1"/>
    </sheetView>
  </sheetViews>
  <sheetFormatPr defaultColWidth="8.54296875" defaultRowHeight="14.5" outlineLevelRow="1" x14ac:dyDescent="0.35"/>
  <cols>
    <col min="1" max="1" width="3.81640625" style="156" customWidth="1"/>
    <col min="2" max="2" width="27.81640625" style="149" customWidth="1"/>
    <col min="3" max="3" width="29.453125" style="149" customWidth="1"/>
    <col min="4" max="4" width="20.1796875" style="149" customWidth="1"/>
    <col min="5" max="5" width="16.81640625" style="149" customWidth="1"/>
    <col min="6" max="6" width="13.08984375" style="149" customWidth="1"/>
    <col min="7" max="7" width="14.81640625" style="149" customWidth="1"/>
    <col min="8" max="8" width="11.453125" style="149" customWidth="1"/>
    <col min="9" max="9" width="22.81640625" style="149" customWidth="1"/>
    <col min="10" max="10" width="19" style="149" customWidth="1"/>
    <col min="11" max="11" width="19.453125" style="149" customWidth="1"/>
    <col min="12" max="12" width="18.81640625" style="149" customWidth="1"/>
    <col min="13" max="13" width="20.54296875" style="149" customWidth="1"/>
    <col min="14" max="14" width="22.453125" style="149" customWidth="1"/>
    <col min="15" max="15" width="12.1796875" style="149" customWidth="1"/>
    <col min="16" max="16" width="13.1796875" style="149" customWidth="1"/>
    <col min="17" max="17" width="12.1796875" style="149" customWidth="1"/>
    <col min="18" max="18" width="10.81640625" style="149" customWidth="1"/>
    <col min="19" max="19" width="11.54296875" style="149" customWidth="1"/>
    <col min="20" max="20" width="10.54296875" style="149" customWidth="1"/>
    <col min="21" max="22" width="12.90625" style="149" bestFit="1" customWidth="1"/>
    <col min="23" max="23" width="12.81640625" style="149" bestFit="1" customWidth="1"/>
    <col min="24" max="24" width="8.54296875" style="149"/>
    <col min="25" max="25" width="9.08984375" style="1" hidden="1" customWidth="1"/>
    <col min="26" max="26" width="9.6328125" style="1" hidden="1" customWidth="1"/>
    <col min="27" max="27" width="8.54296875" style="149" customWidth="1"/>
    <col min="28" max="28" width="14.453125" style="149" bestFit="1" customWidth="1"/>
    <col min="29" max="16384" width="8.54296875" style="149"/>
  </cols>
  <sheetData>
    <row r="1" spans="1:32" s="1" customFormat="1" ht="15" thickBot="1" x14ac:dyDescent="0.4">
      <c r="A1" s="41"/>
      <c r="D1" s="18"/>
      <c r="N1" s="188" t="s">
        <v>108</v>
      </c>
      <c r="O1" s="520" t="s">
        <v>8</v>
      </c>
      <c r="P1" s="521"/>
      <c r="Q1" s="508" t="s">
        <v>12</v>
      </c>
      <c r="R1" s="509"/>
      <c r="S1" s="66"/>
    </row>
    <row r="2" spans="1:32" s="1" customFormat="1" ht="19" thickBot="1" x14ac:dyDescent="0.4">
      <c r="A2" s="41"/>
      <c r="B2" s="512" t="s">
        <v>109</v>
      </c>
      <c r="C2" s="513"/>
      <c r="D2" s="513"/>
      <c r="E2" s="513"/>
      <c r="F2" s="513"/>
      <c r="G2" s="513"/>
      <c r="H2" s="513"/>
      <c r="I2" s="513"/>
      <c r="J2" s="513"/>
      <c r="K2" s="513"/>
      <c r="L2" s="513"/>
      <c r="M2" s="514"/>
      <c r="N2" s="32"/>
      <c r="O2" s="518" t="s">
        <v>10</v>
      </c>
      <c r="P2" s="519"/>
      <c r="Q2" s="510" t="s">
        <v>13</v>
      </c>
      <c r="R2" s="511"/>
      <c r="S2" s="66"/>
    </row>
    <row r="3" spans="1:32" s="1" customFormat="1" ht="46.75" customHeight="1" thickBot="1" x14ac:dyDescent="0.4">
      <c r="A3" s="41"/>
      <c r="B3" s="515" t="s">
        <v>1119</v>
      </c>
      <c r="C3" s="516"/>
      <c r="D3" s="516"/>
      <c r="E3" s="516"/>
      <c r="F3" s="516"/>
      <c r="G3" s="516"/>
      <c r="H3" s="516"/>
      <c r="I3" s="516"/>
      <c r="J3" s="516"/>
      <c r="K3" s="516"/>
      <c r="L3" s="516"/>
      <c r="M3" s="517"/>
      <c r="O3" s="33"/>
      <c r="P3" s="33"/>
      <c r="Q3" s="33"/>
      <c r="R3" s="33"/>
    </row>
    <row r="4" spans="1:32" s="1" customFormat="1" ht="138" customHeight="1" x14ac:dyDescent="0.35">
      <c r="A4" s="41"/>
      <c r="B4" s="515" t="s">
        <v>1211</v>
      </c>
      <c r="C4" s="516"/>
      <c r="D4" s="516"/>
      <c r="E4" s="516"/>
      <c r="F4" s="516"/>
      <c r="G4" s="516"/>
      <c r="H4" s="516"/>
      <c r="I4" s="516"/>
      <c r="J4" s="516"/>
      <c r="K4" s="516"/>
      <c r="L4" s="516"/>
      <c r="M4" s="516"/>
      <c r="O4" s="18"/>
    </row>
    <row r="5" spans="1:32" s="1" customFormat="1" ht="19" thickBot="1" x14ac:dyDescent="0.5">
      <c r="A5" s="41"/>
      <c r="B5" s="37" t="s">
        <v>110</v>
      </c>
      <c r="C5" s="59"/>
      <c r="D5" s="11"/>
      <c r="E5" s="11"/>
      <c r="F5" s="11"/>
      <c r="G5" s="11"/>
      <c r="H5" s="11"/>
      <c r="I5" s="441" t="str">
        <f>IF($Z$6=0,"No data entered",IF($Y$6=0,"No errors in this table","There are errors in this table see highlighted row(s)"))</f>
        <v>No data entered</v>
      </c>
      <c r="K5" s="11"/>
      <c r="L5"/>
      <c r="M5" s="11"/>
      <c r="N5" s="11"/>
      <c r="O5" s="51" t="s">
        <v>830</v>
      </c>
      <c r="T5" s="56"/>
      <c r="V5" s="11"/>
      <c r="Y5" s="15" t="s">
        <v>1188</v>
      </c>
      <c r="Z5" s="15" t="s">
        <v>1189</v>
      </c>
    </row>
    <row r="6" spans="1:32" s="1" customFormat="1" ht="35.25" customHeight="1" outlineLevel="1" thickBot="1" x14ac:dyDescent="0.4">
      <c r="A6" s="189"/>
      <c r="B6" s="191" t="s">
        <v>1155</v>
      </c>
      <c r="C6" s="190" t="s">
        <v>112</v>
      </c>
      <c r="D6" s="191" t="s">
        <v>113</v>
      </c>
      <c r="E6" s="191" t="s">
        <v>114</v>
      </c>
      <c r="F6" s="191" t="s">
        <v>115</v>
      </c>
      <c r="G6" s="191" t="s">
        <v>116</v>
      </c>
      <c r="H6" s="191" t="s">
        <v>117</v>
      </c>
      <c r="I6" s="191" t="s">
        <v>118</v>
      </c>
      <c r="J6" s="191" t="s">
        <v>119</v>
      </c>
      <c r="K6" s="191" t="s">
        <v>120</v>
      </c>
      <c r="L6" s="191" t="s">
        <v>828</v>
      </c>
      <c r="M6" s="191" t="s">
        <v>829</v>
      </c>
      <c r="N6" s="191" t="s">
        <v>122</v>
      </c>
      <c r="O6" s="191" t="s">
        <v>123</v>
      </c>
      <c r="P6" s="12" t="s">
        <v>59</v>
      </c>
      <c r="Q6" s="12" t="s">
        <v>124</v>
      </c>
      <c r="R6" s="12" t="s">
        <v>125</v>
      </c>
      <c r="S6" s="12" t="s">
        <v>126</v>
      </c>
      <c r="T6" s="12" t="s">
        <v>127</v>
      </c>
      <c r="U6" s="12" t="s">
        <v>67</v>
      </c>
      <c r="V6" s="48" t="s">
        <v>68</v>
      </c>
      <c r="W6" s="317" t="s">
        <v>63</v>
      </c>
      <c r="X6" s="66"/>
      <c r="Y6" s="15">
        <f>SUM(Y7:Y117)</f>
        <v>0</v>
      </c>
      <c r="Z6" s="15">
        <f>SUM(Z7:Z117)</f>
        <v>0</v>
      </c>
      <c r="AB6"/>
      <c r="AC6"/>
      <c r="AD6"/>
      <c r="AE6"/>
      <c r="AF6"/>
    </row>
    <row r="7" spans="1:32" s="1" customFormat="1" ht="15" outlineLevel="1" thickBot="1" x14ac:dyDescent="0.4">
      <c r="A7" s="41"/>
      <c r="B7" s="460"/>
      <c r="C7" s="155"/>
      <c r="D7" s="151"/>
      <c r="E7" s="151"/>
      <c r="F7" s="151"/>
      <c r="G7" s="187" t="str">
        <f>IF(F7="","",INDEX(Lists!$BA$4:$BC$31,MATCH(D7,Lists!$AZ$4:$AZ$31,0),MATCH(F7,Lists!$BA$3:$BC$3,0)))</f>
        <v/>
      </c>
      <c r="H7" s="148"/>
      <c r="I7" s="151"/>
      <c r="J7" s="154" t="str" cm="1">
        <f t="array" ref="J7">IF(OR($D7="",$C7="",$H7="",$I7=""),"",IF(I7=K7,H7,(INDEX('Emission factors'!$K$3:$V$201,MATCH(D7&amp;E7,'Emission factors'!$J$3:$J$201&amp;'Emission factors'!$K$3:$K$201,0),MATCH(J$6,'Emission factors'!$K$2:$V$2,0)))*H7))</f>
        <v/>
      </c>
      <c r="K7" s="192" t="str">
        <f>IF(OR($D7="",$C7="",$H7="",$I7=""),"",INDEX('Emission factors'!$K$3:$V$201,MATCH('Buildings &amp; stationary assets'!$D7,'Emission factors'!$J$3:$J$201,0),MATCH($K$6,'Emission factors'!$K$2:$V$2,0)))</f>
        <v/>
      </c>
      <c r="L7" s="193" t="str" cm="1">
        <f t="array" ref="L7">IF(OR(D7="",H7="",BuildingsTable[[#This Row],[Units]]=""),"",INDEX('Emission factors'!$K$3:$V$201,MATCH('Buildings &amp; stationary assets'!$D7&amp;E7,'Emission factors'!$J$3:$J$201&amp;'Emission factors'!$K$3:$K$201,0),MATCH('Buildings &amp; stationary assets'!$L$6,'Emission factors'!$K$2:$V$2,0)))</f>
        <v/>
      </c>
      <c r="M7" s="287" t="str">
        <f>IF(OR(J7="",L7=""),"",SUM(BuildingsTable[[#This Row],[Direct]:[Indirect WTT]]))</f>
        <v/>
      </c>
      <c r="N7" s="150"/>
      <c r="O7" s="151"/>
      <c r="P7" s="288" t="str" cm="1">
        <f t="array" ref="P7">IF(OR($D7="",$H7=""),"",(INDEX('Emission factors'!$K$3:$V$201,MATCH('Buildings &amp; stationary assets'!$D7&amp;$E7,'Emission factors'!$J$3:$J$201&amp;'Emission factors'!$K$3:$K$201,0),MATCH('Buildings &amp; stationary assets'!P$6,'Emission factors'!$K$2:$V$2,0)))*$J7)</f>
        <v/>
      </c>
      <c r="Q7" s="288" t="str" cm="1">
        <f t="array" ref="Q7">IF(OR($D7="",$H7=""),"",(INDEX('Emission factors'!$K$3:$V$201,MATCH('Buildings &amp; stationary assets'!$D7&amp;$E7,'Emission factors'!$J$3:$J$201&amp;'Emission factors'!$K$3:$K$201,0),MATCH('Buildings &amp; stationary assets'!Q$6,'Emission factors'!$K$2:$V$2,0)))*$J7)</f>
        <v/>
      </c>
      <c r="R7" s="288" t="str" cm="1">
        <f t="array" ref="R7">IF(OR($D7="",$H7=""),"",(INDEX('Emission factors'!$K$3:$V$201,MATCH('Buildings &amp; stationary assets'!$D7&amp;$E7,'Emission factors'!$J$3:$J$201&amp;'Emission factors'!$K$3:$K$201,0),MATCH('Buildings &amp; stationary assets'!R$6,'Emission factors'!$K$2:$V$2,0)))*$J7)</f>
        <v/>
      </c>
      <c r="S7" s="288" t="str" cm="1">
        <f t="array" ref="S7">IF(OR($D7="",$H7=""),"",(INDEX('Emission factors'!$K$3:$V$201,MATCH('Buildings &amp; stationary assets'!$D7&amp;$E7,'Emission factors'!$J$3:$J$201&amp;'Emission factors'!$K$3:$K$201,0),MATCH('Buildings &amp; stationary assets'!S$6,'Emission factors'!$K$2:$V$2,0)))*$J7)</f>
        <v/>
      </c>
      <c r="T7" s="288" t="str" cm="1">
        <f t="array" ref="T7">IF(OR($D7="",$H7=""),"",(INDEX('Emission factors'!$K$3:$V$201,MATCH('Buildings &amp; stationary assets'!$D7&amp;$E7,'Emission factors'!$J$3:$J$201&amp;'Emission factors'!$K$3:$K$201,0),MATCH('Buildings &amp; stationary assets'!T$6,'Emission factors'!$K$2:$V$2,0)))*$J7)</f>
        <v/>
      </c>
      <c r="U7" s="289" t="str">
        <f>IF(OR($M7="",BuildingsTable[[#This Row],[RSD]]=""),"",BuildingsTable[[#This Row],[Total emissions (kgCO2e)]]*(1+BuildingsTable[[#This Row],[RSD]]))</f>
        <v/>
      </c>
      <c r="V7" s="290" t="str">
        <f>IF(OR($M7="",BuildingsTable[[#This Row],[RSD]]=""),"",BuildingsTable[[#This Row],[Total emissions (kgCO2e)]]*(1-BuildingsTable[[#This Row],[RSD]]))</f>
        <v/>
      </c>
      <c r="W7" s="320" t="str" cm="1">
        <f t="array" ref="W7">IF(OR($D7="",$H7=""),"",(INDEX('Emission factors'!$K$3:$V$201,MATCH('Buildings &amp; stationary assets'!$D7&amp;$E7,'Emission factors'!$J$3:$J$201&amp;'Emission factors'!$K$3:$K$201,0),MATCH('Buildings &amp; stationary assets'!W$6,'Emission factors'!$K$2:$V$2,0)))*$J7)</f>
        <v/>
      </c>
      <c r="X7" s="66"/>
      <c r="Y7" s="1" cm="1">
        <f t="array" ref="Y7">IF(OR(ISERROR(B7:W7)),1,0)</f>
        <v>0</v>
      </c>
      <c r="Z7" s="1">
        <f>IF(AND(D7="",H7="",I7=""),0,1)</f>
        <v>0</v>
      </c>
    </row>
    <row r="8" spans="1:32" s="1" customFormat="1" ht="15" outlineLevel="1" thickBot="1" x14ac:dyDescent="0.4">
      <c r="A8" s="189"/>
      <c r="B8" s="460"/>
      <c r="C8" s="155"/>
      <c r="D8" s="151"/>
      <c r="E8" s="151"/>
      <c r="F8" s="151"/>
      <c r="G8" s="187" t="str">
        <f>IF(F8="","",INDEX(Lists!$BA$4:$BC$31,MATCH(D8,Lists!$AZ$4:$AZ$31,0),MATCH(F8,Lists!$BA$3:$BC$3,0)))</f>
        <v/>
      </c>
      <c r="H8" s="148"/>
      <c r="I8" s="151"/>
      <c r="J8" s="154" t="str" cm="1">
        <f t="array" ref="J8">IF(OR($D8="",$C8="",$H8="",$I8=""),"",IF(I8=K8,H8,(INDEX('Emission factors'!$K$3:$V$201,MATCH(D8&amp;E8,'Emission factors'!$J$3:$J$201&amp;'Emission factors'!$K$3:$K$201,0),MATCH(J$6,'Emission factors'!$K$2:$V$2,0)))*H8))</f>
        <v/>
      </c>
      <c r="K8" s="192" t="str">
        <f>IF(OR($D8="",$C8="",$H8="",$I8=""),"",INDEX('Emission factors'!$K$3:$V$201,MATCH('Buildings &amp; stationary assets'!$D8,'Emission factors'!$J$3:$J$201,0),MATCH($K$6,'Emission factors'!$K$2:$V$2,0)))</f>
        <v/>
      </c>
      <c r="L8" s="193" t="str" cm="1">
        <f t="array" ref="L8">IF(OR(D8="",H8="",BuildingsTable[[#This Row],[Units]]=""),"",INDEX('Emission factors'!$K$3:$V$201,MATCH('Buildings &amp; stationary assets'!$D8&amp;E8,'Emission factors'!$J$3:$J$201&amp;'Emission factors'!$K$3:$K$201,0),MATCH('Buildings &amp; stationary assets'!$L$6,'Emission factors'!$K$2:$V$2,0)))</f>
        <v/>
      </c>
      <c r="M8" s="287" t="str">
        <f>IF(OR(J8="",L8=""),"",SUM(BuildingsTable[[#This Row],[Direct]:[Indirect WTT]]))</f>
        <v/>
      </c>
      <c r="N8" s="150"/>
      <c r="O8" s="151"/>
      <c r="P8" s="288" t="str" cm="1">
        <f t="array" ref="P8">IF(OR($D8="",$H8=""),"",(INDEX('Emission factors'!$K$3:$V$201,MATCH('Buildings &amp; stationary assets'!$D8&amp;$E8,'Emission factors'!$J$3:$J$201&amp;'Emission factors'!$K$3:$K$201,0),MATCH('Buildings &amp; stationary assets'!P$6,'Emission factors'!$K$2:$V$2,0)))*$J8)</f>
        <v/>
      </c>
      <c r="Q8" s="288" t="str" cm="1">
        <f t="array" ref="Q8">IF(OR($D8="",$H8=""),"",(INDEX('Emission factors'!$K$3:$V$201,MATCH('Buildings &amp; stationary assets'!$D8&amp;$E8,'Emission factors'!$J$3:$J$201&amp;'Emission factors'!$K$3:$K$201,0),MATCH('Buildings &amp; stationary assets'!Q$6,'Emission factors'!$K$2:$V$2,0)))*$J8)</f>
        <v/>
      </c>
      <c r="R8" s="288" t="str" cm="1">
        <f t="array" ref="R8">IF(OR($D8="",$H8=""),"",(INDEX('Emission factors'!$K$3:$V$201,MATCH('Buildings &amp; stationary assets'!$D8&amp;$E8,'Emission factors'!$J$3:$J$201&amp;'Emission factors'!$K$3:$K$201,0),MATCH('Buildings &amp; stationary assets'!R$6,'Emission factors'!$K$2:$V$2,0)))*$J8)</f>
        <v/>
      </c>
      <c r="S8" s="288" t="str" cm="1">
        <f t="array" ref="S8">IF(OR($D8="",$H8=""),"",(INDEX('Emission factors'!$K$3:$V$201,MATCH('Buildings &amp; stationary assets'!$D8&amp;$E8,'Emission factors'!$J$3:$J$201&amp;'Emission factors'!$K$3:$K$201,0),MATCH('Buildings &amp; stationary assets'!S$6,'Emission factors'!$K$2:$V$2,0)))*$J8)</f>
        <v/>
      </c>
      <c r="T8" s="288" t="str" cm="1">
        <f t="array" ref="T8">IF(OR($D8="",$H8=""),"",(INDEX('Emission factors'!$K$3:$V$201,MATCH('Buildings &amp; stationary assets'!$D8&amp;$E8,'Emission factors'!$J$3:$J$201&amp;'Emission factors'!$K$3:$K$201,0),MATCH('Buildings &amp; stationary assets'!T$6,'Emission factors'!$K$2:$V$2,0)))*$J8)</f>
        <v/>
      </c>
      <c r="U8" s="289" t="str">
        <f>IF(OR($M8="",BuildingsTable[[#This Row],[RSD]]=""),"",BuildingsTable[[#This Row],[Total emissions (kgCO2e)]]*(1+BuildingsTable[[#This Row],[RSD]]))</f>
        <v/>
      </c>
      <c r="V8" s="290" t="str">
        <f>IF(OR($M8="",BuildingsTable[[#This Row],[RSD]]=""),"",BuildingsTable[[#This Row],[Total emissions (kgCO2e)]]*(1-BuildingsTable[[#This Row],[RSD]]))</f>
        <v/>
      </c>
      <c r="W8" s="320" t="str" cm="1">
        <f t="array" ref="W8">IF(OR($D8="",$H8=""),"",(INDEX('Emission factors'!$K$3:$V$201,MATCH('Buildings &amp; stationary assets'!$D8&amp;$E8,'Emission factors'!$J$3:$J$201&amp;'Emission factors'!$K$3:$K$201,0),MATCH('Buildings &amp; stationary assets'!W$6,'Emission factors'!$K$2:$V$2,0)))*$J8)</f>
        <v/>
      </c>
      <c r="X8" s="66"/>
      <c r="Y8" s="1" cm="1">
        <f t="array" ref="Y8">IF(OR(ISERROR(B8:W8)),1,0)</f>
        <v>0</v>
      </c>
      <c r="Z8" s="1">
        <f t="shared" ref="Z8:Z71" si="0">IF(AND(D8="",H8="",I8=""),0,1)</f>
        <v>0</v>
      </c>
    </row>
    <row r="9" spans="1:32" s="1" customFormat="1" ht="15" outlineLevel="1" thickBot="1" x14ac:dyDescent="0.4">
      <c r="A9" s="189"/>
      <c r="B9" s="460"/>
      <c r="C9" s="155"/>
      <c r="D9" s="151"/>
      <c r="E9" s="151"/>
      <c r="F9" s="151"/>
      <c r="G9" s="187" t="str">
        <f>IF(F9="","",INDEX(Lists!$BA$4:$BC$31,MATCH(D9,Lists!$AZ$4:$AZ$31,0),MATCH(F9,Lists!$BA$3:$BC$3,0)))</f>
        <v/>
      </c>
      <c r="H9" s="148"/>
      <c r="I9" s="151"/>
      <c r="J9" s="154" t="str" cm="1">
        <f t="array" ref="J9">IF(OR($D9="",$C9="",$H9="",$I9=""),"",IF(I9=K9,H9,(INDEX('Emission factors'!$K$3:$V$201,MATCH(D9&amp;E9,'Emission factors'!$J$3:$J$201&amp;'Emission factors'!$K$3:$K$201,0),MATCH(J$6,'Emission factors'!$K$2:$V$2,0)))*H9))</f>
        <v/>
      </c>
      <c r="K9" s="192" t="str">
        <f>IF(OR($D9="",$C9="",$H9="",$I9=""),"",INDEX('Emission factors'!$K$3:$V$201,MATCH('Buildings &amp; stationary assets'!$D9,'Emission factors'!$J$3:$J$201,0),MATCH($K$6,'Emission factors'!$K$2:$V$2,0)))</f>
        <v/>
      </c>
      <c r="L9" s="193" t="str" cm="1">
        <f t="array" ref="L9">IF(OR(D9="",H9="",BuildingsTable[[#This Row],[Units]]=""),"",INDEX('Emission factors'!$K$3:$V$201,MATCH('Buildings &amp; stationary assets'!$D9&amp;E9,'Emission factors'!$J$3:$J$201&amp;'Emission factors'!$K$3:$K$201,0),MATCH('Buildings &amp; stationary assets'!$L$6,'Emission factors'!$K$2:$V$2,0)))</f>
        <v/>
      </c>
      <c r="M9" s="287" t="str">
        <f>IF(OR(J9="",L9=""),"",SUM(BuildingsTable[[#This Row],[Direct]:[Indirect WTT]]))</f>
        <v/>
      </c>
      <c r="N9" s="150"/>
      <c r="O9" s="151"/>
      <c r="P9" s="288" t="str" cm="1">
        <f t="array" ref="P9">IF(OR($D9="",$H9=""),"",(INDEX('Emission factors'!$K$3:$V$201,MATCH('Buildings &amp; stationary assets'!$D9&amp;$E9,'Emission factors'!$J$3:$J$201&amp;'Emission factors'!$K$3:$K$201,0),MATCH('Buildings &amp; stationary assets'!P$6,'Emission factors'!$K$2:$V$2,0)))*$J9)</f>
        <v/>
      </c>
      <c r="Q9" s="288" t="str" cm="1">
        <f t="array" ref="Q9">IF(OR($D9="",$H9=""),"",(INDEX('Emission factors'!$K$3:$V$201,MATCH('Buildings &amp; stationary assets'!$D9&amp;$E9,'Emission factors'!$J$3:$J$201&amp;'Emission factors'!$K$3:$K$201,0),MATCH('Buildings &amp; stationary assets'!Q$6,'Emission factors'!$K$2:$V$2,0)))*$J9)</f>
        <v/>
      </c>
      <c r="R9" s="288" t="str" cm="1">
        <f t="array" ref="R9">IF(OR($D9="",$H9=""),"",(INDEX('Emission factors'!$K$3:$V$201,MATCH('Buildings &amp; stationary assets'!$D9&amp;$E9,'Emission factors'!$J$3:$J$201&amp;'Emission factors'!$K$3:$K$201,0),MATCH('Buildings &amp; stationary assets'!R$6,'Emission factors'!$K$2:$V$2,0)))*$J9)</f>
        <v/>
      </c>
      <c r="S9" s="288" t="str" cm="1">
        <f t="array" ref="S9">IF(OR($D9="",$H9=""),"",(INDEX('Emission factors'!$K$3:$V$201,MATCH('Buildings &amp; stationary assets'!$D9&amp;$E9,'Emission factors'!$J$3:$J$201&amp;'Emission factors'!$K$3:$K$201,0),MATCH('Buildings &amp; stationary assets'!S$6,'Emission factors'!$K$2:$V$2,0)))*$J9)</f>
        <v/>
      </c>
      <c r="T9" s="288" t="str" cm="1">
        <f t="array" ref="T9">IF(OR($D9="",$H9=""),"",(INDEX('Emission factors'!$K$3:$V$201,MATCH('Buildings &amp; stationary assets'!$D9&amp;$E9,'Emission factors'!$J$3:$J$201&amp;'Emission factors'!$K$3:$K$201,0),MATCH('Buildings &amp; stationary assets'!T$6,'Emission factors'!$K$2:$V$2,0)))*$J9)</f>
        <v/>
      </c>
      <c r="U9" s="289" t="str">
        <f>IF(OR($M9="",BuildingsTable[[#This Row],[RSD]]=""),"",BuildingsTable[[#This Row],[Total emissions (kgCO2e)]]*(1+BuildingsTable[[#This Row],[RSD]]))</f>
        <v/>
      </c>
      <c r="V9" s="290" t="str">
        <f>IF(OR($M9="",BuildingsTable[[#This Row],[RSD]]=""),"",BuildingsTable[[#This Row],[Total emissions (kgCO2e)]]*(1-BuildingsTable[[#This Row],[RSD]]))</f>
        <v/>
      </c>
      <c r="W9" s="320" t="str" cm="1">
        <f t="array" ref="W9">IF(OR($D9="",$H9=""),"",(INDEX('Emission factors'!$K$3:$V$201,MATCH('Buildings &amp; stationary assets'!$D9&amp;$E9,'Emission factors'!$J$3:$J$201&amp;'Emission factors'!$K$3:$K$201,0),MATCH('Buildings &amp; stationary assets'!W$6,'Emission factors'!$K$2:$V$2,0)))*$J9)</f>
        <v/>
      </c>
      <c r="X9" s="66"/>
      <c r="Y9" s="1" cm="1">
        <f t="array" ref="Y9">IF(OR(ISERROR(B9:W9)),1,0)</f>
        <v>0</v>
      </c>
      <c r="Z9" s="1">
        <f t="shared" si="0"/>
        <v>0</v>
      </c>
    </row>
    <row r="10" spans="1:32" s="1" customFormat="1" ht="15" outlineLevel="1" thickBot="1" x14ac:dyDescent="0.4">
      <c r="A10" s="189"/>
      <c r="B10" s="460"/>
      <c r="C10" s="155"/>
      <c r="D10" s="151"/>
      <c r="E10" s="151"/>
      <c r="F10" s="151"/>
      <c r="G10" s="187" t="str">
        <f>IF(F10="","",INDEX(Lists!$BA$4:$BC$31,MATCH(D10,Lists!$AZ$4:$AZ$31,0),MATCH(F10,Lists!$BA$3:$BC$3,0)))</f>
        <v/>
      </c>
      <c r="H10" s="148"/>
      <c r="I10" s="151"/>
      <c r="J10" s="154" t="str" cm="1">
        <f t="array" ref="J10">IF(OR($D10="",$C10="",$H10="",$I10=""),"",IF(I10=K10,H10,(INDEX('Emission factors'!$K$3:$V$201,MATCH(D10&amp;E10,'Emission factors'!$J$3:$J$201&amp;'Emission factors'!$K$3:$K$201,0),MATCH(J$6,'Emission factors'!$K$2:$V$2,0)))*H10))</f>
        <v/>
      </c>
      <c r="K10" s="192" t="str">
        <f>IF(OR($D10="",$C10="",$H10="",$I10=""),"",INDEX('Emission factors'!$K$3:$V$201,MATCH('Buildings &amp; stationary assets'!$D10,'Emission factors'!$J$3:$J$201,0),MATCH($K$6,'Emission factors'!$K$2:$V$2,0)))</f>
        <v/>
      </c>
      <c r="L10" s="193" t="str" cm="1">
        <f t="array" ref="L10">IF(OR(D10="",H10="",BuildingsTable[[#This Row],[Units]]=""),"",INDEX('Emission factors'!$K$3:$V$201,MATCH('Buildings &amp; stationary assets'!$D10&amp;E10,'Emission factors'!$J$3:$J$201&amp;'Emission factors'!$K$3:$K$201,0),MATCH('Buildings &amp; stationary assets'!$L$6,'Emission factors'!$K$2:$V$2,0)))</f>
        <v/>
      </c>
      <c r="M10" s="287" t="str">
        <f>IF(OR(J10="",L10=""),"",SUM(BuildingsTable[[#This Row],[Direct]:[Indirect WTT]]))</f>
        <v/>
      </c>
      <c r="N10" s="150"/>
      <c r="O10" s="151"/>
      <c r="P10" s="288" t="str" cm="1">
        <f t="array" ref="P10">IF(OR($D10="",$H10=""),"",(INDEX('Emission factors'!$K$3:$V$201,MATCH('Buildings &amp; stationary assets'!$D10&amp;$E10,'Emission factors'!$J$3:$J$201&amp;'Emission factors'!$K$3:$K$201,0),MATCH('Buildings &amp; stationary assets'!P$6,'Emission factors'!$K$2:$V$2,0)))*$J10)</f>
        <v/>
      </c>
      <c r="Q10" s="288" t="str" cm="1">
        <f t="array" ref="Q10">IF(OR($D10="",$H10=""),"",(INDEX('Emission factors'!$K$3:$V$201,MATCH('Buildings &amp; stationary assets'!$D10&amp;$E10,'Emission factors'!$J$3:$J$201&amp;'Emission factors'!$K$3:$K$201,0),MATCH('Buildings &amp; stationary assets'!Q$6,'Emission factors'!$K$2:$V$2,0)))*$J10)</f>
        <v/>
      </c>
      <c r="R10" s="288" t="str" cm="1">
        <f t="array" ref="R10">IF(OR($D10="",$H10=""),"",(INDEX('Emission factors'!$K$3:$V$201,MATCH('Buildings &amp; stationary assets'!$D10&amp;$E10,'Emission factors'!$J$3:$J$201&amp;'Emission factors'!$K$3:$K$201,0),MATCH('Buildings &amp; stationary assets'!R$6,'Emission factors'!$K$2:$V$2,0)))*$J10)</f>
        <v/>
      </c>
      <c r="S10" s="288" t="str" cm="1">
        <f t="array" ref="S10">IF(OR($D10="",$H10=""),"",(INDEX('Emission factors'!$K$3:$V$201,MATCH('Buildings &amp; stationary assets'!$D10&amp;$E10,'Emission factors'!$J$3:$J$201&amp;'Emission factors'!$K$3:$K$201,0),MATCH('Buildings &amp; stationary assets'!S$6,'Emission factors'!$K$2:$V$2,0)))*$J10)</f>
        <v/>
      </c>
      <c r="T10" s="288" t="str" cm="1">
        <f t="array" ref="T10">IF(OR($D10="",$H10=""),"",(INDEX('Emission factors'!$K$3:$V$201,MATCH('Buildings &amp; stationary assets'!$D10&amp;$E10,'Emission factors'!$J$3:$J$201&amp;'Emission factors'!$K$3:$K$201,0),MATCH('Buildings &amp; stationary assets'!T$6,'Emission factors'!$K$2:$V$2,0)))*$J10)</f>
        <v/>
      </c>
      <c r="U10" s="289" t="str">
        <f>IF(OR($M10="",BuildingsTable[[#This Row],[RSD]]=""),"",BuildingsTable[[#This Row],[Total emissions (kgCO2e)]]*(1+BuildingsTable[[#This Row],[RSD]]))</f>
        <v/>
      </c>
      <c r="V10" s="290" t="str">
        <f>IF(OR($M10="",BuildingsTable[[#This Row],[RSD]]=""),"",BuildingsTable[[#This Row],[Total emissions (kgCO2e)]]*(1-BuildingsTable[[#This Row],[RSD]]))</f>
        <v/>
      </c>
      <c r="W10" s="320" t="str" cm="1">
        <f t="array" ref="W10">IF(OR($D10="",$H10=""),"",(INDEX('Emission factors'!$K$3:$V$201,MATCH('Buildings &amp; stationary assets'!$D10&amp;$E10,'Emission factors'!$J$3:$J$201&amp;'Emission factors'!$K$3:$K$201,0),MATCH('Buildings &amp; stationary assets'!W$6,'Emission factors'!$K$2:$V$2,0)))*$J10)</f>
        <v/>
      </c>
      <c r="X10" s="66"/>
      <c r="Y10" s="1" cm="1">
        <f t="array" ref="Y10">IF(OR(ISERROR(B10:W10)),1,0)</f>
        <v>0</v>
      </c>
      <c r="Z10" s="1">
        <f t="shared" si="0"/>
        <v>0</v>
      </c>
    </row>
    <row r="11" spans="1:32" s="1" customFormat="1" ht="15" outlineLevel="1" thickBot="1" x14ac:dyDescent="0.4">
      <c r="A11" s="189"/>
      <c r="B11" s="460"/>
      <c r="C11" s="155"/>
      <c r="D11" s="151"/>
      <c r="E11" s="151"/>
      <c r="F11" s="151"/>
      <c r="G11" s="187" t="str">
        <f>IF(F11="","",INDEX(Lists!$BA$4:$BC$31,MATCH(D11,Lists!$AZ$4:$AZ$31,0),MATCH(F11,Lists!$BA$3:$BC$3,0)))</f>
        <v/>
      </c>
      <c r="H11" s="148"/>
      <c r="I11" s="151"/>
      <c r="J11" s="154" t="str" cm="1">
        <f t="array" ref="J11">IF(OR($D11="",$C11="",$H11="",$I11=""),"",IF(I11=K11,H11,(INDEX('Emission factors'!$K$3:$V$201,MATCH(D11&amp;E11,'Emission factors'!$J$3:$J$201&amp;'Emission factors'!$K$3:$K$201,0),MATCH(J$6,'Emission factors'!$K$2:$V$2,0)))*H11))</f>
        <v/>
      </c>
      <c r="K11" s="192" t="str">
        <f>IF(OR($D11="",$C11="",$H11="",$I11=""),"",INDEX('Emission factors'!$K$3:$V$201,MATCH('Buildings &amp; stationary assets'!$D11,'Emission factors'!$J$3:$J$201,0),MATCH($K$6,'Emission factors'!$K$2:$V$2,0)))</f>
        <v/>
      </c>
      <c r="L11" s="193" t="str" cm="1">
        <f t="array" ref="L11">IF(OR(D11="",H11="",BuildingsTable[[#This Row],[Units]]=""),"",INDEX('Emission factors'!$K$3:$V$201,MATCH('Buildings &amp; stationary assets'!$D11&amp;E11,'Emission factors'!$J$3:$J$201&amp;'Emission factors'!$K$3:$K$201,0),MATCH('Buildings &amp; stationary assets'!$L$6,'Emission factors'!$K$2:$V$2,0)))</f>
        <v/>
      </c>
      <c r="M11" s="287" t="str">
        <f>IF(OR(J11="",L11=""),"",SUM(BuildingsTable[[#This Row],[Direct]:[Indirect WTT]]))</f>
        <v/>
      </c>
      <c r="N11" s="150"/>
      <c r="O11" s="151"/>
      <c r="P11" s="288" t="str" cm="1">
        <f t="array" ref="P11">IF(OR($D11="",$H11=""),"",(INDEX('Emission factors'!$K$3:$V$201,MATCH('Buildings &amp; stationary assets'!$D11&amp;$E11,'Emission factors'!$J$3:$J$201&amp;'Emission factors'!$K$3:$K$201,0),MATCH('Buildings &amp; stationary assets'!P$6,'Emission factors'!$K$2:$V$2,0)))*$J11)</f>
        <v/>
      </c>
      <c r="Q11" s="288" t="str" cm="1">
        <f t="array" ref="Q11">IF(OR($D11="",$H11=""),"",(INDEX('Emission factors'!$K$3:$V$201,MATCH('Buildings &amp; stationary assets'!$D11&amp;$E11,'Emission factors'!$J$3:$J$201&amp;'Emission factors'!$K$3:$K$201,0),MATCH('Buildings &amp; stationary assets'!Q$6,'Emission factors'!$K$2:$V$2,0)))*$J11)</f>
        <v/>
      </c>
      <c r="R11" s="288" t="str" cm="1">
        <f t="array" ref="R11">IF(OR($D11="",$H11=""),"",(INDEX('Emission factors'!$K$3:$V$201,MATCH('Buildings &amp; stationary assets'!$D11&amp;$E11,'Emission factors'!$J$3:$J$201&amp;'Emission factors'!$K$3:$K$201,0),MATCH('Buildings &amp; stationary assets'!R$6,'Emission factors'!$K$2:$V$2,0)))*$J11)</f>
        <v/>
      </c>
      <c r="S11" s="288" t="str" cm="1">
        <f t="array" ref="S11">IF(OR($D11="",$H11=""),"",(INDEX('Emission factors'!$K$3:$V$201,MATCH('Buildings &amp; stationary assets'!$D11&amp;$E11,'Emission factors'!$J$3:$J$201&amp;'Emission factors'!$K$3:$K$201,0),MATCH('Buildings &amp; stationary assets'!S$6,'Emission factors'!$K$2:$V$2,0)))*$J11)</f>
        <v/>
      </c>
      <c r="T11" s="288" t="str" cm="1">
        <f t="array" ref="T11">IF(OR($D11="",$H11=""),"",(INDEX('Emission factors'!$K$3:$V$201,MATCH('Buildings &amp; stationary assets'!$D11&amp;$E11,'Emission factors'!$J$3:$J$201&amp;'Emission factors'!$K$3:$K$201,0),MATCH('Buildings &amp; stationary assets'!T$6,'Emission factors'!$K$2:$V$2,0)))*$J11)</f>
        <v/>
      </c>
      <c r="U11" s="289" t="str">
        <f>IF(OR($M11="",BuildingsTable[[#This Row],[RSD]]=""),"",BuildingsTable[[#This Row],[Total emissions (kgCO2e)]]*(1+BuildingsTable[[#This Row],[RSD]]))</f>
        <v/>
      </c>
      <c r="V11" s="290" t="str">
        <f>IF(OR($M11="",BuildingsTable[[#This Row],[RSD]]=""),"",BuildingsTable[[#This Row],[Total emissions (kgCO2e)]]*(1-BuildingsTable[[#This Row],[RSD]]))</f>
        <v/>
      </c>
      <c r="W11" s="320" t="str" cm="1">
        <f t="array" ref="W11">IF(OR($D11="",$H11=""),"",(INDEX('Emission factors'!$K$3:$V$201,MATCH('Buildings &amp; stationary assets'!$D11&amp;$E11,'Emission factors'!$J$3:$J$201&amp;'Emission factors'!$K$3:$K$201,0),MATCH('Buildings &amp; stationary assets'!W$6,'Emission factors'!$K$2:$V$2,0)))*$J11)</f>
        <v/>
      </c>
      <c r="X11" s="66"/>
      <c r="Y11" s="1" cm="1">
        <f t="array" ref="Y11">IF(OR(ISERROR(B11:W11)),1,0)</f>
        <v>0</v>
      </c>
      <c r="Z11" s="1">
        <f t="shared" si="0"/>
        <v>0</v>
      </c>
    </row>
    <row r="12" spans="1:32" s="1" customFormat="1" ht="15" outlineLevel="1" thickBot="1" x14ac:dyDescent="0.4">
      <c r="A12" s="189"/>
      <c r="B12" s="460"/>
      <c r="C12" s="155"/>
      <c r="D12" s="151"/>
      <c r="E12" s="151"/>
      <c r="F12" s="151"/>
      <c r="G12" s="187" t="str">
        <f>IF(F12="","",INDEX(Lists!$BA$4:$BC$31,MATCH(D12,Lists!$AZ$4:$AZ$31,0),MATCH(F12,Lists!$BA$3:$BC$3,0)))</f>
        <v/>
      </c>
      <c r="H12" s="148"/>
      <c r="I12" s="151"/>
      <c r="J12" s="154" t="str" cm="1">
        <f t="array" ref="J12">IF(OR($D12="",$C12="",$H12="",$I12=""),"",IF(I12=K12,H12,(INDEX('Emission factors'!$K$3:$V$201,MATCH(D12&amp;E12,'Emission factors'!$J$3:$J$201&amp;'Emission factors'!$K$3:$K$201,0),MATCH(J$6,'Emission factors'!$K$2:$V$2,0)))*H12))</f>
        <v/>
      </c>
      <c r="K12" s="192" t="str">
        <f>IF(OR($D12="",$C12="",$H12="",$I12=""),"",INDEX('Emission factors'!$K$3:$V$201,MATCH('Buildings &amp; stationary assets'!$D12,'Emission factors'!$J$3:$J$201,0),MATCH($K$6,'Emission factors'!$K$2:$V$2,0)))</f>
        <v/>
      </c>
      <c r="L12" s="193" t="str" cm="1">
        <f t="array" ref="L12">IF(OR(D12="",H12="",BuildingsTable[[#This Row],[Units]]=""),"",INDEX('Emission factors'!$K$3:$V$201,MATCH('Buildings &amp; stationary assets'!$D12&amp;E12,'Emission factors'!$J$3:$J$201&amp;'Emission factors'!$K$3:$K$201,0),MATCH('Buildings &amp; stationary assets'!$L$6,'Emission factors'!$K$2:$V$2,0)))</f>
        <v/>
      </c>
      <c r="M12" s="287" t="str">
        <f>IF(OR(J12="",L12=""),"",SUM(BuildingsTable[[#This Row],[Direct]:[Indirect WTT]]))</f>
        <v/>
      </c>
      <c r="N12" s="150"/>
      <c r="O12" s="151"/>
      <c r="P12" s="288" t="str" cm="1">
        <f t="array" ref="P12">IF(OR($D12="",$H12=""),"",(INDEX('Emission factors'!$K$3:$V$201,MATCH('Buildings &amp; stationary assets'!$D12&amp;$E12,'Emission factors'!$J$3:$J$201&amp;'Emission factors'!$K$3:$K$201,0),MATCH('Buildings &amp; stationary assets'!P$6,'Emission factors'!$K$2:$V$2,0)))*$J12)</f>
        <v/>
      </c>
      <c r="Q12" s="288" t="str" cm="1">
        <f t="array" ref="Q12">IF(OR($D12="",$H12=""),"",(INDEX('Emission factors'!$K$3:$V$201,MATCH('Buildings &amp; stationary assets'!$D12&amp;$E12,'Emission factors'!$J$3:$J$201&amp;'Emission factors'!$K$3:$K$201,0),MATCH('Buildings &amp; stationary assets'!Q$6,'Emission factors'!$K$2:$V$2,0)))*$J12)</f>
        <v/>
      </c>
      <c r="R12" s="288" t="str" cm="1">
        <f t="array" ref="R12">IF(OR($D12="",$H12=""),"",(INDEX('Emission factors'!$K$3:$V$201,MATCH('Buildings &amp; stationary assets'!$D12&amp;$E12,'Emission factors'!$J$3:$J$201&amp;'Emission factors'!$K$3:$K$201,0),MATCH('Buildings &amp; stationary assets'!R$6,'Emission factors'!$K$2:$V$2,0)))*$J12)</f>
        <v/>
      </c>
      <c r="S12" s="288" t="str" cm="1">
        <f t="array" ref="S12">IF(OR($D12="",$H12=""),"",(INDEX('Emission factors'!$K$3:$V$201,MATCH('Buildings &amp; stationary assets'!$D12&amp;$E12,'Emission factors'!$J$3:$J$201&amp;'Emission factors'!$K$3:$K$201,0),MATCH('Buildings &amp; stationary assets'!S$6,'Emission factors'!$K$2:$V$2,0)))*$J12)</f>
        <v/>
      </c>
      <c r="T12" s="288" t="str" cm="1">
        <f t="array" ref="T12">IF(OR($D12="",$H12=""),"",(INDEX('Emission factors'!$K$3:$V$201,MATCH('Buildings &amp; stationary assets'!$D12&amp;$E12,'Emission factors'!$J$3:$J$201&amp;'Emission factors'!$K$3:$K$201,0),MATCH('Buildings &amp; stationary assets'!T$6,'Emission factors'!$K$2:$V$2,0)))*$J12)</f>
        <v/>
      </c>
      <c r="U12" s="289" t="str">
        <f>IF(OR($M12="",BuildingsTable[[#This Row],[RSD]]=""),"",BuildingsTable[[#This Row],[Total emissions (kgCO2e)]]*(1+BuildingsTable[[#This Row],[RSD]]))</f>
        <v/>
      </c>
      <c r="V12" s="290" t="str">
        <f>IF(OR($M12="",BuildingsTable[[#This Row],[RSD]]=""),"",BuildingsTable[[#This Row],[Total emissions (kgCO2e)]]*(1-BuildingsTable[[#This Row],[RSD]]))</f>
        <v/>
      </c>
      <c r="W12" s="320" t="str" cm="1">
        <f t="array" ref="W12">IF(OR($D12="",$H12=""),"",(INDEX('Emission factors'!$K$3:$V$201,MATCH('Buildings &amp; stationary assets'!$D12&amp;$E12,'Emission factors'!$J$3:$J$201&amp;'Emission factors'!$K$3:$K$201,0),MATCH('Buildings &amp; stationary assets'!W$6,'Emission factors'!$K$2:$V$2,0)))*$J12)</f>
        <v/>
      </c>
      <c r="X12" s="66"/>
      <c r="Y12" s="1" cm="1">
        <f t="array" ref="Y12">IF(OR(ISERROR(B12:W12)),1,0)</f>
        <v>0</v>
      </c>
      <c r="Z12" s="1">
        <f t="shared" si="0"/>
        <v>0</v>
      </c>
    </row>
    <row r="13" spans="1:32" s="1" customFormat="1" ht="15" outlineLevel="1" thickBot="1" x14ac:dyDescent="0.4">
      <c r="A13" s="189"/>
      <c r="B13" s="460"/>
      <c r="C13" s="155"/>
      <c r="D13" s="151"/>
      <c r="E13" s="151"/>
      <c r="F13" s="151"/>
      <c r="G13" s="187" t="str">
        <f>IF(F13="","",INDEX(Lists!$BA$4:$BC$31,MATCH(D13,Lists!$AZ$4:$AZ$31,0),MATCH(F13,Lists!$BA$3:$BC$3,0)))</f>
        <v/>
      </c>
      <c r="H13" s="148"/>
      <c r="I13" s="151"/>
      <c r="J13" s="154" t="str" cm="1">
        <f t="array" ref="J13">IF(OR($D13="",$C13="",$H13="",$I13=""),"",IF(I13=K13,H13,(INDEX('Emission factors'!$K$3:$V$201,MATCH(D13&amp;E13,'Emission factors'!$J$3:$J$201&amp;'Emission factors'!$K$3:$K$201,0),MATCH(J$6,'Emission factors'!$K$2:$V$2,0)))*H13))</f>
        <v/>
      </c>
      <c r="K13" s="192" t="str">
        <f>IF(OR($D13="",$C13="",$H13="",$I13=""),"",INDEX('Emission factors'!$K$3:$V$201,MATCH('Buildings &amp; stationary assets'!$D13,'Emission factors'!$J$3:$J$201,0),MATCH($K$6,'Emission factors'!$K$2:$V$2,0)))</f>
        <v/>
      </c>
      <c r="L13" s="193" t="str" cm="1">
        <f t="array" ref="L13">IF(OR(D13="",H13="",BuildingsTable[[#This Row],[Units]]=""),"",INDEX('Emission factors'!$K$3:$V$201,MATCH('Buildings &amp; stationary assets'!$D13&amp;E13,'Emission factors'!$J$3:$J$201&amp;'Emission factors'!$K$3:$K$201,0),MATCH('Buildings &amp; stationary assets'!$L$6,'Emission factors'!$K$2:$V$2,0)))</f>
        <v/>
      </c>
      <c r="M13" s="287" t="str">
        <f>IF(OR(J13="",L13=""),"",SUM(BuildingsTable[[#This Row],[Direct]:[Indirect WTT]]))</f>
        <v/>
      </c>
      <c r="N13" s="150"/>
      <c r="O13" s="151"/>
      <c r="P13" s="288" t="str" cm="1">
        <f t="array" ref="P13">IF(OR($D13="",$H13=""),"",(INDEX('Emission factors'!$K$3:$V$201,MATCH('Buildings &amp; stationary assets'!$D13&amp;$E13,'Emission factors'!$J$3:$J$201&amp;'Emission factors'!$K$3:$K$201,0),MATCH('Buildings &amp; stationary assets'!P$6,'Emission factors'!$K$2:$V$2,0)))*$J13)</f>
        <v/>
      </c>
      <c r="Q13" s="288" t="str" cm="1">
        <f t="array" ref="Q13">IF(OR($D13="",$H13=""),"",(INDEX('Emission factors'!$K$3:$V$201,MATCH('Buildings &amp; stationary assets'!$D13&amp;$E13,'Emission factors'!$J$3:$J$201&amp;'Emission factors'!$K$3:$K$201,0),MATCH('Buildings &amp; stationary assets'!Q$6,'Emission factors'!$K$2:$V$2,0)))*$J13)</f>
        <v/>
      </c>
      <c r="R13" s="288" t="str" cm="1">
        <f t="array" ref="R13">IF(OR($D13="",$H13=""),"",(INDEX('Emission factors'!$K$3:$V$201,MATCH('Buildings &amp; stationary assets'!$D13&amp;$E13,'Emission factors'!$J$3:$J$201&amp;'Emission factors'!$K$3:$K$201,0),MATCH('Buildings &amp; stationary assets'!R$6,'Emission factors'!$K$2:$V$2,0)))*$J13)</f>
        <v/>
      </c>
      <c r="S13" s="288" t="str" cm="1">
        <f t="array" ref="S13">IF(OR($D13="",$H13=""),"",(INDEX('Emission factors'!$K$3:$V$201,MATCH('Buildings &amp; stationary assets'!$D13&amp;$E13,'Emission factors'!$J$3:$J$201&amp;'Emission factors'!$K$3:$K$201,0),MATCH('Buildings &amp; stationary assets'!S$6,'Emission factors'!$K$2:$V$2,0)))*$J13)</f>
        <v/>
      </c>
      <c r="T13" s="288" t="str" cm="1">
        <f t="array" ref="T13">IF(OR($D13="",$H13=""),"",(INDEX('Emission factors'!$K$3:$V$201,MATCH('Buildings &amp; stationary assets'!$D13&amp;$E13,'Emission factors'!$J$3:$J$201&amp;'Emission factors'!$K$3:$K$201,0),MATCH('Buildings &amp; stationary assets'!T$6,'Emission factors'!$K$2:$V$2,0)))*$J13)</f>
        <v/>
      </c>
      <c r="U13" s="289" t="str">
        <f>IF(OR($M13="",BuildingsTable[[#This Row],[RSD]]=""),"",BuildingsTable[[#This Row],[Total emissions (kgCO2e)]]*(1+BuildingsTable[[#This Row],[RSD]]))</f>
        <v/>
      </c>
      <c r="V13" s="290" t="str">
        <f>IF(OR($M13="",BuildingsTable[[#This Row],[RSD]]=""),"",BuildingsTable[[#This Row],[Total emissions (kgCO2e)]]*(1-BuildingsTable[[#This Row],[RSD]]))</f>
        <v/>
      </c>
      <c r="W13" s="320" t="str" cm="1">
        <f t="array" ref="W13">IF(OR($D13="",$H13=""),"",(INDEX('Emission factors'!$K$3:$V$201,MATCH('Buildings &amp; stationary assets'!$D13&amp;$E13,'Emission factors'!$J$3:$J$201&amp;'Emission factors'!$K$3:$K$201,0),MATCH('Buildings &amp; stationary assets'!W$6,'Emission factors'!$K$2:$V$2,0)))*$J13)</f>
        <v/>
      </c>
      <c r="X13" s="66"/>
      <c r="Y13" s="1" cm="1">
        <f t="array" ref="Y13">IF(OR(ISERROR(B13:W13)),1,0)</f>
        <v>0</v>
      </c>
      <c r="Z13" s="1">
        <f t="shared" si="0"/>
        <v>0</v>
      </c>
    </row>
    <row r="14" spans="1:32" s="1" customFormat="1" ht="15" outlineLevel="1" thickBot="1" x14ac:dyDescent="0.4">
      <c r="A14" s="189"/>
      <c r="B14" s="460"/>
      <c r="C14" s="155"/>
      <c r="D14" s="151"/>
      <c r="E14" s="151"/>
      <c r="F14" s="151"/>
      <c r="G14" s="187" t="str">
        <f>IF(F14="","",INDEX(Lists!$BA$4:$BC$31,MATCH(D14,Lists!$AZ$4:$AZ$31,0),MATCH(F14,Lists!$BA$3:$BC$3,0)))</f>
        <v/>
      </c>
      <c r="H14" s="148"/>
      <c r="I14" s="151"/>
      <c r="J14" s="154" t="str" cm="1">
        <f t="array" ref="J14">IF(OR($D14="",$C14="",$H14="",$I14=""),"",IF(I14=K14,H14,(INDEX('Emission factors'!$K$3:$V$201,MATCH(D14&amp;E14,'Emission factors'!$J$3:$J$201&amp;'Emission factors'!$K$3:$K$201,0),MATCH(J$6,'Emission factors'!$K$2:$V$2,0)))*H14))</f>
        <v/>
      </c>
      <c r="K14" s="192" t="str">
        <f>IF(OR($D14="",$C14="",$H14="",$I14=""),"",INDEX('Emission factors'!$K$3:$V$201,MATCH('Buildings &amp; stationary assets'!$D14,'Emission factors'!$J$3:$J$201,0),MATCH($K$6,'Emission factors'!$K$2:$V$2,0)))</f>
        <v/>
      </c>
      <c r="L14" s="193" t="str" cm="1">
        <f t="array" ref="L14">IF(OR(D14="",H14="",BuildingsTable[[#This Row],[Units]]=""),"",INDEX('Emission factors'!$K$3:$V$201,MATCH('Buildings &amp; stationary assets'!$D14&amp;E14,'Emission factors'!$J$3:$J$201&amp;'Emission factors'!$K$3:$K$201,0),MATCH('Buildings &amp; stationary assets'!$L$6,'Emission factors'!$K$2:$V$2,0)))</f>
        <v/>
      </c>
      <c r="M14" s="287" t="str">
        <f>IF(OR(J14="",L14=""),"",SUM(BuildingsTable[[#This Row],[Direct]:[Indirect WTT]]))</f>
        <v/>
      </c>
      <c r="N14" s="150"/>
      <c r="O14" s="151"/>
      <c r="P14" s="288" t="str" cm="1">
        <f t="array" ref="P14">IF(OR($D14="",$H14=""),"",(INDEX('Emission factors'!$K$3:$V$201,MATCH('Buildings &amp; stationary assets'!$D14&amp;$E14,'Emission factors'!$J$3:$J$201&amp;'Emission factors'!$K$3:$K$201,0),MATCH('Buildings &amp; stationary assets'!P$6,'Emission factors'!$K$2:$V$2,0)))*$J14)</f>
        <v/>
      </c>
      <c r="Q14" s="288" t="str" cm="1">
        <f t="array" ref="Q14">IF(OR($D14="",$H14=""),"",(INDEX('Emission factors'!$K$3:$V$201,MATCH('Buildings &amp; stationary assets'!$D14&amp;$E14,'Emission factors'!$J$3:$J$201&amp;'Emission factors'!$K$3:$K$201,0),MATCH('Buildings &amp; stationary assets'!Q$6,'Emission factors'!$K$2:$V$2,0)))*$J14)</f>
        <v/>
      </c>
      <c r="R14" s="288" t="str" cm="1">
        <f t="array" ref="R14">IF(OR($D14="",$H14=""),"",(INDEX('Emission factors'!$K$3:$V$201,MATCH('Buildings &amp; stationary assets'!$D14&amp;$E14,'Emission factors'!$J$3:$J$201&amp;'Emission factors'!$K$3:$K$201,0),MATCH('Buildings &amp; stationary assets'!R$6,'Emission factors'!$K$2:$V$2,0)))*$J14)</f>
        <v/>
      </c>
      <c r="S14" s="288" t="str" cm="1">
        <f t="array" ref="S14">IF(OR($D14="",$H14=""),"",(INDEX('Emission factors'!$K$3:$V$201,MATCH('Buildings &amp; stationary assets'!$D14&amp;$E14,'Emission factors'!$J$3:$J$201&amp;'Emission factors'!$K$3:$K$201,0),MATCH('Buildings &amp; stationary assets'!S$6,'Emission factors'!$K$2:$V$2,0)))*$J14)</f>
        <v/>
      </c>
      <c r="T14" s="288" t="str" cm="1">
        <f t="array" ref="T14">IF(OR($D14="",$H14=""),"",(INDEX('Emission factors'!$K$3:$V$201,MATCH('Buildings &amp; stationary assets'!$D14&amp;$E14,'Emission factors'!$J$3:$J$201&amp;'Emission factors'!$K$3:$K$201,0),MATCH('Buildings &amp; stationary assets'!T$6,'Emission factors'!$K$2:$V$2,0)))*$J14)</f>
        <v/>
      </c>
      <c r="U14" s="289" t="str">
        <f>IF(OR($M14="",BuildingsTable[[#This Row],[RSD]]=""),"",BuildingsTable[[#This Row],[Total emissions (kgCO2e)]]*(1+BuildingsTable[[#This Row],[RSD]]))</f>
        <v/>
      </c>
      <c r="V14" s="290" t="str">
        <f>IF(OR($M14="",BuildingsTable[[#This Row],[RSD]]=""),"",BuildingsTable[[#This Row],[Total emissions (kgCO2e)]]*(1-BuildingsTable[[#This Row],[RSD]]))</f>
        <v/>
      </c>
      <c r="W14" s="320" t="str" cm="1">
        <f t="array" ref="W14">IF(OR($D14="",$H14=""),"",(INDEX('Emission factors'!$K$3:$V$201,MATCH('Buildings &amp; stationary assets'!$D14&amp;$E14,'Emission factors'!$J$3:$J$201&amp;'Emission factors'!$K$3:$K$201,0),MATCH('Buildings &amp; stationary assets'!W$6,'Emission factors'!$K$2:$V$2,0)))*$J14)</f>
        <v/>
      </c>
      <c r="X14" s="66"/>
      <c r="Y14" s="1" cm="1">
        <f t="array" ref="Y14">IF(OR(ISERROR(B14:W14)),1,0)</f>
        <v>0</v>
      </c>
      <c r="Z14" s="1">
        <f t="shared" si="0"/>
        <v>0</v>
      </c>
    </row>
    <row r="15" spans="1:32" s="1" customFormat="1" ht="15" outlineLevel="1" thickBot="1" x14ac:dyDescent="0.4">
      <c r="A15" s="189"/>
      <c r="B15" s="461"/>
      <c r="C15" s="155"/>
      <c r="D15" s="151"/>
      <c r="E15" s="151"/>
      <c r="F15" s="151"/>
      <c r="G15" s="187" t="str">
        <f>IF(F15="","",INDEX(Lists!$BA$4:$BC$31,MATCH(D15,Lists!$AZ$4:$AZ$31,0),MATCH(F15,Lists!$BA$3:$BC$3,0)))</f>
        <v/>
      </c>
      <c r="H15" s="148"/>
      <c r="I15" s="151"/>
      <c r="J15" s="154" t="str" cm="1">
        <f t="array" ref="J15">IF(OR($D15="",$C15="",$H15="",$I15=""),"",IF(I15=K15,H15,(INDEX('Emission factors'!$K$3:$V$201,MATCH(D15&amp;E15,'Emission factors'!$J$3:$J$201&amp;'Emission factors'!$K$3:$K$201,0),MATCH(J$6,'Emission factors'!$K$2:$V$2,0)))*H15))</f>
        <v/>
      </c>
      <c r="K15" s="192" t="str">
        <f>IF(OR($D15="",$C15="",$H15="",$I15=""),"",INDEX('Emission factors'!$K$3:$V$201,MATCH('Buildings &amp; stationary assets'!$D15,'Emission factors'!$J$3:$J$201,0),MATCH($K$6,'Emission factors'!$K$2:$V$2,0)))</f>
        <v/>
      </c>
      <c r="L15" s="193" t="str" cm="1">
        <f t="array" ref="L15">IF(OR(D15="",H15="",BuildingsTable[[#This Row],[Units]]=""),"",INDEX('Emission factors'!$K$3:$V$201,MATCH('Buildings &amp; stationary assets'!$D15&amp;E15,'Emission factors'!$J$3:$J$201&amp;'Emission factors'!$K$3:$K$201,0),MATCH('Buildings &amp; stationary assets'!$L$6,'Emission factors'!$K$2:$V$2,0)))</f>
        <v/>
      </c>
      <c r="M15" s="287" t="str">
        <f>IF(OR(J15="",L15=""),"",SUM(BuildingsTable[[#This Row],[Direct]:[Indirect WTT]]))</f>
        <v/>
      </c>
      <c r="N15" s="150"/>
      <c r="O15" s="151"/>
      <c r="P15" s="288" t="str" cm="1">
        <f t="array" ref="P15">IF(OR($D15="",$H15=""),"",(INDEX('Emission factors'!$K$3:$V$201,MATCH('Buildings &amp; stationary assets'!$D15&amp;$E15,'Emission factors'!$J$3:$J$201&amp;'Emission factors'!$K$3:$K$201,0),MATCH('Buildings &amp; stationary assets'!P$6,'Emission factors'!$K$2:$V$2,0)))*$J15)</f>
        <v/>
      </c>
      <c r="Q15" s="288" t="str" cm="1">
        <f t="array" ref="Q15">IF(OR($D15="",$H15=""),"",(INDEX('Emission factors'!$K$3:$V$201,MATCH('Buildings &amp; stationary assets'!$D15&amp;$E15,'Emission factors'!$J$3:$J$201&amp;'Emission factors'!$K$3:$K$201,0),MATCH('Buildings &amp; stationary assets'!Q$6,'Emission factors'!$K$2:$V$2,0)))*$J15)</f>
        <v/>
      </c>
      <c r="R15" s="288" t="str" cm="1">
        <f t="array" ref="R15">IF(OR($D15="",$H15=""),"",(INDEX('Emission factors'!$K$3:$V$201,MATCH('Buildings &amp; stationary assets'!$D15&amp;$E15,'Emission factors'!$J$3:$J$201&amp;'Emission factors'!$K$3:$K$201,0),MATCH('Buildings &amp; stationary assets'!R$6,'Emission factors'!$K$2:$V$2,0)))*$J15)</f>
        <v/>
      </c>
      <c r="S15" s="288" t="str" cm="1">
        <f t="array" ref="S15">IF(OR($D15="",$H15=""),"",(INDEX('Emission factors'!$K$3:$V$201,MATCH('Buildings &amp; stationary assets'!$D15&amp;$E15,'Emission factors'!$J$3:$J$201&amp;'Emission factors'!$K$3:$K$201,0),MATCH('Buildings &amp; stationary assets'!S$6,'Emission factors'!$K$2:$V$2,0)))*$J15)</f>
        <v/>
      </c>
      <c r="T15" s="288" t="str" cm="1">
        <f t="array" ref="T15">IF(OR($D15="",$H15=""),"",(INDEX('Emission factors'!$K$3:$V$201,MATCH('Buildings &amp; stationary assets'!$D15&amp;$E15,'Emission factors'!$J$3:$J$201&amp;'Emission factors'!$K$3:$K$201,0),MATCH('Buildings &amp; stationary assets'!T$6,'Emission factors'!$K$2:$V$2,0)))*$J15)</f>
        <v/>
      </c>
      <c r="U15" s="289" t="str">
        <f>IF(OR($M15="",BuildingsTable[[#This Row],[RSD]]=""),"",BuildingsTable[[#This Row],[Total emissions (kgCO2e)]]*(1+BuildingsTable[[#This Row],[RSD]]))</f>
        <v/>
      </c>
      <c r="V15" s="290" t="str">
        <f>IF(OR($M15="",BuildingsTable[[#This Row],[RSD]]=""),"",BuildingsTable[[#This Row],[Total emissions (kgCO2e)]]*(1-BuildingsTable[[#This Row],[RSD]]))</f>
        <v/>
      </c>
      <c r="W15" s="320" t="str" cm="1">
        <f t="array" ref="W15">IF(OR($D15="",$H15=""),"",(INDEX('Emission factors'!$K$3:$V$201,MATCH('Buildings &amp; stationary assets'!$D15&amp;$E15,'Emission factors'!$J$3:$J$201&amp;'Emission factors'!$K$3:$K$201,0),MATCH('Buildings &amp; stationary assets'!W$6,'Emission factors'!$K$2:$V$2,0)))*$J15)</f>
        <v/>
      </c>
      <c r="X15" s="66"/>
      <c r="Y15" s="1" cm="1">
        <f t="array" ref="Y15">IF(OR(ISERROR(B15:W15)),1,0)</f>
        <v>0</v>
      </c>
      <c r="Z15" s="1">
        <f t="shared" si="0"/>
        <v>0</v>
      </c>
    </row>
    <row r="16" spans="1:32" s="1" customFormat="1" ht="15" outlineLevel="1" thickBot="1" x14ac:dyDescent="0.4">
      <c r="A16" s="189"/>
      <c r="B16" s="461"/>
      <c r="C16" s="155"/>
      <c r="D16" s="151"/>
      <c r="E16" s="151"/>
      <c r="F16" s="151"/>
      <c r="G16" s="187" t="str">
        <f>IF(F16="","",INDEX(Lists!$BA$4:$BC$31,MATCH(D16,Lists!$AZ$4:$AZ$31,0),MATCH(F16,Lists!$BA$3:$BC$3,0)))</f>
        <v/>
      </c>
      <c r="H16" s="148"/>
      <c r="I16" s="151"/>
      <c r="J16" s="154" t="str" cm="1">
        <f t="array" ref="J16">IF(OR($D16="",$C16="",$H16="",$I16=""),"",IF(I16=K16,H16,(INDEX('Emission factors'!$K$3:$V$201,MATCH(D16&amp;E16,'Emission factors'!$J$3:$J$201&amp;'Emission factors'!$K$3:$K$201,0),MATCH(J$6,'Emission factors'!$K$2:$V$2,0)))*H16))</f>
        <v/>
      </c>
      <c r="K16" s="192" t="str">
        <f>IF(OR($D16="",$C16="",$H16="",$I16=""),"",INDEX('Emission factors'!$K$3:$V$201,MATCH('Buildings &amp; stationary assets'!$D16,'Emission factors'!$J$3:$J$201,0),MATCH($K$6,'Emission factors'!$K$2:$V$2,0)))</f>
        <v/>
      </c>
      <c r="L16" s="193" t="str" cm="1">
        <f t="array" ref="L16">IF(OR(D16="",H16="",BuildingsTable[[#This Row],[Units]]=""),"",INDEX('Emission factors'!$K$3:$V$201,MATCH('Buildings &amp; stationary assets'!$D16&amp;E16,'Emission factors'!$J$3:$J$201&amp;'Emission factors'!$K$3:$K$201,0),MATCH('Buildings &amp; stationary assets'!$L$6,'Emission factors'!$K$2:$V$2,0)))</f>
        <v/>
      </c>
      <c r="M16" s="287" t="str">
        <f>IF(OR(J16="",L16=""),"",SUM(BuildingsTable[[#This Row],[Direct]:[Indirect WTT]]))</f>
        <v/>
      </c>
      <c r="N16" s="150"/>
      <c r="O16" s="151"/>
      <c r="P16" s="288" t="str" cm="1">
        <f t="array" ref="P16">IF(OR($D16="",$H16=""),"",(INDEX('Emission factors'!$K$3:$V$201,MATCH('Buildings &amp; stationary assets'!$D16&amp;$E16,'Emission factors'!$J$3:$J$201&amp;'Emission factors'!$K$3:$K$201,0),MATCH('Buildings &amp; stationary assets'!P$6,'Emission factors'!$K$2:$V$2,0)))*$J16)</f>
        <v/>
      </c>
      <c r="Q16" s="288" t="str" cm="1">
        <f t="array" ref="Q16">IF(OR($D16="",$H16=""),"",(INDEX('Emission factors'!$K$3:$V$201,MATCH('Buildings &amp; stationary assets'!$D16&amp;$E16,'Emission factors'!$J$3:$J$201&amp;'Emission factors'!$K$3:$K$201,0),MATCH('Buildings &amp; stationary assets'!Q$6,'Emission factors'!$K$2:$V$2,0)))*$J16)</f>
        <v/>
      </c>
      <c r="R16" s="288" t="str" cm="1">
        <f t="array" ref="R16">IF(OR($D16="",$H16=""),"",(INDEX('Emission factors'!$K$3:$V$201,MATCH('Buildings &amp; stationary assets'!$D16&amp;$E16,'Emission factors'!$J$3:$J$201&amp;'Emission factors'!$K$3:$K$201,0),MATCH('Buildings &amp; stationary assets'!R$6,'Emission factors'!$K$2:$V$2,0)))*$J16)</f>
        <v/>
      </c>
      <c r="S16" s="288" t="str" cm="1">
        <f t="array" ref="S16">IF(OR($D16="",$H16=""),"",(INDEX('Emission factors'!$K$3:$V$201,MATCH('Buildings &amp; stationary assets'!$D16&amp;$E16,'Emission factors'!$J$3:$J$201&amp;'Emission factors'!$K$3:$K$201,0),MATCH('Buildings &amp; stationary assets'!S$6,'Emission factors'!$K$2:$V$2,0)))*$J16)</f>
        <v/>
      </c>
      <c r="T16" s="288" t="str" cm="1">
        <f t="array" ref="T16">IF(OR($D16="",$H16=""),"",(INDEX('Emission factors'!$K$3:$V$201,MATCH('Buildings &amp; stationary assets'!$D16&amp;$E16,'Emission factors'!$J$3:$J$201&amp;'Emission factors'!$K$3:$K$201,0),MATCH('Buildings &amp; stationary assets'!T$6,'Emission factors'!$K$2:$V$2,0)))*$J16)</f>
        <v/>
      </c>
      <c r="U16" s="289" t="str">
        <f>IF(OR($M16="",BuildingsTable[[#This Row],[RSD]]=""),"",BuildingsTable[[#This Row],[Total emissions (kgCO2e)]]*(1+BuildingsTable[[#This Row],[RSD]]))</f>
        <v/>
      </c>
      <c r="V16" s="290" t="str">
        <f>IF(OR($M16="",BuildingsTable[[#This Row],[RSD]]=""),"",BuildingsTable[[#This Row],[Total emissions (kgCO2e)]]*(1-BuildingsTable[[#This Row],[RSD]]))</f>
        <v/>
      </c>
      <c r="W16" s="320" t="str" cm="1">
        <f t="array" ref="W16">IF(OR($D16="",$H16=""),"",(INDEX('Emission factors'!$K$3:$V$201,MATCH('Buildings &amp; stationary assets'!$D16&amp;$E16,'Emission factors'!$J$3:$J$201&amp;'Emission factors'!$K$3:$K$201,0),MATCH('Buildings &amp; stationary assets'!W$6,'Emission factors'!$K$2:$V$2,0)))*$J16)</f>
        <v/>
      </c>
      <c r="X16" s="66"/>
      <c r="Y16" s="1" cm="1">
        <f t="array" ref="Y16">IF(OR(ISERROR(B16:W16)),1,0)</f>
        <v>0</v>
      </c>
      <c r="Z16" s="1">
        <f t="shared" si="0"/>
        <v>0</v>
      </c>
    </row>
    <row r="17" spans="1:26" s="1" customFormat="1" ht="15" outlineLevel="1" thickBot="1" x14ac:dyDescent="0.4">
      <c r="A17" s="189"/>
      <c r="B17" s="461"/>
      <c r="C17" s="155"/>
      <c r="D17" s="151"/>
      <c r="E17" s="151"/>
      <c r="F17" s="151"/>
      <c r="G17" s="187" t="str">
        <f>IF(F17="","",INDEX(Lists!$BA$4:$BC$31,MATCH(D17,Lists!$AZ$4:$AZ$31,0),MATCH(F17,Lists!$BA$3:$BC$3,0)))</f>
        <v/>
      </c>
      <c r="H17" s="148"/>
      <c r="I17" s="151"/>
      <c r="J17" s="154" t="str" cm="1">
        <f t="array" ref="J17">IF(OR($D17="",$C17="",$H17="",$I17=""),"",IF(I17=K17,H17,(INDEX('Emission factors'!$K$3:$V$201,MATCH(D17&amp;E17,'Emission factors'!$J$3:$J$201&amp;'Emission factors'!$K$3:$K$201,0),MATCH(J$6,'Emission factors'!$K$2:$V$2,0)))*H17))</f>
        <v/>
      </c>
      <c r="K17" s="192" t="str">
        <f>IF(OR($D17="",$C17="",$H17="",$I17=""),"",INDEX('Emission factors'!$K$3:$V$201,MATCH('Buildings &amp; stationary assets'!$D17,'Emission factors'!$J$3:$J$201,0),MATCH($K$6,'Emission factors'!$K$2:$V$2,0)))</f>
        <v/>
      </c>
      <c r="L17" s="193" t="str" cm="1">
        <f t="array" ref="L17">IF(OR(D17="",H17="",BuildingsTable[[#This Row],[Units]]=""),"",INDEX('Emission factors'!$K$3:$V$201,MATCH('Buildings &amp; stationary assets'!$D17&amp;E17,'Emission factors'!$J$3:$J$201&amp;'Emission factors'!$K$3:$K$201,0),MATCH('Buildings &amp; stationary assets'!$L$6,'Emission factors'!$K$2:$V$2,0)))</f>
        <v/>
      </c>
      <c r="M17" s="287" t="str">
        <f>IF(OR(J17="",L17=""),"",SUM(BuildingsTable[[#This Row],[Direct]:[Indirect WTT]]))</f>
        <v/>
      </c>
      <c r="N17" s="150"/>
      <c r="O17" s="151"/>
      <c r="P17" s="288" t="str" cm="1">
        <f t="array" ref="P17">IF(OR($D17="",$H17=""),"",(INDEX('Emission factors'!$K$3:$V$201,MATCH('Buildings &amp; stationary assets'!$D17&amp;$E17,'Emission factors'!$J$3:$J$201&amp;'Emission factors'!$K$3:$K$201,0),MATCH('Buildings &amp; stationary assets'!P$6,'Emission factors'!$K$2:$V$2,0)))*$J17)</f>
        <v/>
      </c>
      <c r="Q17" s="288" t="str" cm="1">
        <f t="array" ref="Q17">IF(OR($D17="",$H17=""),"",(INDEX('Emission factors'!$K$3:$V$201,MATCH('Buildings &amp; stationary assets'!$D17&amp;$E17,'Emission factors'!$J$3:$J$201&amp;'Emission factors'!$K$3:$K$201,0),MATCH('Buildings &amp; stationary assets'!Q$6,'Emission factors'!$K$2:$V$2,0)))*$J17)</f>
        <v/>
      </c>
      <c r="R17" s="288" t="str" cm="1">
        <f t="array" ref="R17">IF(OR($D17="",$H17=""),"",(INDEX('Emission factors'!$K$3:$V$201,MATCH('Buildings &amp; stationary assets'!$D17&amp;$E17,'Emission factors'!$J$3:$J$201&amp;'Emission factors'!$K$3:$K$201,0),MATCH('Buildings &amp; stationary assets'!R$6,'Emission factors'!$K$2:$V$2,0)))*$J17)</f>
        <v/>
      </c>
      <c r="S17" s="288" t="str" cm="1">
        <f t="array" ref="S17">IF(OR($D17="",$H17=""),"",(INDEX('Emission factors'!$K$3:$V$201,MATCH('Buildings &amp; stationary assets'!$D17&amp;$E17,'Emission factors'!$J$3:$J$201&amp;'Emission factors'!$K$3:$K$201,0),MATCH('Buildings &amp; stationary assets'!S$6,'Emission factors'!$K$2:$V$2,0)))*$J17)</f>
        <v/>
      </c>
      <c r="T17" s="288" t="str" cm="1">
        <f t="array" ref="T17">IF(OR($D17="",$H17=""),"",(INDEX('Emission factors'!$K$3:$V$201,MATCH('Buildings &amp; stationary assets'!$D17&amp;$E17,'Emission factors'!$J$3:$J$201&amp;'Emission factors'!$K$3:$K$201,0),MATCH('Buildings &amp; stationary assets'!T$6,'Emission factors'!$K$2:$V$2,0)))*$J17)</f>
        <v/>
      </c>
      <c r="U17" s="289" t="str">
        <f>IF(OR($M17="",BuildingsTable[[#This Row],[RSD]]=""),"",BuildingsTable[[#This Row],[Total emissions (kgCO2e)]]*(1+BuildingsTable[[#This Row],[RSD]]))</f>
        <v/>
      </c>
      <c r="V17" s="290" t="str">
        <f>IF(OR($M17="",BuildingsTable[[#This Row],[RSD]]=""),"",BuildingsTable[[#This Row],[Total emissions (kgCO2e)]]*(1-BuildingsTable[[#This Row],[RSD]]))</f>
        <v/>
      </c>
      <c r="W17" s="320" t="str" cm="1">
        <f t="array" ref="W17">IF(OR($D17="",$H17=""),"",(INDEX('Emission factors'!$K$3:$V$201,MATCH('Buildings &amp; stationary assets'!$D17&amp;$E17,'Emission factors'!$J$3:$J$201&amp;'Emission factors'!$K$3:$K$201,0),MATCH('Buildings &amp; stationary assets'!W$6,'Emission factors'!$K$2:$V$2,0)))*$J17)</f>
        <v/>
      </c>
      <c r="X17" s="66"/>
      <c r="Y17" s="1" cm="1">
        <f t="array" ref="Y17">IF(OR(ISERROR(B17:W17)),1,0)</f>
        <v>0</v>
      </c>
      <c r="Z17" s="1">
        <f t="shared" si="0"/>
        <v>0</v>
      </c>
    </row>
    <row r="18" spans="1:26" s="1" customFormat="1" ht="15" outlineLevel="1" thickBot="1" x14ac:dyDescent="0.4">
      <c r="A18" s="189"/>
      <c r="B18" s="461"/>
      <c r="C18" s="155"/>
      <c r="D18" s="151"/>
      <c r="E18" s="151"/>
      <c r="F18" s="151"/>
      <c r="G18" s="187" t="str">
        <f>IF(F18="","",INDEX(Lists!$BA$4:$BC$31,MATCH(D18,Lists!$AZ$4:$AZ$31,0),MATCH(F18,Lists!$BA$3:$BC$3,0)))</f>
        <v/>
      </c>
      <c r="H18" s="148"/>
      <c r="I18" s="151"/>
      <c r="J18" s="154" t="str" cm="1">
        <f t="array" ref="J18">IF(OR($D18="",$C18="",$H18="",$I18=""),"",IF(I18=K18,H18,(INDEX('Emission factors'!$K$3:$V$201,MATCH(D18&amp;E18,'Emission factors'!$J$3:$J$201&amp;'Emission factors'!$K$3:$K$201,0),MATCH(J$6,'Emission factors'!$K$2:$V$2,0)))*H18))</f>
        <v/>
      </c>
      <c r="K18" s="192" t="str">
        <f>IF(OR($D18="",$C18="",$H18="",$I18=""),"",INDEX('Emission factors'!$K$3:$V$201,MATCH('Buildings &amp; stationary assets'!$D18,'Emission factors'!$J$3:$J$201,0),MATCH($K$6,'Emission factors'!$K$2:$V$2,0)))</f>
        <v/>
      </c>
      <c r="L18" s="193" t="str" cm="1">
        <f t="array" ref="L18">IF(OR(D18="",H18="",BuildingsTable[[#This Row],[Units]]=""),"",INDEX('Emission factors'!$K$3:$V$201,MATCH('Buildings &amp; stationary assets'!$D18&amp;E18,'Emission factors'!$J$3:$J$201&amp;'Emission factors'!$K$3:$K$201,0),MATCH('Buildings &amp; stationary assets'!$L$6,'Emission factors'!$K$2:$V$2,0)))</f>
        <v/>
      </c>
      <c r="M18" s="287" t="str">
        <f>IF(OR(J18="",L18=""),"",SUM(BuildingsTable[[#This Row],[Direct]:[Indirect WTT]]))</f>
        <v/>
      </c>
      <c r="N18" s="150"/>
      <c r="O18" s="151"/>
      <c r="P18" s="288" t="str" cm="1">
        <f t="array" ref="P18">IF(OR($D18="",$H18=""),"",(INDEX('Emission factors'!$K$3:$V$201,MATCH('Buildings &amp; stationary assets'!$D18&amp;$E18,'Emission factors'!$J$3:$J$201&amp;'Emission factors'!$K$3:$K$201,0),MATCH('Buildings &amp; stationary assets'!P$6,'Emission factors'!$K$2:$V$2,0)))*$J18)</f>
        <v/>
      </c>
      <c r="Q18" s="288" t="str" cm="1">
        <f t="array" ref="Q18">IF(OR($D18="",$H18=""),"",(INDEX('Emission factors'!$K$3:$V$201,MATCH('Buildings &amp; stationary assets'!$D18&amp;$E18,'Emission factors'!$J$3:$J$201&amp;'Emission factors'!$K$3:$K$201,0),MATCH('Buildings &amp; stationary assets'!Q$6,'Emission factors'!$K$2:$V$2,0)))*$J18)</f>
        <v/>
      </c>
      <c r="R18" s="288" t="str" cm="1">
        <f t="array" ref="R18">IF(OR($D18="",$H18=""),"",(INDEX('Emission factors'!$K$3:$V$201,MATCH('Buildings &amp; stationary assets'!$D18&amp;$E18,'Emission factors'!$J$3:$J$201&amp;'Emission factors'!$K$3:$K$201,0),MATCH('Buildings &amp; stationary assets'!R$6,'Emission factors'!$K$2:$V$2,0)))*$J18)</f>
        <v/>
      </c>
      <c r="S18" s="288" t="str" cm="1">
        <f t="array" ref="S18">IF(OR($D18="",$H18=""),"",(INDEX('Emission factors'!$K$3:$V$201,MATCH('Buildings &amp; stationary assets'!$D18&amp;$E18,'Emission factors'!$J$3:$J$201&amp;'Emission factors'!$K$3:$K$201,0),MATCH('Buildings &amp; stationary assets'!S$6,'Emission factors'!$K$2:$V$2,0)))*$J18)</f>
        <v/>
      </c>
      <c r="T18" s="288" t="str" cm="1">
        <f t="array" ref="T18">IF(OR($D18="",$H18=""),"",(INDEX('Emission factors'!$K$3:$V$201,MATCH('Buildings &amp; stationary assets'!$D18&amp;$E18,'Emission factors'!$J$3:$J$201&amp;'Emission factors'!$K$3:$K$201,0),MATCH('Buildings &amp; stationary assets'!T$6,'Emission factors'!$K$2:$V$2,0)))*$J18)</f>
        <v/>
      </c>
      <c r="U18" s="289" t="str">
        <f>IF(OR($M18="",BuildingsTable[[#This Row],[RSD]]=""),"",BuildingsTable[[#This Row],[Total emissions (kgCO2e)]]*(1+BuildingsTable[[#This Row],[RSD]]))</f>
        <v/>
      </c>
      <c r="V18" s="290" t="str">
        <f>IF(OR($M18="",BuildingsTable[[#This Row],[RSD]]=""),"",BuildingsTable[[#This Row],[Total emissions (kgCO2e)]]*(1-BuildingsTable[[#This Row],[RSD]]))</f>
        <v/>
      </c>
      <c r="W18" s="320" t="str" cm="1">
        <f t="array" ref="W18">IF(OR($D18="",$H18=""),"",(INDEX('Emission factors'!$K$3:$V$201,MATCH('Buildings &amp; stationary assets'!$D18&amp;$E18,'Emission factors'!$J$3:$J$201&amp;'Emission factors'!$K$3:$K$201,0),MATCH('Buildings &amp; stationary assets'!W$6,'Emission factors'!$K$2:$V$2,0)))*$J18)</f>
        <v/>
      </c>
      <c r="X18" s="66"/>
      <c r="Y18" s="1" cm="1">
        <f t="array" ref="Y18">IF(OR(ISERROR(B18:W18)),1,0)</f>
        <v>0</v>
      </c>
      <c r="Z18" s="1">
        <f t="shared" si="0"/>
        <v>0</v>
      </c>
    </row>
    <row r="19" spans="1:26" s="1" customFormat="1" ht="15" outlineLevel="1" thickBot="1" x14ac:dyDescent="0.4">
      <c r="A19" s="189"/>
      <c r="B19" s="461"/>
      <c r="C19" s="155"/>
      <c r="D19" s="151"/>
      <c r="E19" s="151"/>
      <c r="F19" s="151"/>
      <c r="G19" s="187" t="str">
        <f>IF(F19="","",INDEX(Lists!$BA$4:$BC$31,MATCH(D19,Lists!$AZ$4:$AZ$31,0),MATCH(F19,Lists!$BA$3:$BC$3,0)))</f>
        <v/>
      </c>
      <c r="H19" s="148"/>
      <c r="I19" s="151"/>
      <c r="J19" s="154" t="str" cm="1">
        <f t="array" ref="J19">IF(OR($D19="",$C19="",$H19="",$I19=""),"",IF(I19=K19,H19,(INDEX('Emission factors'!$K$3:$V$201,MATCH(D19&amp;E19,'Emission factors'!$J$3:$J$201&amp;'Emission factors'!$K$3:$K$201,0),MATCH(J$6,'Emission factors'!$K$2:$V$2,0)))*H19))</f>
        <v/>
      </c>
      <c r="K19" s="192" t="str">
        <f>IF(OR($D19="",$C19="",$H19="",$I19=""),"",INDEX('Emission factors'!$K$3:$V$201,MATCH('Buildings &amp; stationary assets'!$D19,'Emission factors'!$J$3:$J$201,0),MATCH($K$6,'Emission factors'!$K$2:$V$2,0)))</f>
        <v/>
      </c>
      <c r="L19" s="193" t="str" cm="1">
        <f t="array" ref="L19">IF(OR(D19="",H19="",BuildingsTable[[#This Row],[Units]]=""),"",INDEX('Emission factors'!$K$3:$V$201,MATCH('Buildings &amp; stationary assets'!$D19&amp;E19,'Emission factors'!$J$3:$J$201&amp;'Emission factors'!$K$3:$K$201,0),MATCH('Buildings &amp; stationary assets'!$L$6,'Emission factors'!$K$2:$V$2,0)))</f>
        <v/>
      </c>
      <c r="M19" s="287" t="str">
        <f>IF(OR(J19="",L19=""),"",SUM(BuildingsTable[[#This Row],[Direct]:[Indirect WTT]]))</f>
        <v/>
      </c>
      <c r="N19" s="150"/>
      <c r="O19" s="151"/>
      <c r="P19" s="288" t="str" cm="1">
        <f t="array" ref="P19">IF(OR($D19="",$H19=""),"",(INDEX('Emission factors'!$K$3:$V$201,MATCH('Buildings &amp; stationary assets'!$D19&amp;$E19,'Emission factors'!$J$3:$J$201&amp;'Emission factors'!$K$3:$K$201,0),MATCH('Buildings &amp; stationary assets'!P$6,'Emission factors'!$K$2:$V$2,0)))*$J19)</f>
        <v/>
      </c>
      <c r="Q19" s="288" t="str" cm="1">
        <f t="array" ref="Q19">IF(OR($D19="",$H19=""),"",(INDEX('Emission factors'!$K$3:$V$201,MATCH('Buildings &amp; stationary assets'!$D19&amp;$E19,'Emission factors'!$J$3:$J$201&amp;'Emission factors'!$K$3:$K$201,0),MATCH('Buildings &amp; stationary assets'!Q$6,'Emission factors'!$K$2:$V$2,0)))*$J19)</f>
        <v/>
      </c>
      <c r="R19" s="288" t="str" cm="1">
        <f t="array" ref="R19">IF(OR($D19="",$H19=""),"",(INDEX('Emission factors'!$K$3:$V$201,MATCH('Buildings &amp; stationary assets'!$D19&amp;$E19,'Emission factors'!$J$3:$J$201&amp;'Emission factors'!$K$3:$K$201,0),MATCH('Buildings &amp; stationary assets'!R$6,'Emission factors'!$K$2:$V$2,0)))*$J19)</f>
        <v/>
      </c>
      <c r="S19" s="288" t="str" cm="1">
        <f t="array" ref="S19">IF(OR($D19="",$H19=""),"",(INDEX('Emission factors'!$K$3:$V$201,MATCH('Buildings &amp; stationary assets'!$D19&amp;$E19,'Emission factors'!$J$3:$J$201&amp;'Emission factors'!$K$3:$K$201,0),MATCH('Buildings &amp; stationary assets'!S$6,'Emission factors'!$K$2:$V$2,0)))*$J19)</f>
        <v/>
      </c>
      <c r="T19" s="288" t="str" cm="1">
        <f t="array" ref="T19">IF(OR($D19="",$H19=""),"",(INDEX('Emission factors'!$K$3:$V$201,MATCH('Buildings &amp; stationary assets'!$D19&amp;$E19,'Emission factors'!$J$3:$J$201&amp;'Emission factors'!$K$3:$K$201,0),MATCH('Buildings &amp; stationary assets'!T$6,'Emission factors'!$K$2:$V$2,0)))*$J19)</f>
        <v/>
      </c>
      <c r="U19" s="289" t="str">
        <f>IF(OR($M19="",BuildingsTable[[#This Row],[RSD]]=""),"",BuildingsTable[[#This Row],[Total emissions (kgCO2e)]]*(1+BuildingsTable[[#This Row],[RSD]]))</f>
        <v/>
      </c>
      <c r="V19" s="290" t="str">
        <f>IF(OR($M19="",BuildingsTable[[#This Row],[RSD]]=""),"",BuildingsTable[[#This Row],[Total emissions (kgCO2e)]]*(1-BuildingsTable[[#This Row],[RSD]]))</f>
        <v/>
      </c>
      <c r="W19" s="320" t="str" cm="1">
        <f t="array" ref="W19">IF(OR($D19="",$H19=""),"",(INDEX('Emission factors'!$K$3:$V$201,MATCH('Buildings &amp; stationary assets'!$D19&amp;$E19,'Emission factors'!$J$3:$J$201&amp;'Emission factors'!$K$3:$K$201,0),MATCH('Buildings &amp; stationary assets'!W$6,'Emission factors'!$K$2:$V$2,0)))*$J19)</f>
        <v/>
      </c>
      <c r="X19" s="66"/>
      <c r="Y19" s="1" cm="1">
        <f t="array" ref="Y19">IF(OR(ISERROR(B19:W19)),1,0)</f>
        <v>0</v>
      </c>
      <c r="Z19" s="1">
        <f t="shared" si="0"/>
        <v>0</v>
      </c>
    </row>
    <row r="20" spans="1:26" s="1" customFormat="1" ht="15" outlineLevel="1" thickBot="1" x14ac:dyDescent="0.4">
      <c r="A20" s="189"/>
      <c r="B20" s="461"/>
      <c r="C20" s="155"/>
      <c r="D20" s="151"/>
      <c r="E20" s="151"/>
      <c r="F20" s="151"/>
      <c r="G20" s="187" t="str">
        <f>IF(F20="","",INDEX(Lists!$BA$4:$BC$31,MATCH(D20,Lists!$AZ$4:$AZ$31,0),MATCH(F20,Lists!$BA$3:$BC$3,0)))</f>
        <v/>
      </c>
      <c r="H20" s="148"/>
      <c r="I20" s="151"/>
      <c r="J20" s="154" t="str" cm="1">
        <f t="array" ref="J20">IF(OR($D20="",$C20="",$H20="",$I20=""),"",IF(I20=K20,H20,(INDEX('Emission factors'!$K$3:$V$201,MATCH(D20&amp;E20,'Emission factors'!$J$3:$J$201&amp;'Emission factors'!$K$3:$K$201,0),MATCH(J$6,'Emission factors'!$K$2:$V$2,0)))*H20))</f>
        <v/>
      </c>
      <c r="K20" s="192" t="str">
        <f>IF(OR($D20="",$C20="",$H20="",$I20=""),"",INDEX('Emission factors'!$K$3:$V$201,MATCH('Buildings &amp; stationary assets'!$D20,'Emission factors'!$J$3:$J$201,0),MATCH($K$6,'Emission factors'!$K$2:$V$2,0)))</f>
        <v/>
      </c>
      <c r="L20" s="193" t="str" cm="1">
        <f t="array" ref="L20">IF(OR(D20="",H20="",BuildingsTable[[#This Row],[Units]]=""),"",INDEX('Emission factors'!$K$3:$V$201,MATCH('Buildings &amp; stationary assets'!$D20&amp;E20,'Emission factors'!$J$3:$J$201&amp;'Emission factors'!$K$3:$K$201,0),MATCH('Buildings &amp; stationary assets'!$L$6,'Emission factors'!$K$2:$V$2,0)))</f>
        <v/>
      </c>
      <c r="M20" s="287" t="str">
        <f>IF(OR(J20="",L20=""),"",SUM(BuildingsTable[[#This Row],[Direct]:[Indirect WTT]]))</f>
        <v/>
      </c>
      <c r="N20" s="150"/>
      <c r="O20" s="151"/>
      <c r="P20" s="288" t="str" cm="1">
        <f t="array" ref="P20">IF(OR($D20="",$H20=""),"",(INDEX('Emission factors'!$K$3:$V$201,MATCH('Buildings &amp; stationary assets'!$D20&amp;$E20,'Emission factors'!$J$3:$J$201&amp;'Emission factors'!$K$3:$K$201,0),MATCH('Buildings &amp; stationary assets'!P$6,'Emission factors'!$K$2:$V$2,0)))*$J20)</f>
        <v/>
      </c>
      <c r="Q20" s="288" t="str" cm="1">
        <f t="array" ref="Q20">IF(OR($D20="",$H20=""),"",(INDEX('Emission factors'!$K$3:$V$201,MATCH('Buildings &amp; stationary assets'!$D20&amp;$E20,'Emission factors'!$J$3:$J$201&amp;'Emission factors'!$K$3:$K$201,0),MATCH('Buildings &amp; stationary assets'!Q$6,'Emission factors'!$K$2:$V$2,0)))*$J20)</f>
        <v/>
      </c>
      <c r="R20" s="288" t="str" cm="1">
        <f t="array" ref="R20">IF(OR($D20="",$H20=""),"",(INDEX('Emission factors'!$K$3:$V$201,MATCH('Buildings &amp; stationary assets'!$D20&amp;$E20,'Emission factors'!$J$3:$J$201&amp;'Emission factors'!$K$3:$K$201,0),MATCH('Buildings &amp; stationary assets'!R$6,'Emission factors'!$K$2:$V$2,0)))*$J20)</f>
        <v/>
      </c>
      <c r="S20" s="288" t="str" cm="1">
        <f t="array" ref="S20">IF(OR($D20="",$H20=""),"",(INDEX('Emission factors'!$K$3:$V$201,MATCH('Buildings &amp; stationary assets'!$D20&amp;$E20,'Emission factors'!$J$3:$J$201&amp;'Emission factors'!$K$3:$K$201,0),MATCH('Buildings &amp; stationary assets'!S$6,'Emission factors'!$K$2:$V$2,0)))*$J20)</f>
        <v/>
      </c>
      <c r="T20" s="288" t="str" cm="1">
        <f t="array" ref="T20">IF(OR($D20="",$H20=""),"",(INDEX('Emission factors'!$K$3:$V$201,MATCH('Buildings &amp; stationary assets'!$D20&amp;$E20,'Emission factors'!$J$3:$J$201&amp;'Emission factors'!$K$3:$K$201,0),MATCH('Buildings &amp; stationary assets'!T$6,'Emission factors'!$K$2:$V$2,0)))*$J20)</f>
        <v/>
      </c>
      <c r="U20" s="289" t="str">
        <f>IF(OR($M20="",BuildingsTable[[#This Row],[RSD]]=""),"",BuildingsTable[[#This Row],[Total emissions (kgCO2e)]]*(1+BuildingsTable[[#This Row],[RSD]]))</f>
        <v/>
      </c>
      <c r="V20" s="290" t="str">
        <f>IF(OR($M20="",BuildingsTable[[#This Row],[RSD]]=""),"",BuildingsTable[[#This Row],[Total emissions (kgCO2e)]]*(1-BuildingsTable[[#This Row],[RSD]]))</f>
        <v/>
      </c>
      <c r="W20" s="320" t="str" cm="1">
        <f t="array" ref="W20">IF(OR($D20="",$H20=""),"",(INDEX('Emission factors'!$K$3:$V$201,MATCH('Buildings &amp; stationary assets'!$D20&amp;$E20,'Emission factors'!$J$3:$J$201&amp;'Emission factors'!$K$3:$K$201,0),MATCH('Buildings &amp; stationary assets'!W$6,'Emission factors'!$K$2:$V$2,0)))*$J20)</f>
        <v/>
      </c>
      <c r="X20" s="66"/>
      <c r="Y20" s="1" cm="1">
        <f t="array" ref="Y20">IF(OR(ISERROR(B20:W20)),1,0)</f>
        <v>0</v>
      </c>
      <c r="Z20" s="1">
        <f t="shared" si="0"/>
        <v>0</v>
      </c>
    </row>
    <row r="21" spans="1:26" s="1" customFormat="1" ht="15" outlineLevel="1" thickBot="1" x14ac:dyDescent="0.4">
      <c r="A21" s="189"/>
      <c r="B21" s="461"/>
      <c r="C21" s="155"/>
      <c r="D21" s="151"/>
      <c r="E21" s="151"/>
      <c r="F21" s="151"/>
      <c r="G21" s="187" t="str">
        <f>IF(F21="","",INDEX(Lists!$BA$4:$BC$31,MATCH(D21,Lists!$AZ$4:$AZ$31,0),MATCH(F21,Lists!$BA$3:$BC$3,0)))</f>
        <v/>
      </c>
      <c r="H21" s="148"/>
      <c r="I21" s="151"/>
      <c r="J21" s="154" t="str" cm="1">
        <f t="array" ref="J21">IF(OR($D21="",$C21="",$H21="",$I21=""),"",IF(I21=K21,H21,(INDEX('Emission factors'!$K$3:$V$201,MATCH(D21&amp;E21,'Emission factors'!$J$3:$J$201&amp;'Emission factors'!$K$3:$K$201,0),MATCH(J$6,'Emission factors'!$K$2:$V$2,0)))*H21))</f>
        <v/>
      </c>
      <c r="K21" s="192" t="str">
        <f>IF(OR($D21="",$C21="",$H21="",$I21=""),"",INDEX('Emission factors'!$K$3:$V$201,MATCH('Buildings &amp; stationary assets'!$D21,'Emission factors'!$J$3:$J$201,0),MATCH($K$6,'Emission factors'!$K$2:$V$2,0)))</f>
        <v/>
      </c>
      <c r="L21" s="193" t="str" cm="1">
        <f t="array" ref="L21">IF(OR(D21="",H21="",BuildingsTable[[#This Row],[Units]]=""),"",INDEX('Emission factors'!$K$3:$V$201,MATCH('Buildings &amp; stationary assets'!$D21&amp;E21,'Emission factors'!$J$3:$J$201&amp;'Emission factors'!$K$3:$K$201,0),MATCH('Buildings &amp; stationary assets'!$L$6,'Emission factors'!$K$2:$V$2,0)))</f>
        <v/>
      </c>
      <c r="M21" s="287" t="str">
        <f>IF(OR(J21="",L21=""),"",SUM(BuildingsTable[[#This Row],[Direct]:[Indirect WTT]]))</f>
        <v/>
      </c>
      <c r="N21" s="150"/>
      <c r="O21" s="151"/>
      <c r="P21" s="288" t="str" cm="1">
        <f t="array" ref="P21">IF(OR($D21="",$H21=""),"",(INDEX('Emission factors'!$K$3:$V$201,MATCH('Buildings &amp; stationary assets'!$D21&amp;$E21,'Emission factors'!$J$3:$J$201&amp;'Emission factors'!$K$3:$K$201,0),MATCH('Buildings &amp; stationary assets'!P$6,'Emission factors'!$K$2:$V$2,0)))*$J21)</f>
        <v/>
      </c>
      <c r="Q21" s="288" t="str" cm="1">
        <f t="array" ref="Q21">IF(OR($D21="",$H21=""),"",(INDEX('Emission factors'!$K$3:$V$201,MATCH('Buildings &amp; stationary assets'!$D21&amp;$E21,'Emission factors'!$J$3:$J$201&amp;'Emission factors'!$K$3:$K$201,0),MATCH('Buildings &amp; stationary assets'!Q$6,'Emission factors'!$K$2:$V$2,0)))*$J21)</f>
        <v/>
      </c>
      <c r="R21" s="288" t="str" cm="1">
        <f t="array" ref="R21">IF(OR($D21="",$H21=""),"",(INDEX('Emission factors'!$K$3:$V$201,MATCH('Buildings &amp; stationary assets'!$D21&amp;$E21,'Emission factors'!$J$3:$J$201&amp;'Emission factors'!$K$3:$K$201,0),MATCH('Buildings &amp; stationary assets'!R$6,'Emission factors'!$K$2:$V$2,0)))*$J21)</f>
        <v/>
      </c>
      <c r="S21" s="288" t="str" cm="1">
        <f t="array" ref="S21">IF(OR($D21="",$H21=""),"",(INDEX('Emission factors'!$K$3:$V$201,MATCH('Buildings &amp; stationary assets'!$D21&amp;$E21,'Emission factors'!$J$3:$J$201&amp;'Emission factors'!$K$3:$K$201,0),MATCH('Buildings &amp; stationary assets'!S$6,'Emission factors'!$K$2:$V$2,0)))*$J21)</f>
        <v/>
      </c>
      <c r="T21" s="288" t="str" cm="1">
        <f t="array" ref="T21">IF(OR($D21="",$H21=""),"",(INDEX('Emission factors'!$K$3:$V$201,MATCH('Buildings &amp; stationary assets'!$D21&amp;$E21,'Emission factors'!$J$3:$J$201&amp;'Emission factors'!$K$3:$K$201,0),MATCH('Buildings &amp; stationary assets'!T$6,'Emission factors'!$K$2:$V$2,0)))*$J21)</f>
        <v/>
      </c>
      <c r="U21" s="289" t="str">
        <f>IF(OR($M21="",BuildingsTable[[#This Row],[RSD]]=""),"",BuildingsTable[[#This Row],[Total emissions (kgCO2e)]]*(1+BuildingsTable[[#This Row],[RSD]]))</f>
        <v/>
      </c>
      <c r="V21" s="290" t="str">
        <f>IF(OR($M21="",BuildingsTable[[#This Row],[RSD]]=""),"",BuildingsTable[[#This Row],[Total emissions (kgCO2e)]]*(1-BuildingsTable[[#This Row],[RSD]]))</f>
        <v/>
      </c>
      <c r="W21" s="320" t="str" cm="1">
        <f t="array" ref="W21">IF(OR($D21="",$H21=""),"",(INDEX('Emission factors'!$K$3:$V$201,MATCH('Buildings &amp; stationary assets'!$D21&amp;$E21,'Emission factors'!$J$3:$J$201&amp;'Emission factors'!$K$3:$K$201,0),MATCH('Buildings &amp; stationary assets'!W$6,'Emission factors'!$K$2:$V$2,0)))*$J21)</f>
        <v/>
      </c>
      <c r="X21" s="66"/>
      <c r="Y21" s="1" cm="1">
        <f t="array" ref="Y21">IF(OR(ISERROR(B21:W21)),1,0)</f>
        <v>0</v>
      </c>
      <c r="Z21" s="1">
        <f t="shared" si="0"/>
        <v>0</v>
      </c>
    </row>
    <row r="22" spans="1:26" s="1" customFormat="1" ht="15" outlineLevel="1" thickBot="1" x14ac:dyDescent="0.4">
      <c r="A22" s="189"/>
      <c r="B22" s="461"/>
      <c r="C22" s="155"/>
      <c r="D22" s="151"/>
      <c r="E22" s="151"/>
      <c r="F22" s="151"/>
      <c r="G22" s="187" t="str">
        <f>IF(F22="","",INDEX(Lists!$BA$4:$BC$31,MATCH(D22,Lists!$AZ$4:$AZ$31,0),MATCH(F22,Lists!$BA$3:$BC$3,0)))</f>
        <v/>
      </c>
      <c r="H22" s="148"/>
      <c r="I22" s="151"/>
      <c r="J22" s="154" t="str" cm="1">
        <f t="array" ref="J22">IF(OR($D22="",$C22="",$H22="",$I22=""),"",IF(I22=K22,H22,(INDEX('Emission factors'!$K$3:$V$201,MATCH(D22&amp;E22,'Emission factors'!$J$3:$J$201&amp;'Emission factors'!$K$3:$K$201,0),MATCH(J$6,'Emission factors'!$K$2:$V$2,0)))*H22))</f>
        <v/>
      </c>
      <c r="K22" s="192" t="str">
        <f>IF(OR($D22="",$C22="",$H22="",$I22=""),"",INDEX('Emission factors'!$K$3:$V$201,MATCH('Buildings &amp; stationary assets'!$D22,'Emission factors'!$J$3:$J$201,0),MATCH($K$6,'Emission factors'!$K$2:$V$2,0)))</f>
        <v/>
      </c>
      <c r="L22" s="193" t="str" cm="1">
        <f t="array" ref="L22">IF(OR(D22="",H22="",BuildingsTable[[#This Row],[Units]]=""),"",INDEX('Emission factors'!$K$3:$V$201,MATCH('Buildings &amp; stationary assets'!$D22&amp;E22,'Emission factors'!$J$3:$J$201&amp;'Emission factors'!$K$3:$K$201,0),MATCH('Buildings &amp; stationary assets'!$L$6,'Emission factors'!$K$2:$V$2,0)))</f>
        <v/>
      </c>
      <c r="M22" s="287" t="str">
        <f>IF(OR(J22="",L22=""),"",SUM(BuildingsTable[[#This Row],[Direct]:[Indirect WTT]]))</f>
        <v/>
      </c>
      <c r="N22" s="150"/>
      <c r="O22" s="151"/>
      <c r="P22" s="288" t="str" cm="1">
        <f t="array" ref="P22">IF(OR($D22="",$H22=""),"",(INDEX('Emission factors'!$K$3:$V$201,MATCH('Buildings &amp; stationary assets'!$D22&amp;$E22,'Emission factors'!$J$3:$J$201&amp;'Emission factors'!$K$3:$K$201,0),MATCH('Buildings &amp; stationary assets'!P$6,'Emission factors'!$K$2:$V$2,0)))*$J22)</f>
        <v/>
      </c>
      <c r="Q22" s="288" t="str" cm="1">
        <f t="array" ref="Q22">IF(OR($D22="",$H22=""),"",(INDEX('Emission factors'!$K$3:$V$201,MATCH('Buildings &amp; stationary assets'!$D22&amp;$E22,'Emission factors'!$J$3:$J$201&amp;'Emission factors'!$K$3:$K$201,0),MATCH('Buildings &amp; stationary assets'!Q$6,'Emission factors'!$K$2:$V$2,0)))*$J22)</f>
        <v/>
      </c>
      <c r="R22" s="288" t="str" cm="1">
        <f t="array" ref="R22">IF(OR($D22="",$H22=""),"",(INDEX('Emission factors'!$K$3:$V$201,MATCH('Buildings &amp; stationary assets'!$D22&amp;$E22,'Emission factors'!$J$3:$J$201&amp;'Emission factors'!$K$3:$K$201,0),MATCH('Buildings &amp; stationary assets'!R$6,'Emission factors'!$K$2:$V$2,0)))*$J22)</f>
        <v/>
      </c>
      <c r="S22" s="288" t="str" cm="1">
        <f t="array" ref="S22">IF(OR($D22="",$H22=""),"",(INDEX('Emission factors'!$K$3:$V$201,MATCH('Buildings &amp; stationary assets'!$D22&amp;$E22,'Emission factors'!$J$3:$J$201&amp;'Emission factors'!$K$3:$K$201,0),MATCH('Buildings &amp; stationary assets'!S$6,'Emission factors'!$K$2:$V$2,0)))*$J22)</f>
        <v/>
      </c>
      <c r="T22" s="288" t="str" cm="1">
        <f t="array" ref="T22">IF(OR($D22="",$H22=""),"",(INDEX('Emission factors'!$K$3:$V$201,MATCH('Buildings &amp; stationary assets'!$D22&amp;$E22,'Emission factors'!$J$3:$J$201&amp;'Emission factors'!$K$3:$K$201,0),MATCH('Buildings &amp; stationary assets'!T$6,'Emission factors'!$K$2:$V$2,0)))*$J22)</f>
        <v/>
      </c>
      <c r="U22" s="289" t="str">
        <f>IF(OR($M22="",BuildingsTable[[#This Row],[RSD]]=""),"",BuildingsTable[[#This Row],[Total emissions (kgCO2e)]]*(1+BuildingsTable[[#This Row],[RSD]]))</f>
        <v/>
      </c>
      <c r="V22" s="290" t="str">
        <f>IF(OR($M22="",BuildingsTable[[#This Row],[RSD]]=""),"",BuildingsTable[[#This Row],[Total emissions (kgCO2e)]]*(1-BuildingsTable[[#This Row],[RSD]]))</f>
        <v/>
      </c>
      <c r="W22" s="320" t="str" cm="1">
        <f t="array" ref="W22">IF(OR($D22="",$H22=""),"",(INDEX('Emission factors'!$K$3:$V$201,MATCH('Buildings &amp; stationary assets'!$D22&amp;$E22,'Emission factors'!$J$3:$J$201&amp;'Emission factors'!$K$3:$K$201,0),MATCH('Buildings &amp; stationary assets'!W$6,'Emission factors'!$K$2:$V$2,0)))*$J22)</f>
        <v/>
      </c>
      <c r="X22" s="66"/>
      <c r="Y22" s="1" cm="1">
        <f t="array" ref="Y22">IF(OR(ISERROR(B22:W22)),1,0)</f>
        <v>0</v>
      </c>
      <c r="Z22" s="1">
        <f t="shared" si="0"/>
        <v>0</v>
      </c>
    </row>
    <row r="23" spans="1:26" s="1" customFormat="1" ht="15" outlineLevel="1" thickBot="1" x14ac:dyDescent="0.4">
      <c r="A23" s="189"/>
      <c r="B23" s="461"/>
      <c r="C23" s="155"/>
      <c r="D23" s="151"/>
      <c r="E23" s="151"/>
      <c r="F23" s="151"/>
      <c r="G23" s="187" t="str">
        <f>IF(F23="","",INDEX(Lists!$BA$4:$BC$31,MATCH(D23,Lists!$AZ$4:$AZ$31,0),MATCH(F23,Lists!$BA$3:$BC$3,0)))</f>
        <v/>
      </c>
      <c r="H23" s="148"/>
      <c r="I23" s="151"/>
      <c r="J23" s="154" t="str" cm="1">
        <f t="array" ref="J23">IF(OR($D23="",$C23="",$H23="",$I23=""),"",IF(I23=K23,H23,(INDEX('Emission factors'!$K$3:$V$201,MATCH(D23&amp;E23,'Emission factors'!$J$3:$J$201&amp;'Emission factors'!$K$3:$K$201,0),MATCH(J$6,'Emission factors'!$K$2:$V$2,0)))*H23))</f>
        <v/>
      </c>
      <c r="K23" s="192" t="str">
        <f>IF(OR($D23="",$C23="",$H23="",$I23=""),"",INDEX('Emission factors'!$K$3:$V$201,MATCH('Buildings &amp; stationary assets'!$D23,'Emission factors'!$J$3:$J$201,0),MATCH($K$6,'Emission factors'!$K$2:$V$2,0)))</f>
        <v/>
      </c>
      <c r="L23" s="193" t="str" cm="1">
        <f t="array" ref="L23">IF(OR(D23="",H23="",BuildingsTable[[#This Row],[Units]]=""),"",INDEX('Emission factors'!$K$3:$V$201,MATCH('Buildings &amp; stationary assets'!$D23&amp;E23,'Emission factors'!$J$3:$J$201&amp;'Emission factors'!$K$3:$K$201,0),MATCH('Buildings &amp; stationary assets'!$L$6,'Emission factors'!$K$2:$V$2,0)))</f>
        <v/>
      </c>
      <c r="M23" s="287" t="str">
        <f>IF(OR(J23="",L23=""),"",SUM(BuildingsTable[[#This Row],[Direct]:[Indirect WTT]]))</f>
        <v/>
      </c>
      <c r="N23" s="150"/>
      <c r="O23" s="151"/>
      <c r="P23" s="288" t="str" cm="1">
        <f t="array" ref="P23">IF(OR($D23="",$H23=""),"",(INDEX('Emission factors'!$K$3:$V$201,MATCH('Buildings &amp; stationary assets'!$D23&amp;$E23,'Emission factors'!$J$3:$J$201&amp;'Emission factors'!$K$3:$K$201,0),MATCH('Buildings &amp; stationary assets'!P$6,'Emission factors'!$K$2:$V$2,0)))*$J23)</f>
        <v/>
      </c>
      <c r="Q23" s="288" t="str" cm="1">
        <f t="array" ref="Q23">IF(OR($D23="",$H23=""),"",(INDEX('Emission factors'!$K$3:$V$201,MATCH('Buildings &amp; stationary assets'!$D23&amp;$E23,'Emission factors'!$J$3:$J$201&amp;'Emission factors'!$K$3:$K$201,0),MATCH('Buildings &amp; stationary assets'!Q$6,'Emission factors'!$K$2:$V$2,0)))*$J23)</f>
        <v/>
      </c>
      <c r="R23" s="288" t="str" cm="1">
        <f t="array" ref="R23">IF(OR($D23="",$H23=""),"",(INDEX('Emission factors'!$K$3:$V$201,MATCH('Buildings &amp; stationary assets'!$D23&amp;$E23,'Emission factors'!$J$3:$J$201&amp;'Emission factors'!$K$3:$K$201,0),MATCH('Buildings &amp; stationary assets'!R$6,'Emission factors'!$K$2:$V$2,0)))*$J23)</f>
        <v/>
      </c>
      <c r="S23" s="288" t="str" cm="1">
        <f t="array" ref="S23">IF(OR($D23="",$H23=""),"",(INDEX('Emission factors'!$K$3:$V$201,MATCH('Buildings &amp; stationary assets'!$D23&amp;$E23,'Emission factors'!$J$3:$J$201&amp;'Emission factors'!$K$3:$K$201,0),MATCH('Buildings &amp; stationary assets'!S$6,'Emission factors'!$K$2:$V$2,0)))*$J23)</f>
        <v/>
      </c>
      <c r="T23" s="288" t="str" cm="1">
        <f t="array" ref="T23">IF(OR($D23="",$H23=""),"",(INDEX('Emission factors'!$K$3:$V$201,MATCH('Buildings &amp; stationary assets'!$D23&amp;$E23,'Emission factors'!$J$3:$J$201&amp;'Emission factors'!$K$3:$K$201,0),MATCH('Buildings &amp; stationary assets'!T$6,'Emission factors'!$K$2:$V$2,0)))*$J23)</f>
        <v/>
      </c>
      <c r="U23" s="289" t="str">
        <f>IF(OR($M23="",BuildingsTable[[#This Row],[RSD]]=""),"",BuildingsTable[[#This Row],[Total emissions (kgCO2e)]]*(1+BuildingsTable[[#This Row],[RSD]]))</f>
        <v/>
      </c>
      <c r="V23" s="290" t="str">
        <f>IF(OR($M23="",BuildingsTable[[#This Row],[RSD]]=""),"",BuildingsTable[[#This Row],[Total emissions (kgCO2e)]]*(1-BuildingsTable[[#This Row],[RSD]]))</f>
        <v/>
      </c>
      <c r="W23" s="320" t="str" cm="1">
        <f t="array" ref="W23">IF(OR($D23="",$H23=""),"",(INDEX('Emission factors'!$K$3:$V$201,MATCH('Buildings &amp; stationary assets'!$D23&amp;$E23,'Emission factors'!$J$3:$J$201&amp;'Emission factors'!$K$3:$K$201,0),MATCH('Buildings &amp; stationary assets'!W$6,'Emission factors'!$K$2:$V$2,0)))*$J23)</f>
        <v/>
      </c>
      <c r="X23" s="66"/>
      <c r="Y23" s="1" cm="1">
        <f t="array" ref="Y23">IF(OR(ISERROR(B23:W23)),1,0)</f>
        <v>0</v>
      </c>
      <c r="Z23" s="1">
        <f t="shared" si="0"/>
        <v>0</v>
      </c>
    </row>
    <row r="24" spans="1:26" s="1" customFormat="1" ht="15" outlineLevel="1" thickBot="1" x14ac:dyDescent="0.4">
      <c r="A24" s="189"/>
      <c r="B24" s="461"/>
      <c r="C24" s="155"/>
      <c r="D24" s="151"/>
      <c r="E24" s="151"/>
      <c r="F24" s="151"/>
      <c r="G24" s="187" t="str">
        <f>IF(F24="","",INDEX(Lists!$BA$4:$BC$31,MATCH(D24,Lists!$AZ$4:$AZ$31,0),MATCH(F24,Lists!$BA$3:$BC$3,0)))</f>
        <v/>
      </c>
      <c r="H24" s="148"/>
      <c r="I24" s="151"/>
      <c r="J24" s="154" t="str" cm="1">
        <f t="array" ref="J24">IF(OR($D24="",$C24="",$H24="",$I24=""),"",IF(I24=K24,H24,(INDEX('Emission factors'!$K$3:$V$201,MATCH(D24&amp;E24,'Emission factors'!$J$3:$J$201&amp;'Emission factors'!$K$3:$K$201,0),MATCH(J$6,'Emission factors'!$K$2:$V$2,0)))*H24))</f>
        <v/>
      </c>
      <c r="K24" s="192" t="str">
        <f>IF(OR($D24="",$C24="",$H24="",$I24=""),"",INDEX('Emission factors'!$K$3:$V$201,MATCH('Buildings &amp; stationary assets'!$D24,'Emission factors'!$J$3:$J$201,0),MATCH($K$6,'Emission factors'!$K$2:$V$2,0)))</f>
        <v/>
      </c>
      <c r="L24" s="193" t="str" cm="1">
        <f t="array" ref="L24">IF(OR(D24="",H24="",BuildingsTable[[#This Row],[Units]]=""),"",INDEX('Emission factors'!$K$3:$V$201,MATCH('Buildings &amp; stationary assets'!$D24&amp;E24,'Emission factors'!$J$3:$J$201&amp;'Emission factors'!$K$3:$K$201,0),MATCH('Buildings &amp; stationary assets'!$L$6,'Emission factors'!$K$2:$V$2,0)))</f>
        <v/>
      </c>
      <c r="M24" s="287" t="str">
        <f>IF(OR(J24="",L24=""),"",SUM(BuildingsTable[[#This Row],[Direct]:[Indirect WTT]]))</f>
        <v/>
      </c>
      <c r="N24" s="150"/>
      <c r="O24" s="151"/>
      <c r="P24" s="288" t="str" cm="1">
        <f t="array" ref="P24">IF(OR($D24="",$H24=""),"",(INDEX('Emission factors'!$K$3:$V$201,MATCH('Buildings &amp; stationary assets'!$D24&amp;$E24,'Emission factors'!$J$3:$J$201&amp;'Emission factors'!$K$3:$K$201,0),MATCH('Buildings &amp; stationary assets'!P$6,'Emission factors'!$K$2:$V$2,0)))*$J24)</f>
        <v/>
      </c>
      <c r="Q24" s="288" t="str" cm="1">
        <f t="array" ref="Q24">IF(OR($D24="",$H24=""),"",(INDEX('Emission factors'!$K$3:$V$201,MATCH('Buildings &amp; stationary assets'!$D24&amp;$E24,'Emission factors'!$J$3:$J$201&amp;'Emission factors'!$K$3:$K$201,0),MATCH('Buildings &amp; stationary assets'!Q$6,'Emission factors'!$K$2:$V$2,0)))*$J24)</f>
        <v/>
      </c>
      <c r="R24" s="288" t="str" cm="1">
        <f t="array" ref="R24">IF(OR($D24="",$H24=""),"",(INDEX('Emission factors'!$K$3:$V$201,MATCH('Buildings &amp; stationary assets'!$D24&amp;$E24,'Emission factors'!$J$3:$J$201&amp;'Emission factors'!$K$3:$K$201,0),MATCH('Buildings &amp; stationary assets'!R$6,'Emission factors'!$K$2:$V$2,0)))*$J24)</f>
        <v/>
      </c>
      <c r="S24" s="288" t="str" cm="1">
        <f t="array" ref="S24">IF(OR($D24="",$H24=""),"",(INDEX('Emission factors'!$K$3:$V$201,MATCH('Buildings &amp; stationary assets'!$D24&amp;$E24,'Emission factors'!$J$3:$J$201&amp;'Emission factors'!$K$3:$K$201,0),MATCH('Buildings &amp; stationary assets'!S$6,'Emission factors'!$K$2:$V$2,0)))*$J24)</f>
        <v/>
      </c>
      <c r="T24" s="288" t="str" cm="1">
        <f t="array" ref="T24">IF(OR($D24="",$H24=""),"",(INDEX('Emission factors'!$K$3:$V$201,MATCH('Buildings &amp; stationary assets'!$D24&amp;$E24,'Emission factors'!$J$3:$J$201&amp;'Emission factors'!$K$3:$K$201,0),MATCH('Buildings &amp; stationary assets'!T$6,'Emission factors'!$K$2:$V$2,0)))*$J24)</f>
        <v/>
      </c>
      <c r="U24" s="289" t="str">
        <f>IF(OR($M24="",BuildingsTable[[#This Row],[RSD]]=""),"",BuildingsTable[[#This Row],[Total emissions (kgCO2e)]]*(1+BuildingsTable[[#This Row],[RSD]]))</f>
        <v/>
      </c>
      <c r="V24" s="290" t="str">
        <f>IF(OR($M24="",BuildingsTable[[#This Row],[RSD]]=""),"",BuildingsTable[[#This Row],[Total emissions (kgCO2e)]]*(1-BuildingsTable[[#This Row],[RSD]]))</f>
        <v/>
      </c>
      <c r="W24" s="320" t="str" cm="1">
        <f t="array" ref="W24">IF(OR($D24="",$H24=""),"",(INDEX('Emission factors'!$K$3:$V$201,MATCH('Buildings &amp; stationary assets'!$D24&amp;$E24,'Emission factors'!$J$3:$J$201&amp;'Emission factors'!$K$3:$K$201,0),MATCH('Buildings &amp; stationary assets'!W$6,'Emission factors'!$K$2:$V$2,0)))*$J24)</f>
        <v/>
      </c>
      <c r="X24" s="66"/>
      <c r="Y24" s="1" cm="1">
        <f t="array" ref="Y24">IF(OR(ISERROR(B24:W24)),1,0)</f>
        <v>0</v>
      </c>
      <c r="Z24" s="1">
        <f t="shared" si="0"/>
        <v>0</v>
      </c>
    </row>
    <row r="25" spans="1:26" s="1" customFormat="1" ht="15" outlineLevel="1" thickBot="1" x14ac:dyDescent="0.4">
      <c r="A25" s="189"/>
      <c r="B25" s="461"/>
      <c r="C25" s="155"/>
      <c r="D25" s="151"/>
      <c r="E25" s="151"/>
      <c r="F25" s="151"/>
      <c r="G25" s="187" t="str">
        <f>IF(F25="","",INDEX(Lists!$BA$4:$BC$31,MATCH(D25,Lists!$AZ$4:$AZ$31,0),MATCH(F25,Lists!$BA$3:$BC$3,0)))</f>
        <v/>
      </c>
      <c r="H25" s="148"/>
      <c r="I25" s="151"/>
      <c r="J25" s="154" t="str" cm="1">
        <f t="array" ref="J25">IF(OR($D25="",$C25="",$H25="",$I25=""),"",IF(I25=K25,H25,(INDEX('Emission factors'!$K$3:$V$201,MATCH(D25&amp;E25,'Emission factors'!$J$3:$J$201&amp;'Emission factors'!$K$3:$K$201,0),MATCH(J$6,'Emission factors'!$K$2:$V$2,0)))*H25))</f>
        <v/>
      </c>
      <c r="K25" s="192" t="str">
        <f>IF(OR($D25="",$C25="",$H25="",$I25=""),"",INDEX('Emission factors'!$K$3:$V$201,MATCH('Buildings &amp; stationary assets'!$D25,'Emission factors'!$J$3:$J$201,0),MATCH($K$6,'Emission factors'!$K$2:$V$2,0)))</f>
        <v/>
      </c>
      <c r="L25" s="193" t="str" cm="1">
        <f t="array" ref="L25">IF(OR(D25="",H25="",BuildingsTable[[#This Row],[Units]]=""),"",INDEX('Emission factors'!$K$3:$V$201,MATCH('Buildings &amp; stationary assets'!$D25&amp;E25,'Emission factors'!$J$3:$J$201&amp;'Emission factors'!$K$3:$K$201,0),MATCH('Buildings &amp; stationary assets'!$L$6,'Emission factors'!$K$2:$V$2,0)))</f>
        <v/>
      </c>
      <c r="M25" s="287" t="str">
        <f>IF(OR(J25="",L25=""),"",SUM(BuildingsTable[[#This Row],[Direct]:[Indirect WTT]]))</f>
        <v/>
      </c>
      <c r="N25" s="150"/>
      <c r="O25" s="151"/>
      <c r="P25" s="288" t="str" cm="1">
        <f t="array" ref="P25">IF(OR($D25="",$H25=""),"",(INDEX('Emission factors'!$K$3:$V$201,MATCH('Buildings &amp; stationary assets'!$D25&amp;$E25,'Emission factors'!$J$3:$J$201&amp;'Emission factors'!$K$3:$K$201,0),MATCH('Buildings &amp; stationary assets'!P$6,'Emission factors'!$K$2:$V$2,0)))*$J25)</f>
        <v/>
      </c>
      <c r="Q25" s="288" t="str" cm="1">
        <f t="array" ref="Q25">IF(OR($D25="",$H25=""),"",(INDEX('Emission factors'!$K$3:$V$201,MATCH('Buildings &amp; stationary assets'!$D25&amp;$E25,'Emission factors'!$J$3:$J$201&amp;'Emission factors'!$K$3:$K$201,0),MATCH('Buildings &amp; stationary assets'!Q$6,'Emission factors'!$K$2:$V$2,0)))*$J25)</f>
        <v/>
      </c>
      <c r="R25" s="288" t="str" cm="1">
        <f t="array" ref="R25">IF(OR($D25="",$H25=""),"",(INDEX('Emission factors'!$K$3:$V$201,MATCH('Buildings &amp; stationary assets'!$D25&amp;$E25,'Emission factors'!$J$3:$J$201&amp;'Emission factors'!$K$3:$K$201,0),MATCH('Buildings &amp; stationary assets'!R$6,'Emission factors'!$K$2:$V$2,0)))*$J25)</f>
        <v/>
      </c>
      <c r="S25" s="288" t="str" cm="1">
        <f t="array" ref="S25">IF(OR($D25="",$H25=""),"",(INDEX('Emission factors'!$K$3:$V$201,MATCH('Buildings &amp; stationary assets'!$D25&amp;$E25,'Emission factors'!$J$3:$J$201&amp;'Emission factors'!$K$3:$K$201,0),MATCH('Buildings &amp; stationary assets'!S$6,'Emission factors'!$K$2:$V$2,0)))*$J25)</f>
        <v/>
      </c>
      <c r="T25" s="288" t="str" cm="1">
        <f t="array" ref="T25">IF(OR($D25="",$H25=""),"",(INDEX('Emission factors'!$K$3:$V$201,MATCH('Buildings &amp; stationary assets'!$D25&amp;$E25,'Emission factors'!$J$3:$J$201&amp;'Emission factors'!$K$3:$K$201,0),MATCH('Buildings &amp; stationary assets'!T$6,'Emission factors'!$K$2:$V$2,0)))*$J25)</f>
        <v/>
      </c>
      <c r="U25" s="289" t="str">
        <f>IF(OR($M25="",BuildingsTable[[#This Row],[RSD]]=""),"",BuildingsTable[[#This Row],[Total emissions (kgCO2e)]]*(1+BuildingsTable[[#This Row],[RSD]]))</f>
        <v/>
      </c>
      <c r="V25" s="290" t="str">
        <f>IF(OR($M25="",BuildingsTable[[#This Row],[RSD]]=""),"",BuildingsTable[[#This Row],[Total emissions (kgCO2e)]]*(1-BuildingsTable[[#This Row],[RSD]]))</f>
        <v/>
      </c>
      <c r="W25" s="320" t="str" cm="1">
        <f t="array" ref="W25">IF(OR($D25="",$H25=""),"",(INDEX('Emission factors'!$K$3:$V$201,MATCH('Buildings &amp; stationary assets'!$D25&amp;$E25,'Emission factors'!$J$3:$J$201&amp;'Emission factors'!$K$3:$K$201,0),MATCH('Buildings &amp; stationary assets'!W$6,'Emission factors'!$K$2:$V$2,0)))*$J25)</f>
        <v/>
      </c>
      <c r="X25" s="66"/>
      <c r="Y25" s="1" cm="1">
        <f t="array" ref="Y25">IF(OR(ISERROR(B25:W25)),1,0)</f>
        <v>0</v>
      </c>
      <c r="Z25" s="1">
        <f t="shared" si="0"/>
        <v>0</v>
      </c>
    </row>
    <row r="26" spans="1:26" s="1" customFormat="1" ht="15" outlineLevel="1" thickBot="1" x14ac:dyDescent="0.4">
      <c r="A26" s="189"/>
      <c r="B26" s="461"/>
      <c r="C26" s="155"/>
      <c r="D26" s="151"/>
      <c r="E26" s="151"/>
      <c r="F26" s="151"/>
      <c r="G26" s="187" t="str">
        <f>IF(F26="","",INDEX(Lists!$BA$4:$BC$31,MATCH(D26,Lists!$AZ$4:$AZ$31,0),MATCH(F26,Lists!$BA$3:$BC$3,0)))</f>
        <v/>
      </c>
      <c r="H26" s="148"/>
      <c r="I26" s="151"/>
      <c r="J26" s="154" t="str" cm="1">
        <f t="array" ref="J26">IF(OR($D26="",$C26="",$H26="",$I26=""),"",IF(I26=K26,H26,(INDEX('Emission factors'!$K$3:$V$201,MATCH(D26&amp;E26,'Emission factors'!$J$3:$J$201&amp;'Emission factors'!$K$3:$K$201,0),MATCH(J$6,'Emission factors'!$K$2:$V$2,0)))*H26))</f>
        <v/>
      </c>
      <c r="K26" s="192" t="str">
        <f>IF(OR($D26="",$C26="",$H26="",$I26=""),"",INDEX('Emission factors'!$K$3:$V$201,MATCH('Buildings &amp; stationary assets'!$D26,'Emission factors'!$J$3:$J$201,0),MATCH($K$6,'Emission factors'!$K$2:$V$2,0)))</f>
        <v/>
      </c>
      <c r="L26" s="193" t="str" cm="1">
        <f t="array" ref="L26">IF(OR(D26="",H26="",BuildingsTable[[#This Row],[Units]]=""),"",INDEX('Emission factors'!$K$3:$V$201,MATCH('Buildings &amp; stationary assets'!$D26&amp;E26,'Emission factors'!$J$3:$J$201&amp;'Emission factors'!$K$3:$K$201,0),MATCH('Buildings &amp; stationary assets'!$L$6,'Emission factors'!$K$2:$V$2,0)))</f>
        <v/>
      </c>
      <c r="M26" s="287" t="str">
        <f>IF(OR(J26="",L26=""),"",SUM(BuildingsTable[[#This Row],[Direct]:[Indirect WTT]]))</f>
        <v/>
      </c>
      <c r="N26" s="150"/>
      <c r="O26" s="151"/>
      <c r="P26" s="288" t="str" cm="1">
        <f t="array" ref="P26">IF(OR($D26="",$H26=""),"",(INDEX('Emission factors'!$K$3:$V$201,MATCH('Buildings &amp; stationary assets'!$D26&amp;$E26,'Emission factors'!$J$3:$J$201&amp;'Emission factors'!$K$3:$K$201,0),MATCH('Buildings &amp; stationary assets'!P$6,'Emission factors'!$K$2:$V$2,0)))*$J26)</f>
        <v/>
      </c>
      <c r="Q26" s="288" t="str" cm="1">
        <f t="array" ref="Q26">IF(OR($D26="",$H26=""),"",(INDEX('Emission factors'!$K$3:$V$201,MATCH('Buildings &amp; stationary assets'!$D26&amp;$E26,'Emission factors'!$J$3:$J$201&amp;'Emission factors'!$K$3:$K$201,0),MATCH('Buildings &amp; stationary assets'!Q$6,'Emission factors'!$K$2:$V$2,0)))*$J26)</f>
        <v/>
      </c>
      <c r="R26" s="288" t="str" cm="1">
        <f t="array" ref="R26">IF(OR($D26="",$H26=""),"",(INDEX('Emission factors'!$K$3:$V$201,MATCH('Buildings &amp; stationary assets'!$D26&amp;$E26,'Emission factors'!$J$3:$J$201&amp;'Emission factors'!$K$3:$K$201,0),MATCH('Buildings &amp; stationary assets'!R$6,'Emission factors'!$K$2:$V$2,0)))*$J26)</f>
        <v/>
      </c>
      <c r="S26" s="288" t="str" cm="1">
        <f t="array" ref="S26">IF(OR($D26="",$H26=""),"",(INDEX('Emission factors'!$K$3:$V$201,MATCH('Buildings &amp; stationary assets'!$D26&amp;$E26,'Emission factors'!$J$3:$J$201&amp;'Emission factors'!$K$3:$K$201,0),MATCH('Buildings &amp; stationary assets'!S$6,'Emission factors'!$K$2:$V$2,0)))*$J26)</f>
        <v/>
      </c>
      <c r="T26" s="288" t="str" cm="1">
        <f t="array" ref="T26">IF(OR($D26="",$H26=""),"",(INDEX('Emission factors'!$K$3:$V$201,MATCH('Buildings &amp; stationary assets'!$D26&amp;$E26,'Emission factors'!$J$3:$J$201&amp;'Emission factors'!$K$3:$K$201,0),MATCH('Buildings &amp; stationary assets'!T$6,'Emission factors'!$K$2:$V$2,0)))*$J26)</f>
        <v/>
      </c>
      <c r="U26" s="289" t="str">
        <f>IF(OR($M26="",BuildingsTable[[#This Row],[RSD]]=""),"",BuildingsTable[[#This Row],[Total emissions (kgCO2e)]]*(1+BuildingsTable[[#This Row],[RSD]]))</f>
        <v/>
      </c>
      <c r="V26" s="290" t="str">
        <f>IF(OR($M26="",BuildingsTable[[#This Row],[RSD]]=""),"",BuildingsTable[[#This Row],[Total emissions (kgCO2e)]]*(1-BuildingsTable[[#This Row],[RSD]]))</f>
        <v/>
      </c>
      <c r="W26" s="320" t="str" cm="1">
        <f t="array" ref="W26">IF(OR($D26="",$H26=""),"",(INDEX('Emission factors'!$K$3:$V$201,MATCH('Buildings &amp; stationary assets'!$D26&amp;$E26,'Emission factors'!$J$3:$J$201&amp;'Emission factors'!$K$3:$K$201,0),MATCH('Buildings &amp; stationary assets'!W$6,'Emission factors'!$K$2:$V$2,0)))*$J26)</f>
        <v/>
      </c>
      <c r="X26" s="66"/>
      <c r="Y26" s="1" cm="1">
        <f t="array" ref="Y26">IF(OR(ISERROR(B26:W26)),1,0)</f>
        <v>0</v>
      </c>
      <c r="Z26" s="1">
        <f t="shared" si="0"/>
        <v>0</v>
      </c>
    </row>
    <row r="27" spans="1:26" s="1" customFormat="1" ht="15" outlineLevel="1" thickBot="1" x14ac:dyDescent="0.4">
      <c r="A27" s="189"/>
      <c r="B27" s="461"/>
      <c r="C27" s="155"/>
      <c r="D27" s="151"/>
      <c r="E27" s="151"/>
      <c r="F27" s="151"/>
      <c r="G27" s="187" t="str">
        <f>IF(F27="","",INDEX(Lists!$BA$4:$BC$31,MATCH(D27,Lists!$AZ$4:$AZ$31,0),MATCH(F27,Lists!$BA$3:$BC$3,0)))</f>
        <v/>
      </c>
      <c r="H27" s="148"/>
      <c r="I27" s="151"/>
      <c r="J27" s="154" t="str" cm="1">
        <f t="array" ref="J27">IF(OR($D27="",$C27="",$H27="",$I27=""),"",IF(I27=K27,H27,(INDEX('Emission factors'!$K$3:$V$201,MATCH(D27&amp;E27,'Emission factors'!$J$3:$J$201&amp;'Emission factors'!$K$3:$K$201,0),MATCH(J$6,'Emission factors'!$K$2:$V$2,0)))*H27))</f>
        <v/>
      </c>
      <c r="K27" s="192" t="str">
        <f>IF(OR($D27="",$C27="",$H27="",$I27=""),"",INDEX('Emission factors'!$K$3:$V$201,MATCH('Buildings &amp; stationary assets'!$D27,'Emission factors'!$J$3:$J$201,0),MATCH($K$6,'Emission factors'!$K$2:$V$2,0)))</f>
        <v/>
      </c>
      <c r="L27" s="193" t="str" cm="1">
        <f t="array" ref="L27">IF(OR(D27="",H27="",BuildingsTable[[#This Row],[Units]]=""),"",INDEX('Emission factors'!$K$3:$V$201,MATCH('Buildings &amp; stationary assets'!$D27&amp;E27,'Emission factors'!$J$3:$J$201&amp;'Emission factors'!$K$3:$K$201,0),MATCH('Buildings &amp; stationary assets'!$L$6,'Emission factors'!$K$2:$V$2,0)))</f>
        <v/>
      </c>
      <c r="M27" s="287" t="str">
        <f>IF(OR(J27="",L27=""),"",SUM(BuildingsTable[[#This Row],[Direct]:[Indirect WTT]]))</f>
        <v/>
      </c>
      <c r="N27" s="150"/>
      <c r="O27" s="151"/>
      <c r="P27" s="288" t="str" cm="1">
        <f t="array" ref="P27">IF(OR($D27="",$H27=""),"",(INDEX('Emission factors'!$K$3:$V$201,MATCH('Buildings &amp; stationary assets'!$D27&amp;$E27,'Emission factors'!$J$3:$J$201&amp;'Emission factors'!$K$3:$K$201,0),MATCH('Buildings &amp; stationary assets'!P$6,'Emission factors'!$K$2:$V$2,0)))*$J27)</f>
        <v/>
      </c>
      <c r="Q27" s="288" t="str" cm="1">
        <f t="array" ref="Q27">IF(OR($D27="",$H27=""),"",(INDEX('Emission factors'!$K$3:$V$201,MATCH('Buildings &amp; stationary assets'!$D27&amp;$E27,'Emission factors'!$J$3:$J$201&amp;'Emission factors'!$K$3:$K$201,0),MATCH('Buildings &amp; stationary assets'!Q$6,'Emission factors'!$K$2:$V$2,0)))*$J27)</f>
        <v/>
      </c>
      <c r="R27" s="288" t="str" cm="1">
        <f t="array" ref="R27">IF(OR($D27="",$H27=""),"",(INDEX('Emission factors'!$K$3:$V$201,MATCH('Buildings &amp; stationary assets'!$D27&amp;$E27,'Emission factors'!$J$3:$J$201&amp;'Emission factors'!$K$3:$K$201,0),MATCH('Buildings &amp; stationary assets'!R$6,'Emission factors'!$K$2:$V$2,0)))*$J27)</f>
        <v/>
      </c>
      <c r="S27" s="288" t="str" cm="1">
        <f t="array" ref="S27">IF(OR($D27="",$H27=""),"",(INDEX('Emission factors'!$K$3:$V$201,MATCH('Buildings &amp; stationary assets'!$D27&amp;$E27,'Emission factors'!$J$3:$J$201&amp;'Emission factors'!$K$3:$K$201,0),MATCH('Buildings &amp; stationary assets'!S$6,'Emission factors'!$K$2:$V$2,0)))*$J27)</f>
        <v/>
      </c>
      <c r="T27" s="288" t="str" cm="1">
        <f t="array" ref="T27">IF(OR($D27="",$H27=""),"",(INDEX('Emission factors'!$K$3:$V$201,MATCH('Buildings &amp; stationary assets'!$D27&amp;$E27,'Emission factors'!$J$3:$J$201&amp;'Emission factors'!$K$3:$K$201,0),MATCH('Buildings &amp; stationary assets'!T$6,'Emission factors'!$K$2:$V$2,0)))*$J27)</f>
        <v/>
      </c>
      <c r="U27" s="289" t="str">
        <f>IF(OR($M27="",BuildingsTable[[#This Row],[RSD]]=""),"",BuildingsTable[[#This Row],[Total emissions (kgCO2e)]]*(1+BuildingsTable[[#This Row],[RSD]]))</f>
        <v/>
      </c>
      <c r="V27" s="290" t="str">
        <f>IF(OR($M27="",BuildingsTable[[#This Row],[RSD]]=""),"",BuildingsTable[[#This Row],[Total emissions (kgCO2e)]]*(1-BuildingsTable[[#This Row],[RSD]]))</f>
        <v/>
      </c>
      <c r="W27" s="320" t="str" cm="1">
        <f t="array" ref="W27">IF(OR($D27="",$H27=""),"",(INDEX('Emission factors'!$K$3:$V$201,MATCH('Buildings &amp; stationary assets'!$D27&amp;$E27,'Emission factors'!$J$3:$J$201&amp;'Emission factors'!$K$3:$K$201,0),MATCH('Buildings &amp; stationary assets'!W$6,'Emission factors'!$K$2:$V$2,0)))*$J27)</f>
        <v/>
      </c>
      <c r="X27" s="66"/>
      <c r="Y27" s="1" cm="1">
        <f t="array" ref="Y27">IF(OR(ISERROR(B27:W27)),1,0)</f>
        <v>0</v>
      </c>
      <c r="Z27" s="1">
        <f t="shared" si="0"/>
        <v>0</v>
      </c>
    </row>
    <row r="28" spans="1:26" s="1" customFormat="1" ht="15" outlineLevel="1" thickBot="1" x14ac:dyDescent="0.4">
      <c r="A28" s="189"/>
      <c r="B28" s="461"/>
      <c r="C28" s="155"/>
      <c r="D28" s="151"/>
      <c r="E28" s="151"/>
      <c r="F28" s="151"/>
      <c r="G28" s="187" t="str">
        <f>IF(F28="","",INDEX(Lists!$BA$4:$BC$31,MATCH(D28,Lists!$AZ$4:$AZ$31,0),MATCH(F28,Lists!$BA$3:$BC$3,0)))</f>
        <v/>
      </c>
      <c r="H28" s="148"/>
      <c r="I28" s="151"/>
      <c r="J28" s="154" t="str" cm="1">
        <f t="array" ref="J28">IF(OR($D28="",$C28="",$H28="",$I28=""),"",IF(I28=K28,H28,(INDEX('Emission factors'!$K$3:$V$201,MATCH(D28&amp;E28,'Emission factors'!$J$3:$J$201&amp;'Emission factors'!$K$3:$K$201,0),MATCH(J$6,'Emission factors'!$K$2:$V$2,0)))*H28))</f>
        <v/>
      </c>
      <c r="K28" s="192" t="str">
        <f>IF(OR($D28="",$C28="",$H28="",$I28=""),"",INDEX('Emission factors'!$K$3:$V$201,MATCH('Buildings &amp; stationary assets'!$D28,'Emission factors'!$J$3:$J$201,0),MATCH($K$6,'Emission factors'!$K$2:$V$2,0)))</f>
        <v/>
      </c>
      <c r="L28" s="193" t="str" cm="1">
        <f t="array" ref="L28">IF(OR(D28="",H28="",BuildingsTable[[#This Row],[Units]]=""),"",INDEX('Emission factors'!$K$3:$V$201,MATCH('Buildings &amp; stationary assets'!$D28&amp;E28,'Emission factors'!$J$3:$J$201&amp;'Emission factors'!$K$3:$K$201,0),MATCH('Buildings &amp; stationary assets'!$L$6,'Emission factors'!$K$2:$V$2,0)))</f>
        <v/>
      </c>
      <c r="M28" s="287" t="str">
        <f>IF(OR(J28="",L28=""),"",SUM(BuildingsTable[[#This Row],[Direct]:[Indirect WTT]]))</f>
        <v/>
      </c>
      <c r="N28" s="150"/>
      <c r="O28" s="151"/>
      <c r="P28" s="288" t="str" cm="1">
        <f t="array" ref="P28">IF(OR($D28="",$H28=""),"",(INDEX('Emission factors'!$K$3:$V$201,MATCH('Buildings &amp; stationary assets'!$D28&amp;$E28,'Emission factors'!$J$3:$J$201&amp;'Emission factors'!$K$3:$K$201,0),MATCH('Buildings &amp; stationary assets'!P$6,'Emission factors'!$K$2:$V$2,0)))*$J28)</f>
        <v/>
      </c>
      <c r="Q28" s="288" t="str" cm="1">
        <f t="array" ref="Q28">IF(OR($D28="",$H28=""),"",(INDEX('Emission factors'!$K$3:$V$201,MATCH('Buildings &amp; stationary assets'!$D28&amp;$E28,'Emission factors'!$J$3:$J$201&amp;'Emission factors'!$K$3:$K$201,0),MATCH('Buildings &amp; stationary assets'!Q$6,'Emission factors'!$K$2:$V$2,0)))*$J28)</f>
        <v/>
      </c>
      <c r="R28" s="288" t="str" cm="1">
        <f t="array" ref="R28">IF(OR($D28="",$H28=""),"",(INDEX('Emission factors'!$K$3:$V$201,MATCH('Buildings &amp; stationary assets'!$D28&amp;$E28,'Emission factors'!$J$3:$J$201&amp;'Emission factors'!$K$3:$K$201,0),MATCH('Buildings &amp; stationary assets'!R$6,'Emission factors'!$K$2:$V$2,0)))*$J28)</f>
        <v/>
      </c>
      <c r="S28" s="288" t="str" cm="1">
        <f t="array" ref="S28">IF(OR($D28="",$H28=""),"",(INDEX('Emission factors'!$K$3:$V$201,MATCH('Buildings &amp; stationary assets'!$D28&amp;$E28,'Emission factors'!$J$3:$J$201&amp;'Emission factors'!$K$3:$K$201,0),MATCH('Buildings &amp; stationary assets'!S$6,'Emission factors'!$K$2:$V$2,0)))*$J28)</f>
        <v/>
      </c>
      <c r="T28" s="288" t="str" cm="1">
        <f t="array" ref="T28">IF(OR($D28="",$H28=""),"",(INDEX('Emission factors'!$K$3:$V$201,MATCH('Buildings &amp; stationary assets'!$D28&amp;$E28,'Emission factors'!$J$3:$J$201&amp;'Emission factors'!$K$3:$K$201,0),MATCH('Buildings &amp; stationary assets'!T$6,'Emission factors'!$K$2:$V$2,0)))*$J28)</f>
        <v/>
      </c>
      <c r="U28" s="289" t="str">
        <f>IF(OR($M28="",BuildingsTable[[#This Row],[RSD]]=""),"",BuildingsTable[[#This Row],[Total emissions (kgCO2e)]]*(1+BuildingsTable[[#This Row],[RSD]]))</f>
        <v/>
      </c>
      <c r="V28" s="290" t="str">
        <f>IF(OR($M28="",BuildingsTable[[#This Row],[RSD]]=""),"",BuildingsTable[[#This Row],[Total emissions (kgCO2e)]]*(1-BuildingsTable[[#This Row],[RSD]]))</f>
        <v/>
      </c>
      <c r="W28" s="320" t="str" cm="1">
        <f t="array" ref="W28">IF(OR($D28="",$H28=""),"",(INDEX('Emission factors'!$K$3:$V$201,MATCH('Buildings &amp; stationary assets'!$D28&amp;$E28,'Emission factors'!$J$3:$J$201&amp;'Emission factors'!$K$3:$K$201,0),MATCH('Buildings &amp; stationary assets'!W$6,'Emission factors'!$K$2:$V$2,0)))*$J28)</f>
        <v/>
      </c>
      <c r="X28" s="66"/>
      <c r="Y28" s="1" cm="1">
        <f t="array" ref="Y28">IF(OR(ISERROR(B28:W28)),1,0)</f>
        <v>0</v>
      </c>
      <c r="Z28" s="1">
        <f t="shared" si="0"/>
        <v>0</v>
      </c>
    </row>
    <row r="29" spans="1:26" s="1" customFormat="1" ht="15" outlineLevel="1" thickBot="1" x14ac:dyDescent="0.4">
      <c r="A29" s="189"/>
      <c r="B29" s="461"/>
      <c r="C29" s="155"/>
      <c r="D29" s="151"/>
      <c r="E29" s="151"/>
      <c r="F29" s="151"/>
      <c r="G29" s="187" t="str">
        <f>IF(F29="","",INDEX(Lists!$BA$4:$BC$31,MATCH(D29,Lists!$AZ$4:$AZ$31,0),MATCH(F29,Lists!$BA$3:$BC$3,0)))</f>
        <v/>
      </c>
      <c r="H29" s="148"/>
      <c r="I29" s="151"/>
      <c r="J29" s="154" t="str" cm="1">
        <f t="array" ref="J29">IF(OR($D29="",$C29="",$H29="",$I29=""),"",IF(I29=K29,H29,(INDEX('Emission factors'!$K$3:$V$201,MATCH(D29&amp;E29,'Emission factors'!$J$3:$J$201&amp;'Emission factors'!$K$3:$K$201,0),MATCH(J$6,'Emission factors'!$K$2:$V$2,0)))*H29))</f>
        <v/>
      </c>
      <c r="K29" s="192" t="str">
        <f>IF(OR($D29="",$C29="",$H29="",$I29=""),"",INDEX('Emission factors'!$K$3:$V$201,MATCH('Buildings &amp; stationary assets'!$D29,'Emission factors'!$J$3:$J$201,0),MATCH($K$6,'Emission factors'!$K$2:$V$2,0)))</f>
        <v/>
      </c>
      <c r="L29" s="193" t="str" cm="1">
        <f t="array" ref="L29">IF(OR(D29="",H29="",BuildingsTable[[#This Row],[Units]]=""),"",INDEX('Emission factors'!$K$3:$V$201,MATCH('Buildings &amp; stationary assets'!$D29&amp;E29,'Emission factors'!$J$3:$J$201&amp;'Emission factors'!$K$3:$K$201,0),MATCH('Buildings &amp; stationary assets'!$L$6,'Emission factors'!$K$2:$V$2,0)))</f>
        <v/>
      </c>
      <c r="M29" s="287" t="str">
        <f>IF(OR(J29="",L29=""),"",SUM(BuildingsTable[[#This Row],[Direct]:[Indirect WTT]]))</f>
        <v/>
      </c>
      <c r="N29" s="150"/>
      <c r="O29" s="151"/>
      <c r="P29" s="288" t="str" cm="1">
        <f t="array" ref="P29">IF(OR($D29="",$H29=""),"",(INDEX('Emission factors'!$K$3:$V$201,MATCH('Buildings &amp; stationary assets'!$D29&amp;$E29,'Emission factors'!$J$3:$J$201&amp;'Emission factors'!$K$3:$K$201,0),MATCH('Buildings &amp; stationary assets'!P$6,'Emission factors'!$K$2:$V$2,0)))*$J29)</f>
        <v/>
      </c>
      <c r="Q29" s="288" t="str" cm="1">
        <f t="array" ref="Q29">IF(OR($D29="",$H29=""),"",(INDEX('Emission factors'!$K$3:$V$201,MATCH('Buildings &amp; stationary assets'!$D29&amp;$E29,'Emission factors'!$J$3:$J$201&amp;'Emission factors'!$K$3:$K$201,0),MATCH('Buildings &amp; stationary assets'!Q$6,'Emission factors'!$K$2:$V$2,0)))*$J29)</f>
        <v/>
      </c>
      <c r="R29" s="288" t="str" cm="1">
        <f t="array" ref="R29">IF(OR($D29="",$H29=""),"",(INDEX('Emission factors'!$K$3:$V$201,MATCH('Buildings &amp; stationary assets'!$D29&amp;$E29,'Emission factors'!$J$3:$J$201&amp;'Emission factors'!$K$3:$K$201,0),MATCH('Buildings &amp; stationary assets'!R$6,'Emission factors'!$K$2:$V$2,0)))*$J29)</f>
        <v/>
      </c>
      <c r="S29" s="288" t="str" cm="1">
        <f t="array" ref="S29">IF(OR($D29="",$H29=""),"",(INDEX('Emission factors'!$K$3:$V$201,MATCH('Buildings &amp; stationary assets'!$D29&amp;$E29,'Emission factors'!$J$3:$J$201&amp;'Emission factors'!$K$3:$K$201,0),MATCH('Buildings &amp; stationary assets'!S$6,'Emission factors'!$K$2:$V$2,0)))*$J29)</f>
        <v/>
      </c>
      <c r="T29" s="288" t="str" cm="1">
        <f t="array" ref="T29">IF(OR($D29="",$H29=""),"",(INDEX('Emission factors'!$K$3:$V$201,MATCH('Buildings &amp; stationary assets'!$D29&amp;$E29,'Emission factors'!$J$3:$J$201&amp;'Emission factors'!$K$3:$K$201,0),MATCH('Buildings &amp; stationary assets'!T$6,'Emission factors'!$K$2:$V$2,0)))*$J29)</f>
        <v/>
      </c>
      <c r="U29" s="289" t="str">
        <f>IF(OR($M29="",BuildingsTable[[#This Row],[RSD]]=""),"",BuildingsTable[[#This Row],[Total emissions (kgCO2e)]]*(1+BuildingsTable[[#This Row],[RSD]]))</f>
        <v/>
      </c>
      <c r="V29" s="290" t="str">
        <f>IF(OR($M29="",BuildingsTable[[#This Row],[RSD]]=""),"",BuildingsTable[[#This Row],[Total emissions (kgCO2e)]]*(1-BuildingsTable[[#This Row],[RSD]]))</f>
        <v/>
      </c>
      <c r="W29" s="320" t="str" cm="1">
        <f t="array" ref="W29">IF(OR($D29="",$H29=""),"",(INDEX('Emission factors'!$K$3:$V$201,MATCH('Buildings &amp; stationary assets'!$D29&amp;$E29,'Emission factors'!$J$3:$J$201&amp;'Emission factors'!$K$3:$K$201,0),MATCH('Buildings &amp; stationary assets'!W$6,'Emission factors'!$K$2:$V$2,0)))*$J29)</f>
        <v/>
      </c>
      <c r="X29" s="66"/>
      <c r="Y29" s="1" cm="1">
        <f t="array" ref="Y29">IF(OR(ISERROR(B29:W29)),1,0)</f>
        <v>0</v>
      </c>
      <c r="Z29" s="1">
        <f t="shared" si="0"/>
        <v>0</v>
      </c>
    </row>
    <row r="30" spans="1:26" s="1" customFormat="1" ht="15" outlineLevel="1" thickBot="1" x14ac:dyDescent="0.4">
      <c r="A30" s="189"/>
      <c r="B30" s="461"/>
      <c r="C30" s="155"/>
      <c r="D30" s="151"/>
      <c r="E30" s="151"/>
      <c r="F30" s="151"/>
      <c r="G30" s="187" t="str">
        <f>IF(F30="","",INDEX(Lists!$BA$4:$BC$31,MATCH(D30,Lists!$AZ$4:$AZ$31,0),MATCH(F30,Lists!$BA$3:$BC$3,0)))</f>
        <v/>
      </c>
      <c r="H30" s="148"/>
      <c r="I30" s="151"/>
      <c r="J30" s="154" t="str" cm="1">
        <f t="array" ref="J30">IF(OR($D30="",$C30="",$H30="",$I30=""),"",IF(I30=K30,H30,(INDEX('Emission factors'!$K$3:$V$201,MATCH(D30&amp;E30,'Emission factors'!$J$3:$J$201&amp;'Emission factors'!$K$3:$K$201,0),MATCH(J$6,'Emission factors'!$K$2:$V$2,0)))*H30))</f>
        <v/>
      </c>
      <c r="K30" s="192" t="str">
        <f>IF(OR($D30="",$C30="",$H30="",$I30=""),"",INDEX('Emission factors'!$K$3:$V$201,MATCH('Buildings &amp; stationary assets'!$D30,'Emission factors'!$J$3:$J$201,0),MATCH($K$6,'Emission factors'!$K$2:$V$2,0)))</f>
        <v/>
      </c>
      <c r="L30" s="193" t="str" cm="1">
        <f t="array" ref="L30">IF(OR(D30="",H30="",BuildingsTable[[#This Row],[Units]]=""),"",INDEX('Emission factors'!$K$3:$V$201,MATCH('Buildings &amp; stationary assets'!$D30&amp;E30,'Emission factors'!$J$3:$J$201&amp;'Emission factors'!$K$3:$K$201,0),MATCH('Buildings &amp; stationary assets'!$L$6,'Emission factors'!$K$2:$V$2,0)))</f>
        <v/>
      </c>
      <c r="M30" s="287" t="str">
        <f>IF(OR(J30="",L30=""),"",SUM(BuildingsTable[[#This Row],[Direct]:[Indirect WTT]]))</f>
        <v/>
      </c>
      <c r="N30" s="150"/>
      <c r="O30" s="151"/>
      <c r="P30" s="288" t="str" cm="1">
        <f t="array" ref="P30">IF(OR($D30="",$H30=""),"",(INDEX('Emission factors'!$K$3:$V$201,MATCH('Buildings &amp; stationary assets'!$D30&amp;$E30,'Emission factors'!$J$3:$J$201&amp;'Emission factors'!$K$3:$K$201,0),MATCH('Buildings &amp; stationary assets'!P$6,'Emission factors'!$K$2:$V$2,0)))*$J30)</f>
        <v/>
      </c>
      <c r="Q30" s="288" t="str" cm="1">
        <f t="array" ref="Q30">IF(OR($D30="",$H30=""),"",(INDEX('Emission factors'!$K$3:$V$201,MATCH('Buildings &amp; stationary assets'!$D30&amp;$E30,'Emission factors'!$J$3:$J$201&amp;'Emission factors'!$K$3:$K$201,0),MATCH('Buildings &amp; stationary assets'!Q$6,'Emission factors'!$K$2:$V$2,0)))*$J30)</f>
        <v/>
      </c>
      <c r="R30" s="288" t="str" cm="1">
        <f t="array" ref="R30">IF(OR($D30="",$H30=""),"",(INDEX('Emission factors'!$K$3:$V$201,MATCH('Buildings &amp; stationary assets'!$D30&amp;$E30,'Emission factors'!$J$3:$J$201&amp;'Emission factors'!$K$3:$K$201,0),MATCH('Buildings &amp; stationary assets'!R$6,'Emission factors'!$K$2:$V$2,0)))*$J30)</f>
        <v/>
      </c>
      <c r="S30" s="288" t="str" cm="1">
        <f t="array" ref="S30">IF(OR($D30="",$H30=""),"",(INDEX('Emission factors'!$K$3:$V$201,MATCH('Buildings &amp; stationary assets'!$D30&amp;$E30,'Emission factors'!$J$3:$J$201&amp;'Emission factors'!$K$3:$K$201,0),MATCH('Buildings &amp; stationary assets'!S$6,'Emission factors'!$K$2:$V$2,0)))*$J30)</f>
        <v/>
      </c>
      <c r="T30" s="288" t="str" cm="1">
        <f t="array" ref="T30">IF(OR($D30="",$H30=""),"",(INDEX('Emission factors'!$K$3:$V$201,MATCH('Buildings &amp; stationary assets'!$D30&amp;$E30,'Emission factors'!$J$3:$J$201&amp;'Emission factors'!$K$3:$K$201,0),MATCH('Buildings &amp; stationary assets'!T$6,'Emission factors'!$K$2:$V$2,0)))*$J30)</f>
        <v/>
      </c>
      <c r="U30" s="289" t="str">
        <f>IF(OR($M30="",BuildingsTable[[#This Row],[RSD]]=""),"",BuildingsTable[[#This Row],[Total emissions (kgCO2e)]]*(1+BuildingsTable[[#This Row],[RSD]]))</f>
        <v/>
      </c>
      <c r="V30" s="290" t="str">
        <f>IF(OR($M30="",BuildingsTable[[#This Row],[RSD]]=""),"",BuildingsTable[[#This Row],[Total emissions (kgCO2e)]]*(1-BuildingsTable[[#This Row],[RSD]]))</f>
        <v/>
      </c>
      <c r="W30" s="320" t="str" cm="1">
        <f t="array" ref="W30">IF(OR($D30="",$H30=""),"",(INDEX('Emission factors'!$K$3:$V$201,MATCH('Buildings &amp; stationary assets'!$D30&amp;$E30,'Emission factors'!$J$3:$J$201&amp;'Emission factors'!$K$3:$K$201,0),MATCH('Buildings &amp; stationary assets'!W$6,'Emission factors'!$K$2:$V$2,0)))*$J30)</f>
        <v/>
      </c>
      <c r="X30" s="66"/>
      <c r="Y30" s="1" cm="1">
        <f t="array" ref="Y30">IF(OR(ISERROR(B30:W30)),1,0)</f>
        <v>0</v>
      </c>
      <c r="Z30" s="1">
        <f t="shared" si="0"/>
        <v>0</v>
      </c>
    </row>
    <row r="31" spans="1:26" s="1" customFormat="1" ht="15" outlineLevel="1" thickBot="1" x14ac:dyDescent="0.4">
      <c r="A31" s="189"/>
      <c r="B31" s="461"/>
      <c r="C31" s="155"/>
      <c r="D31" s="151"/>
      <c r="E31" s="151"/>
      <c r="F31" s="151"/>
      <c r="G31" s="187" t="str">
        <f>IF(F31="","",INDEX(Lists!$BA$4:$BC$31,MATCH(D31,Lists!$AZ$4:$AZ$31,0),MATCH(F31,Lists!$BA$3:$BC$3,0)))</f>
        <v/>
      </c>
      <c r="H31" s="148"/>
      <c r="I31" s="151"/>
      <c r="J31" s="154" t="str" cm="1">
        <f t="array" ref="J31">IF(OR($D31="",$C31="",$H31="",$I31=""),"",IF(I31=K31,H31,(INDEX('Emission factors'!$K$3:$V$201,MATCH(D31&amp;E31,'Emission factors'!$J$3:$J$201&amp;'Emission factors'!$K$3:$K$201,0),MATCH(J$6,'Emission factors'!$K$2:$V$2,0)))*H31))</f>
        <v/>
      </c>
      <c r="K31" s="192" t="str">
        <f>IF(OR($D31="",$C31="",$H31="",$I31=""),"",INDEX('Emission factors'!$K$3:$V$201,MATCH('Buildings &amp; stationary assets'!$D31,'Emission factors'!$J$3:$J$201,0),MATCH($K$6,'Emission factors'!$K$2:$V$2,0)))</f>
        <v/>
      </c>
      <c r="L31" s="193" t="str" cm="1">
        <f t="array" ref="L31">IF(OR(D31="",H31="",BuildingsTable[[#This Row],[Units]]=""),"",INDEX('Emission factors'!$K$3:$V$201,MATCH('Buildings &amp; stationary assets'!$D31&amp;E31,'Emission factors'!$J$3:$J$201&amp;'Emission factors'!$K$3:$K$201,0),MATCH('Buildings &amp; stationary assets'!$L$6,'Emission factors'!$K$2:$V$2,0)))</f>
        <v/>
      </c>
      <c r="M31" s="287" t="str">
        <f>IF(OR(J31="",L31=""),"",SUM(BuildingsTable[[#This Row],[Direct]:[Indirect WTT]]))</f>
        <v/>
      </c>
      <c r="N31" s="150"/>
      <c r="O31" s="151"/>
      <c r="P31" s="288" t="str" cm="1">
        <f t="array" ref="P31">IF(OR($D31="",$H31=""),"",(INDEX('Emission factors'!$K$3:$V$201,MATCH('Buildings &amp; stationary assets'!$D31&amp;$E31,'Emission factors'!$J$3:$J$201&amp;'Emission factors'!$K$3:$K$201,0),MATCH('Buildings &amp; stationary assets'!P$6,'Emission factors'!$K$2:$V$2,0)))*$J31)</f>
        <v/>
      </c>
      <c r="Q31" s="288" t="str" cm="1">
        <f t="array" ref="Q31">IF(OR($D31="",$H31=""),"",(INDEX('Emission factors'!$K$3:$V$201,MATCH('Buildings &amp; stationary assets'!$D31&amp;$E31,'Emission factors'!$J$3:$J$201&amp;'Emission factors'!$K$3:$K$201,0),MATCH('Buildings &amp; stationary assets'!Q$6,'Emission factors'!$K$2:$V$2,0)))*$J31)</f>
        <v/>
      </c>
      <c r="R31" s="288" t="str" cm="1">
        <f t="array" ref="R31">IF(OR($D31="",$H31=""),"",(INDEX('Emission factors'!$K$3:$V$201,MATCH('Buildings &amp; stationary assets'!$D31&amp;$E31,'Emission factors'!$J$3:$J$201&amp;'Emission factors'!$K$3:$K$201,0),MATCH('Buildings &amp; stationary assets'!R$6,'Emission factors'!$K$2:$V$2,0)))*$J31)</f>
        <v/>
      </c>
      <c r="S31" s="288" t="str" cm="1">
        <f t="array" ref="S31">IF(OR($D31="",$H31=""),"",(INDEX('Emission factors'!$K$3:$V$201,MATCH('Buildings &amp; stationary assets'!$D31&amp;$E31,'Emission factors'!$J$3:$J$201&amp;'Emission factors'!$K$3:$K$201,0),MATCH('Buildings &amp; stationary assets'!S$6,'Emission factors'!$K$2:$V$2,0)))*$J31)</f>
        <v/>
      </c>
      <c r="T31" s="288" t="str" cm="1">
        <f t="array" ref="T31">IF(OR($D31="",$H31=""),"",(INDEX('Emission factors'!$K$3:$V$201,MATCH('Buildings &amp; stationary assets'!$D31&amp;$E31,'Emission factors'!$J$3:$J$201&amp;'Emission factors'!$K$3:$K$201,0),MATCH('Buildings &amp; stationary assets'!T$6,'Emission factors'!$K$2:$V$2,0)))*$J31)</f>
        <v/>
      </c>
      <c r="U31" s="289" t="str">
        <f>IF(OR($M31="",BuildingsTable[[#This Row],[RSD]]=""),"",BuildingsTable[[#This Row],[Total emissions (kgCO2e)]]*(1+BuildingsTable[[#This Row],[RSD]]))</f>
        <v/>
      </c>
      <c r="V31" s="290" t="str">
        <f>IF(OR($M31="",BuildingsTable[[#This Row],[RSD]]=""),"",BuildingsTable[[#This Row],[Total emissions (kgCO2e)]]*(1-BuildingsTable[[#This Row],[RSD]]))</f>
        <v/>
      </c>
      <c r="W31" s="320" t="str" cm="1">
        <f t="array" ref="W31">IF(OR($D31="",$H31=""),"",(INDEX('Emission factors'!$K$3:$V$201,MATCH('Buildings &amp; stationary assets'!$D31&amp;$E31,'Emission factors'!$J$3:$J$201&amp;'Emission factors'!$K$3:$K$201,0),MATCH('Buildings &amp; stationary assets'!W$6,'Emission factors'!$K$2:$V$2,0)))*$J31)</f>
        <v/>
      </c>
      <c r="X31" s="66"/>
      <c r="Y31" s="1" cm="1">
        <f t="array" ref="Y31">IF(OR(ISERROR(B31:W31)),1,0)</f>
        <v>0</v>
      </c>
      <c r="Z31" s="1">
        <f t="shared" si="0"/>
        <v>0</v>
      </c>
    </row>
    <row r="32" spans="1:26" s="1" customFormat="1" ht="15" outlineLevel="1" thickBot="1" x14ac:dyDescent="0.4">
      <c r="A32" s="189"/>
      <c r="B32" s="461"/>
      <c r="C32" s="155"/>
      <c r="D32" s="151"/>
      <c r="E32" s="151"/>
      <c r="F32" s="151"/>
      <c r="G32" s="187" t="str">
        <f>IF(F32="","",INDEX(Lists!$BA$4:$BC$31,MATCH(D32,Lists!$AZ$4:$AZ$31,0),MATCH(F32,Lists!$BA$3:$BC$3,0)))</f>
        <v/>
      </c>
      <c r="H32" s="148"/>
      <c r="I32" s="151"/>
      <c r="J32" s="154" t="str" cm="1">
        <f t="array" ref="J32">IF(OR($D32="",$C32="",$H32="",$I32=""),"",IF(I32=K32,H32,(INDEX('Emission factors'!$K$3:$V$201,MATCH(D32&amp;E32,'Emission factors'!$J$3:$J$201&amp;'Emission factors'!$K$3:$K$201,0),MATCH(J$6,'Emission factors'!$K$2:$V$2,0)))*H32))</f>
        <v/>
      </c>
      <c r="K32" s="192" t="str">
        <f>IF(OR($D32="",$C32="",$H32="",$I32=""),"",INDEX('Emission factors'!$K$3:$V$201,MATCH('Buildings &amp; stationary assets'!$D32,'Emission factors'!$J$3:$J$201,0),MATCH($K$6,'Emission factors'!$K$2:$V$2,0)))</f>
        <v/>
      </c>
      <c r="L32" s="193" t="str" cm="1">
        <f t="array" ref="L32">IF(OR(D32="",H32="",BuildingsTable[[#This Row],[Units]]=""),"",INDEX('Emission factors'!$K$3:$V$201,MATCH('Buildings &amp; stationary assets'!$D32&amp;E32,'Emission factors'!$J$3:$J$201&amp;'Emission factors'!$K$3:$K$201,0),MATCH('Buildings &amp; stationary assets'!$L$6,'Emission factors'!$K$2:$V$2,0)))</f>
        <v/>
      </c>
      <c r="M32" s="287" t="str">
        <f>IF(OR(J32="",L32=""),"",SUM(BuildingsTable[[#This Row],[Direct]:[Indirect WTT]]))</f>
        <v/>
      </c>
      <c r="N32" s="150"/>
      <c r="O32" s="151"/>
      <c r="P32" s="288" t="str" cm="1">
        <f t="array" ref="P32">IF(OR($D32="",$H32=""),"",(INDEX('Emission factors'!$K$3:$V$201,MATCH('Buildings &amp; stationary assets'!$D32&amp;$E32,'Emission factors'!$J$3:$J$201&amp;'Emission factors'!$K$3:$K$201,0),MATCH('Buildings &amp; stationary assets'!P$6,'Emission factors'!$K$2:$V$2,0)))*$J32)</f>
        <v/>
      </c>
      <c r="Q32" s="288" t="str" cm="1">
        <f t="array" ref="Q32">IF(OR($D32="",$H32=""),"",(INDEX('Emission factors'!$K$3:$V$201,MATCH('Buildings &amp; stationary assets'!$D32&amp;$E32,'Emission factors'!$J$3:$J$201&amp;'Emission factors'!$K$3:$K$201,0),MATCH('Buildings &amp; stationary assets'!Q$6,'Emission factors'!$K$2:$V$2,0)))*$J32)</f>
        <v/>
      </c>
      <c r="R32" s="288" t="str" cm="1">
        <f t="array" ref="R32">IF(OR($D32="",$H32=""),"",(INDEX('Emission factors'!$K$3:$V$201,MATCH('Buildings &amp; stationary assets'!$D32&amp;$E32,'Emission factors'!$J$3:$J$201&amp;'Emission factors'!$K$3:$K$201,0),MATCH('Buildings &amp; stationary assets'!R$6,'Emission factors'!$K$2:$V$2,0)))*$J32)</f>
        <v/>
      </c>
      <c r="S32" s="288" t="str" cm="1">
        <f t="array" ref="S32">IF(OR($D32="",$H32=""),"",(INDEX('Emission factors'!$K$3:$V$201,MATCH('Buildings &amp; stationary assets'!$D32&amp;$E32,'Emission factors'!$J$3:$J$201&amp;'Emission factors'!$K$3:$K$201,0),MATCH('Buildings &amp; stationary assets'!S$6,'Emission factors'!$K$2:$V$2,0)))*$J32)</f>
        <v/>
      </c>
      <c r="T32" s="288" t="str" cm="1">
        <f t="array" ref="T32">IF(OR($D32="",$H32=""),"",(INDEX('Emission factors'!$K$3:$V$201,MATCH('Buildings &amp; stationary assets'!$D32&amp;$E32,'Emission factors'!$J$3:$J$201&amp;'Emission factors'!$K$3:$K$201,0),MATCH('Buildings &amp; stationary assets'!T$6,'Emission factors'!$K$2:$V$2,0)))*$J32)</f>
        <v/>
      </c>
      <c r="U32" s="289" t="str">
        <f>IF(OR($M32="",BuildingsTable[[#This Row],[RSD]]=""),"",BuildingsTable[[#This Row],[Total emissions (kgCO2e)]]*(1+BuildingsTable[[#This Row],[RSD]]))</f>
        <v/>
      </c>
      <c r="V32" s="290" t="str">
        <f>IF(OR($M32="",BuildingsTable[[#This Row],[RSD]]=""),"",BuildingsTable[[#This Row],[Total emissions (kgCO2e)]]*(1-BuildingsTable[[#This Row],[RSD]]))</f>
        <v/>
      </c>
      <c r="W32" s="320" t="str" cm="1">
        <f t="array" ref="W32">IF(OR($D32="",$H32=""),"",(INDEX('Emission factors'!$K$3:$V$201,MATCH('Buildings &amp; stationary assets'!$D32&amp;$E32,'Emission factors'!$J$3:$J$201&amp;'Emission factors'!$K$3:$K$201,0),MATCH('Buildings &amp; stationary assets'!W$6,'Emission factors'!$K$2:$V$2,0)))*$J32)</f>
        <v/>
      </c>
      <c r="X32" s="66"/>
      <c r="Y32" s="1" cm="1">
        <f t="array" ref="Y32">IF(OR(ISERROR(B32:W32)),1,0)</f>
        <v>0</v>
      </c>
      <c r="Z32" s="1">
        <f t="shared" si="0"/>
        <v>0</v>
      </c>
    </row>
    <row r="33" spans="1:26" s="1" customFormat="1" ht="15" outlineLevel="1" thickBot="1" x14ac:dyDescent="0.4">
      <c r="A33" s="189"/>
      <c r="B33" s="461"/>
      <c r="C33" s="155"/>
      <c r="D33" s="151"/>
      <c r="E33" s="151"/>
      <c r="F33" s="151"/>
      <c r="G33" s="187" t="str">
        <f>IF(F33="","",INDEX(Lists!$BA$4:$BC$31,MATCH(D33,Lists!$AZ$4:$AZ$31,0),MATCH(F33,Lists!$BA$3:$BC$3,0)))</f>
        <v/>
      </c>
      <c r="H33" s="148"/>
      <c r="I33" s="151"/>
      <c r="J33" s="154" t="str" cm="1">
        <f t="array" ref="J33">IF(OR($D33="",$C33="",$H33="",$I33=""),"",IF(I33=K33,H33,(INDEX('Emission factors'!$K$3:$V$201,MATCH(D33&amp;E33,'Emission factors'!$J$3:$J$201&amp;'Emission factors'!$K$3:$K$201,0),MATCH(J$6,'Emission factors'!$K$2:$V$2,0)))*H33))</f>
        <v/>
      </c>
      <c r="K33" s="192" t="str">
        <f>IF(OR($D33="",$C33="",$H33="",$I33=""),"",INDEX('Emission factors'!$K$3:$V$201,MATCH('Buildings &amp; stationary assets'!$D33,'Emission factors'!$J$3:$J$201,0),MATCH($K$6,'Emission factors'!$K$2:$V$2,0)))</f>
        <v/>
      </c>
      <c r="L33" s="193" t="str" cm="1">
        <f t="array" ref="L33">IF(OR(D33="",H33="",BuildingsTable[[#This Row],[Units]]=""),"",INDEX('Emission factors'!$K$3:$V$201,MATCH('Buildings &amp; stationary assets'!$D33&amp;E33,'Emission factors'!$J$3:$J$201&amp;'Emission factors'!$K$3:$K$201,0),MATCH('Buildings &amp; stationary assets'!$L$6,'Emission factors'!$K$2:$V$2,0)))</f>
        <v/>
      </c>
      <c r="M33" s="287" t="str">
        <f>IF(OR(J33="",L33=""),"",SUM(BuildingsTable[[#This Row],[Direct]:[Indirect WTT]]))</f>
        <v/>
      </c>
      <c r="N33" s="150"/>
      <c r="O33" s="151"/>
      <c r="P33" s="288" t="str" cm="1">
        <f t="array" ref="P33">IF(OR($D33="",$H33=""),"",(INDEX('Emission factors'!$K$3:$V$201,MATCH('Buildings &amp; stationary assets'!$D33&amp;$E33,'Emission factors'!$J$3:$J$201&amp;'Emission factors'!$K$3:$K$201,0),MATCH('Buildings &amp; stationary assets'!P$6,'Emission factors'!$K$2:$V$2,0)))*$J33)</f>
        <v/>
      </c>
      <c r="Q33" s="288" t="str" cm="1">
        <f t="array" ref="Q33">IF(OR($D33="",$H33=""),"",(INDEX('Emission factors'!$K$3:$V$201,MATCH('Buildings &amp; stationary assets'!$D33&amp;$E33,'Emission factors'!$J$3:$J$201&amp;'Emission factors'!$K$3:$K$201,0),MATCH('Buildings &amp; stationary assets'!Q$6,'Emission factors'!$K$2:$V$2,0)))*$J33)</f>
        <v/>
      </c>
      <c r="R33" s="288" t="str" cm="1">
        <f t="array" ref="R33">IF(OR($D33="",$H33=""),"",(INDEX('Emission factors'!$K$3:$V$201,MATCH('Buildings &amp; stationary assets'!$D33&amp;$E33,'Emission factors'!$J$3:$J$201&amp;'Emission factors'!$K$3:$K$201,0),MATCH('Buildings &amp; stationary assets'!R$6,'Emission factors'!$K$2:$V$2,0)))*$J33)</f>
        <v/>
      </c>
      <c r="S33" s="288" t="str" cm="1">
        <f t="array" ref="S33">IF(OR($D33="",$H33=""),"",(INDEX('Emission factors'!$K$3:$V$201,MATCH('Buildings &amp; stationary assets'!$D33&amp;$E33,'Emission factors'!$J$3:$J$201&amp;'Emission factors'!$K$3:$K$201,0),MATCH('Buildings &amp; stationary assets'!S$6,'Emission factors'!$K$2:$V$2,0)))*$J33)</f>
        <v/>
      </c>
      <c r="T33" s="288" t="str" cm="1">
        <f t="array" ref="T33">IF(OR($D33="",$H33=""),"",(INDEX('Emission factors'!$K$3:$V$201,MATCH('Buildings &amp; stationary assets'!$D33&amp;$E33,'Emission factors'!$J$3:$J$201&amp;'Emission factors'!$K$3:$K$201,0),MATCH('Buildings &amp; stationary assets'!T$6,'Emission factors'!$K$2:$V$2,0)))*$J33)</f>
        <v/>
      </c>
      <c r="U33" s="289" t="str">
        <f>IF(OR($M33="",BuildingsTable[[#This Row],[RSD]]=""),"",BuildingsTable[[#This Row],[Total emissions (kgCO2e)]]*(1+BuildingsTable[[#This Row],[RSD]]))</f>
        <v/>
      </c>
      <c r="V33" s="290" t="str">
        <f>IF(OR($M33="",BuildingsTable[[#This Row],[RSD]]=""),"",BuildingsTable[[#This Row],[Total emissions (kgCO2e)]]*(1-BuildingsTable[[#This Row],[RSD]]))</f>
        <v/>
      </c>
      <c r="W33" s="320" t="str" cm="1">
        <f t="array" ref="W33">IF(OR($D33="",$H33=""),"",(INDEX('Emission factors'!$K$3:$V$201,MATCH('Buildings &amp; stationary assets'!$D33&amp;$E33,'Emission factors'!$J$3:$J$201&amp;'Emission factors'!$K$3:$K$201,0),MATCH('Buildings &amp; stationary assets'!W$6,'Emission factors'!$K$2:$V$2,0)))*$J33)</f>
        <v/>
      </c>
      <c r="X33" s="66"/>
      <c r="Y33" s="1" cm="1">
        <f t="array" ref="Y33">IF(OR(ISERROR(B33:W33)),1,0)</f>
        <v>0</v>
      </c>
      <c r="Z33" s="1">
        <f t="shared" si="0"/>
        <v>0</v>
      </c>
    </row>
    <row r="34" spans="1:26" s="1" customFormat="1" ht="15" outlineLevel="1" thickBot="1" x14ac:dyDescent="0.4">
      <c r="A34" s="189"/>
      <c r="B34" s="461"/>
      <c r="C34" s="155"/>
      <c r="D34" s="151"/>
      <c r="E34" s="151"/>
      <c r="F34" s="151"/>
      <c r="G34" s="187" t="str">
        <f>IF(F34="","",INDEX(Lists!$BA$4:$BC$31,MATCH(D34,Lists!$AZ$4:$AZ$31,0),MATCH(F34,Lists!$BA$3:$BC$3,0)))</f>
        <v/>
      </c>
      <c r="H34" s="148"/>
      <c r="I34" s="151"/>
      <c r="J34" s="154" t="str" cm="1">
        <f t="array" ref="J34">IF(OR($D34="",$C34="",$H34="",$I34=""),"",IF(I34=K34,H34,(INDEX('Emission factors'!$K$3:$V$201,MATCH(D34&amp;E34,'Emission factors'!$J$3:$J$201&amp;'Emission factors'!$K$3:$K$201,0),MATCH(J$6,'Emission factors'!$K$2:$V$2,0)))*H34))</f>
        <v/>
      </c>
      <c r="K34" s="192" t="str">
        <f>IF(OR($D34="",$C34="",$H34="",$I34=""),"",INDEX('Emission factors'!$K$3:$V$201,MATCH('Buildings &amp; stationary assets'!$D34,'Emission factors'!$J$3:$J$201,0),MATCH($K$6,'Emission factors'!$K$2:$V$2,0)))</f>
        <v/>
      </c>
      <c r="L34" s="193" t="str" cm="1">
        <f t="array" ref="L34">IF(OR(D34="",H34="",BuildingsTable[[#This Row],[Units]]=""),"",INDEX('Emission factors'!$K$3:$V$201,MATCH('Buildings &amp; stationary assets'!$D34&amp;E34,'Emission factors'!$J$3:$J$201&amp;'Emission factors'!$K$3:$K$201,0),MATCH('Buildings &amp; stationary assets'!$L$6,'Emission factors'!$K$2:$V$2,0)))</f>
        <v/>
      </c>
      <c r="M34" s="287" t="str">
        <f>IF(OR(J34="",L34=""),"",SUM(BuildingsTable[[#This Row],[Direct]:[Indirect WTT]]))</f>
        <v/>
      </c>
      <c r="N34" s="150"/>
      <c r="O34" s="151"/>
      <c r="P34" s="288" t="str" cm="1">
        <f t="array" ref="P34">IF(OR($D34="",$H34=""),"",(INDEX('Emission factors'!$K$3:$V$201,MATCH('Buildings &amp; stationary assets'!$D34&amp;$E34,'Emission factors'!$J$3:$J$201&amp;'Emission factors'!$K$3:$K$201,0),MATCH('Buildings &amp; stationary assets'!P$6,'Emission factors'!$K$2:$V$2,0)))*$J34)</f>
        <v/>
      </c>
      <c r="Q34" s="288" t="str" cm="1">
        <f t="array" ref="Q34">IF(OR($D34="",$H34=""),"",(INDEX('Emission factors'!$K$3:$V$201,MATCH('Buildings &amp; stationary assets'!$D34&amp;$E34,'Emission factors'!$J$3:$J$201&amp;'Emission factors'!$K$3:$K$201,0),MATCH('Buildings &amp; stationary assets'!Q$6,'Emission factors'!$K$2:$V$2,0)))*$J34)</f>
        <v/>
      </c>
      <c r="R34" s="288" t="str" cm="1">
        <f t="array" ref="R34">IF(OR($D34="",$H34=""),"",(INDEX('Emission factors'!$K$3:$V$201,MATCH('Buildings &amp; stationary assets'!$D34&amp;$E34,'Emission factors'!$J$3:$J$201&amp;'Emission factors'!$K$3:$K$201,0),MATCH('Buildings &amp; stationary assets'!R$6,'Emission factors'!$K$2:$V$2,0)))*$J34)</f>
        <v/>
      </c>
      <c r="S34" s="288" t="str" cm="1">
        <f t="array" ref="S34">IF(OR($D34="",$H34=""),"",(INDEX('Emission factors'!$K$3:$V$201,MATCH('Buildings &amp; stationary assets'!$D34&amp;$E34,'Emission factors'!$J$3:$J$201&amp;'Emission factors'!$K$3:$K$201,0),MATCH('Buildings &amp; stationary assets'!S$6,'Emission factors'!$K$2:$V$2,0)))*$J34)</f>
        <v/>
      </c>
      <c r="T34" s="288" t="str" cm="1">
        <f t="array" ref="T34">IF(OR($D34="",$H34=""),"",(INDEX('Emission factors'!$K$3:$V$201,MATCH('Buildings &amp; stationary assets'!$D34&amp;$E34,'Emission factors'!$J$3:$J$201&amp;'Emission factors'!$K$3:$K$201,0),MATCH('Buildings &amp; stationary assets'!T$6,'Emission factors'!$K$2:$V$2,0)))*$J34)</f>
        <v/>
      </c>
      <c r="U34" s="289" t="str">
        <f>IF(OR($M34="",BuildingsTable[[#This Row],[RSD]]=""),"",BuildingsTable[[#This Row],[Total emissions (kgCO2e)]]*(1+BuildingsTable[[#This Row],[RSD]]))</f>
        <v/>
      </c>
      <c r="V34" s="290" t="str">
        <f>IF(OR($M34="",BuildingsTable[[#This Row],[RSD]]=""),"",BuildingsTable[[#This Row],[Total emissions (kgCO2e)]]*(1-BuildingsTable[[#This Row],[RSD]]))</f>
        <v/>
      </c>
      <c r="W34" s="320" t="str" cm="1">
        <f t="array" ref="W34">IF(OR($D34="",$H34=""),"",(INDEX('Emission factors'!$K$3:$V$201,MATCH('Buildings &amp; stationary assets'!$D34&amp;$E34,'Emission factors'!$J$3:$J$201&amp;'Emission factors'!$K$3:$K$201,0),MATCH('Buildings &amp; stationary assets'!W$6,'Emission factors'!$K$2:$V$2,0)))*$J34)</f>
        <v/>
      </c>
      <c r="X34" s="66"/>
      <c r="Y34" s="1" cm="1">
        <f t="array" ref="Y34">IF(OR(ISERROR(B34:W34)),1,0)</f>
        <v>0</v>
      </c>
      <c r="Z34" s="1">
        <f t="shared" si="0"/>
        <v>0</v>
      </c>
    </row>
    <row r="35" spans="1:26" s="1" customFormat="1" ht="15" outlineLevel="1" thickBot="1" x14ac:dyDescent="0.4">
      <c r="A35" s="189"/>
      <c r="B35" s="461"/>
      <c r="C35" s="155"/>
      <c r="D35" s="151"/>
      <c r="E35" s="151"/>
      <c r="F35" s="151"/>
      <c r="G35" s="187" t="str">
        <f>IF(F35="","",INDEX(Lists!$BA$4:$BC$31,MATCH(D35,Lists!$AZ$4:$AZ$31,0),MATCH(F35,Lists!$BA$3:$BC$3,0)))</f>
        <v/>
      </c>
      <c r="H35" s="148"/>
      <c r="I35" s="151"/>
      <c r="J35" s="154" t="str" cm="1">
        <f t="array" ref="J35">IF(OR($D35="",$C35="",$H35="",$I35=""),"",IF(I35=K35,H35,(INDEX('Emission factors'!$K$3:$V$201,MATCH(D35&amp;E35,'Emission factors'!$J$3:$J$201&amp;'Emission factors'!$K$3:$K$201,0),MATCH(J$6,'Emission factors'!$K$2:$V$2,0)))*H35))</f>
        <v/>
      </c>
      <c r="K35" s="192" t="str">
        <f>IF(OR($D35="",$C35="",$H35="",$I35=""),"",INDEX('Emission factors'!$K$3:$V$201,MATCH('Buildings &amp; stationary assets'!$D35,'Emission factors'!$J$3:$J$201,0),MATCH($K$6,'Emission factors'!$K$2:$V$2,0)))</f>
        <v/>
      </c>
      <c r="L35" s="193" t="str" cm="1">
        <f t="array" ref="L35">IF(OR(D35="",H35="",BuildingsTable[[#This Row],[Units]]=""),"",INDEX('Emission factors'!$K$3:$V$201,MATCH('Buildings &amp; stationary assets'!$D35&amp;E35,'Emission factors'!$J$3:$J$201&amp;'Emission factors'!$K$3:$K$201,0),MATCH('Buildings &amp; stationary assets'!$L$6,'Emission factors'!$K$2:$V$2,0)))</f>
        <v/>
      </c>
      <c r="M35" s="287" t="str">
        <f>IF(OR(J35="",L35=""),"",SUM(BuildingsTable[[#This Row],[Direct]:[Indirect WTT]]))</f>
        <v/>
      </c>
      <c r="N35" s="150"/>
      <c r="O35" s="151"/>
      <c r="P35" s="288" t="str" cm="1">
        <f t="array" ref="P35">IF(OR($D35="",$H35=""),"",(INDEX('Emission factors'!$K$3:$V$201,MATCH('Buildings &amp; stationary assets'!$D35&amp;$E35,'Emission factors'!$J$3:$J$201&amp;'Emission factors'!$K$3:$K$201,0),MATCH('Buildings &amp; stationary assets'!P$6,'Emission factors'!$K$2:$V$2,0)))*$J35)</f>
        <v/>
      </c>
      <c r="Q35" s="288" t="str" cm="1">
        <f t="array" ref="Q35">IF(OR($D35="",$H35=""),"",(INDEX('Emission factors'!$K$3:$V$201,MATCH('Buildings &amp; stationary assets'!$D35&amp;$E35,'Emission factors'!$J$3:$J$201&amp;'Emission factors'!$K$3:$K$201,0),MATCH('Buildings &amp; stationary assets'!Q$6,'Emission factors'!$K$2:$V$2,0)))*$J35)</f>
        <v/>
      </c>
      <c r="R35" s="288" t="str" cm="1">
        <f t="array" ref="R35">IF(OR($D35="",$H35=""),"",(INDEX('Emission factors'!$K$3:$V$201,MATCH('Buildings &amp; stationary assets'!$D35&amp;$E35,'Emission factors'!$J$3:$J$201&amp;'Emission factors'!$K$3:$K$201,0),MATCH('Buildings &amp; stationary assets'!R$6,'Emission factors'!$K$2:$V$2,0)))*$J35)</f>
        <v/>
      </c>
      <c r="S35" s="288" t="str" cm="1">
        <f t="array" ref="S35">IF(OR($D35="",$H35=""),"",(INDEX('Emission factors'!$K$3:$V$201,MATCH('Buildings &amp; stationary assets'!$D35&amp;$E35,'Emission factors'!$J$3:$J$201&amp;'Emission factors'!$K$3:$K$201,0),MATCH('Buildings &amp; stationary assets'!S$6,'Emission factors'!$K$2:$V$2,0)))*$J35)</f>
        <v/>
      </c>
      <c r="T35" s="288" t="str" cm="1">
        <f t="array" ref="T35">IF(OR($D35="",$H35=""),"",(INDEX('Emission factors'!$K$3:$V$201,MATCH('Buildings &amp; stationary assets'!$D35&amp;$E35,'Emission factors'!$J$3:$J$201&amp;'Emission factors'!$K$3:$K$201,0),MATCH('Buildings &amp; stationary assets'!T$6,'Emission factors'!$K$2:$V$2,0)))*$J35)</f>
        <v/>
      </c>
      <c r="U35" s="289" t="str">
        <f>IF(OR($M35="",BuildingsTable[[#This Row],[RSD]]=""),"",BuildingsTable[[#This Row],[Total emissions (kgCO2e)]]*(1+BuildingsTable[[#This Row],[RSD]]))</f>
        <v/>
      </c>
      <c r="V35" s="290" t="str">
        <f>IF(OR($M35="",BuildingsTable[[#This Row],[RSD]]=""),"",BuildingsTable[[#This Row],[Total emissions (kgCO2e)]]*(1-BuildingsTable[[#This Row],[RSD]]))</f>
        <v/>
      </c>
      <c r="W35" s="320" t="str" cm="1">
        <f t="array" ref="W35">IF(OR($D35="",$H35=""),"",(INDEX('Emission factors'!$K$3:$V$201,MATCH('Buildings &amp; stationary assets'!$D35&amp;$E35,'Emission factors'!$J$3:$J$201&amp;'Emission factors'!$K$3:$K$201,0),MATCH('Buildings &amp; stationary assets'!W$6,'Emission factors'!$K$2:$V$2,0)))*$J35)</f>
        <v/>
      </c>
      <c r="X35" s="66"/>
      <c r="Y35" s="1" cm="1">
        <f t="array" ref="Y35">IF(OR(ISERROR(B35:W35)),1,0)</f>
        <v>0</v>
      </c>
      <c r="Z35" s="1">
        <f t="shared" si="0"/>
        <v>0</v>
      </c>
    </row>
    <row r="36" spans="1:26" s="1" customFormat="1" ht="15" outlineLevel="1" thickBot="1" x14ac:dyDescent="0.4">
      <c r="A36" s="189"/>
      <c r="B36" s="461"/>
      <c r="C36" s="155"/>
      <c r="D36" s="151"/>
      <c r="E36" s="151"/>
      <c r="F36" s="151"/>
      <c r="G36" s="187" t="str">
        <f>IF(F36="","",INDEX(Lists!$BA$4:$BC$31,MATCH(D36,Lists!$AZ$4:$AZ$31,0),MATCH(F36,Lists!$BA$3:$BC$3,0)))</f>
        <v/>
      </c>
      <c r="H36" s="148"/>
      <c r="I36" s="151"/>
      <c r="J36" s="154" t="str" cm="1">
        <f t="array" ref="J36">IF(OR($D36="",$C36="",$H36="",$I36=""),"",IF(I36=K36,H36,(INDEX('Emission factors'!$K$3:$V$201,MATCH(D36&amp;E36,'Emission factors'!$J$3:$J$201&amp;'Emission factors'!$K$3:$K$201,0),MATCH(J$6,'Emission factors'!$K$2:$V$2,0)))*H36))</f>
        <v/>
      </c>
      <c r="K36" s="192" t="str">
        <f>IF(OR($D36="",$C36="",$H36="",$I36=""),"",INDEX('Emission factors'!$K$3:$V$201,MATCH('Buildings &amp; stationary assets'!$D36,'Emission factors'!$J$3:$J$201,0),MATCH($K$6,'Emission factors'!$K$2:$V$2,0)))</f>
        <v/>
      </c>
      <c r="L36" s="193" t="str" cm="1">
        <f t="array" ref="L36">IF(OR(D36="",H36="",BuildingsTable[[#This Row],[Units]]=""),"",INDEX('Emission factors'!$K$3:$V$201,MATCH('Buildings &amp; stationary assets'!$D36&amp;E36,'Emission factors'!$J$3:$J$201&amp;'Emission factors'!$K$3:$K$201,0),MATCH('Buildings &amp; stationary assets'!$L$6,'Emission factors'!$K$2:$V$2,0)))</f>
        <v/>
      </c>
      <c r="M36" s="287" t="str">
        <f>IF(OR(J36="",L36=""),"",SUM(BuildingsTable[[#This Row],[Direct]:[Indirect WTT]]))</f>
        <v/>
      </c>
      <c r="N36" s="150"/>
      <c r="O36" s="151"/>
      <c r="P36" s="288" t="str" cm="1">
        <f t="array" ref="P36">IF(OR($D36="",$H36=""),"",(INDEX('Emission factors'!$K$3:$V$201,MATCH('Buildings &amp; stationary assets'!$D36&amp;$E36,'Emission factors'!$J$3:$J$201&amp;'Emission factors'!$K$3:$K$201,0),MATCH('Buildings &amp; stationary assets'!P$6,'Emission factors'!$K$2:$V$2,0)))*$J36)</f>
        <v/>
      </c>
      <c r="Q36" s="288" t="str" cm="1">
        <f t="array" ref="Q36">IF(OR($D36="",$H36=""),"",(INDEX('Emission factors'!$K$3:$V$201,MATCH('Buildings &amp; stationary assets'!$D36&amp;$E36,'Emission factors'!$J$3:$J$201&amp;'Emission factors'!$K$3:$K$201,0),MATCH('Buildings &amp; stationary assets'!Q$6,'Emission factors'!$K$2:$V$2,0)))*$J36)</f>
        <v/>
      </c>
      <c r="R36" s="288" t="str" cm="1">
        <f t="array" ref="R36">IF(OR($D36="",$H36=""),"",(INDEX('Emission factors'!$K$3:$V$201,MATCH('Buildings &amp; stationary assets'!$D36&amp;$E36,'Emission factors'!$J$3:$J$201&amp;'Emission factors'!$K$3:$K$201,0),MATCH('Buildings &amp; stationary assets'!R$6,'Emission factors'!$K$2:$V$2,0)))*$J36)</f>
        <v/>
      </c>
      <c r="S36" s="288" t="str" cm="1">
        <f t="array" ref="S36">IF(OR($D36="",$H36=""),"",(INDEX('Emission factors'!$K$3:$V$201,MATCH('Buildings &amp; stationary assets'!$D36&amp;$E36,'Emission factors'!$J$3:$J$201&amp;'Emission factors'!$K$3:$K$201,0),MATCH('Buildings &amp; stationary assets'!S$6,'Emission factors'!$K$2:$V$2,0)))*$J36)</f>
        <v/>
      </c>
      <c r="T36" s="288" t="str" cm="1">
        <f t="array" ref="T36">IF(OR($D36="",$H36=""),"",(INDEX('Emission factors'!$K$3:$V$201,MATCH('Buildings &amp; stationary assets'!$D36&amp;$E36,'Emission factors'!$J$3:$J$201&amp;'Emission factors'!$K$3:$K$201,0),MATCH('Buildings &amp; stationary assets'!T$6,'Emission factors'!$K$2:$V$2,0)))*$J36)</f>
        <v/>
      </c>
      <c r="U36" s="289" t="str">
        <f>IF(OR($M36="",BuildingsTable[[#This Row],[RSD]]=""),"",BuildingsTable[[#This Row],[Total emissions (kgCO2e)]]*(1+BuildingsTable[[#This Row],[RSD]]))</f>
        <v/>
      </c>
      <c r="V36" s="290" t="str">
        <f>IF(OR($M36="",BuildingsTable[[#This Row],[RSD]]=""),"",BuildingsTable[[#This Row],[Total emissions (kgCO2e)]]*(1-BuildingsTable[[#This Row],[RSD]]))</f>
        <v/>
      </c>
      <c r="W36" s="320" t="str" cm="1">
        <f t="array" ref="W36">IF(OR($D36="",$H36=""),"",(INDEX('Emission factors'!$K$3:$V$201,MATCH('Buildings &amp; stationary assets'!$D36&amp;$E36,'Emission factors'!$J$3:$J$201&amp;'Emission factors'!$K$3:$K$201,0),MATCH('Buildings &amp; stationary assets'!W$6,'Emission factors'!$K$2:$V$2,0)))*$J36)</f>
        <v/>
      </c>
      <c r="X36" s="66"/>
      <c r="Y36" s="1" cm="1">
        <f t="array" ref="Y36">IF(OR(ISERROR(B36:W36)),1,0)</f>
        <v>0</v>
      </c>
      <c r="Z36" s="1">
        <f t="shared" si="0"/>
        <v>0</v>
      </c>
    </row>
    <row r="37" spans="1:26" s="1" customFormat="1" ht="15" outlineLevel="1" thickBot="1" x14ac:dyDescent="0.4">
      <c r="A37" s="189"/>
      <c r="B37" s="461"/>
      <c r="C37" s="155"/>
      <c r="D37" s="151"/>
      <c r="E37" s="151"/>
      <c r="F37" s="151"/>
      <c r="G37" s="187" t="str">
        <f>IF(F37="","",INDEX(Lists!$BA$4:$BC$31,MATCH(D37,Lists!$AZ$4:$AZ$31,0),MATCH(F37,Lists!$BA$3:$BC$3,0)))</f>
        <v/>
      </c>
      <c r="H37" s="148"/>
      <c r="I37" s="151"/>
      <c r="J37" s="154" t="str" cm="1">
        <f t="array" ref="J37">IF(OR($D37="",$C37="",$H37="",$I37=""),"",IF(I37=K37,H37,(INDEX('Emission factors'!$K$3:$V$201,MATCH(D37&amp;E37,'Emission factors'!$J$3:$J$201&amp;'Emission factors'!$K$3:$K$201,0),MATCH(J$6,'Emission factors'!$K$2:$V$2,0)))*H37))</f>
        <v/>
      </c>
      <c r="K37" s="192" t="str">
        <f>IF(OR($D37="",$C37="",$H37="",$I37=""),"",INDEX('Emission factors'!$K$3:$V$201,MATCH('Buildings &amp; stationary assets'!$D37,'Emission factors'!$J$3:$J$201,0),MATCH($K$6,'Emission factors'!$K$2:$V$2,0)))</f>
        <v/>
      </c>
      <c r="L37" s="193" t="str" cm="1">
        <f t="array" ref="L37">IF(OR(D37="",H37="",BuildingsTable[[#This Row],[Units]]=""),"",INDEX('Emission factors'!$K$3:$V$201,MATCH('Buildings &amp; stationary assets'!$D37&amp;E37,'Emission factors'!$J$3:$J$201&amp;'Emission factors'!$K$3:$K$201,0),MATCH('Buildings &amp; stationary assets'!$L$6,'Emission factors'!$K$2:$V$2,0)))</f>
        <v/>
      </c>
      <c r="M37" s="287" t="str">
        <f>IF(OR(J37="",L37=""),"",SUM(BuildingsTable[[#This Row],[Direct]:[Indirect WTT]]))</f>
        <v/>
      </c>
      <c r="N37" s="150"/>
      <c r="O37" s="151"/>
      <c r="P37" s="288" t="str" cm="1">
        <f t="array" ref="P37">IF(OR($D37="",$H37=""),"",(INDEX('Emission factors'!$K$3:$V$201,MATCH('Buildings &amp; stationary assets'!$D37&amp;$E37,'Emission factors'!$J$3:$J$201&amp;'Emission factors'!$K$3:$K$201,0),MATCH('Buildings &amp; stationary assets'!P$6,'Emission factors'!$K$2:$V$2,0)))*$J37)</f>
        <v/>
      </c>
      <c r="Q37" s="288" t="str" cm="1">
        <f t="array" ref="Q37">IF(OR($D37="",$H37=""),"",(INDEX('Emission factors'!$K$3:$V$201,MATCH('Buildings &amp; stationary assets'!$D37&amp;$E37,'Emission factors'!$J$3:$J$201&amp;'Emission factors'!$K$3:$K$201,0),MATCH('Buildings &amp; stationary assets'!Q$6,'Emission factors'!$K$2:$V$2,0)))*$J37)</f>
        <v/>
      </c>
      <c r="R37" s="288" t="str" cm="1">
        <f t="array" ref="R37">IF(OR($D37="",$H37=""),"",(INDEX('Emission factors'!$K$3:$V$201,MATCH('Buildings &amp; stationary assets'!$D37&amp;$E37,'Emission factors'!$J$3:$J$201&amp;'Emission factors'!$K$3:$K$201,0),MATCH('Buildings &amp; stationary assets'!R$6,'Emission factors'!$K$2:$V$2,0)))*$J37)</f>
        <v/>
      </c>
      <c r="S37" s="288" t="str" cm="1">
        <f t="array" ref="S37">IF(OR($D37="",$H37=""),"",(INDEX('Emission factors'!$K$3:$V$201,MATCH('Buildings &amp; stationary assets'!$D37&amp;$E37,'Emission factors'!$J$3:$J$201&amp;'Emission factors'!$K$3:$K$201,0),MATCH('Buildings &amp; stationary assets'!S$6,'Emission factors'!$K$2:$V$2,0)))*$J37)</f>
        <v/>
      </c>
      <c r="T37" s="288" t="str" cm="1">
        <f t="array" ref="T37">IF(OR($D37="",$H37=""),"",(INDEX('Emission factors'!$K$3:$V$201,MATCH('Buildings &amp; stationary assets'!$D37&amp;$E37,'Emission factors'!$J$3:$J$201&amp;'Emission factors'!$K$3:$K$201,0),MATCH('Buildings &amp; stationary assets'!T$6,'Emission factors'!$K$2:$V$2,0)))*$J37)</f>
        <v/>
      </c>
      <c r="U37" s="289" t="str">
        <f>IF(OR($M37="",BuildingsTable[[#This Row],[RSD]]=""),"",BuildingsTable[[#This Row],[Total emissions (kgCO2e)]]*(1+BuildingsTable[[#This Row],[RSD]]))</f>
        <v/>
      </c>
      <c r="V37" s="290" t="str">
        <f>IF(OR($M37="",BuildingsTable[[#This Row],[RSD]]=""),"",BuildingsTable[[#This Row],[Total emissions (kgCO2e)]]*(1-BuildingsTable[[#This Row],[RSD]]))</f>
        <v/>
      </c>
      <c r="W37" s="320" t="str" cm="1">
        <f t="array" ref="W37">IF(OR($D37="",$H37=""),"",(INDEX('Emission factors'!$K$3:$V$201,MATCH('Buildings &amp; stationary assets'!$D37&amp;$E37,'Emission factors'!$J$3:$J$201&amp;'Emission factors'!$K$3:$K$201,0),MATCH('Buildings &amp; stationary assets'!W$6,'Emission factors'!$K$2:$V$2,0)))*$J37)</f>
        <v/>
      </c>
      <c r="X37" s="66"/>
      <c r="Y37" s="1" cm="1">
        <f t="array" ref="Y37">IF(OR(ISERROR(B37:W37)),1,0)</f>
        <v>0</v>
      </c>
      <c r="Z37" s="1">
        <f t="shared" si="0"/>
        <v>0</v>
      </c>
    </row>
    <row r="38" spans="1:26" s="1" customFormat="1" ht="15" outlineLevel="1" thickBot="1" x14ac:dyDescent="0.4">
      <c r="A38" s="189"/>
      <c r="B38" s="461"/>
      <c r="C38" s="155"/>
      <c r="D38" s="151"/>
      <c r="E38" s="151"/>
      <c r="F38" s="151"/>
      <c r="G38" s="187" t="str">
        <f>IF(F38="","",INDEX(Lists!$BA$4:$BC$31,MATCH(D38,Lists!$AZ$4:$AZ$31,0),MATCH(F38,Lists!$BA$3:$BC$3,0)))</f>
        <v/>
      </c>
      <c r="H38" s="148"/>
      <c r="I38" s="151"/>
      <c r="J38" s="154" t="str" cm="1">
        <f t="array" ref="J38">IF(OR($D38="",$C38="",$H38="",$I38=""),"",IF(I38=K38,H38,(INDEX('Emission factors'!$K$3:$V$201,MATCH(D38&amp;E38,'Emission factors'!$J$3:$J$201&amp;'Emission factors'!$K$3:$K$201,0),MATCH(J$6,'Emission factors'!$K$2:$V$2,0)))*H38))</f>
        <v/>
      </c>
      <c r="K38" s="192" t="str">
        <f>IF(OR($D38="",$C38="",$H38="",$I38=""),"",INDEX('Emission factors'!$K$3:$V$201,MATCH('Buildings &amp; stationary assets'!$D38,'Emission factors'!$J$3:$J$201,0),MATCH($K$6,'Emission factors'!$K$2:$V$2,0)))</f>
        <v/>
      </c>
      <c r="L38" s="193" t="str" cm="1">
        <f t="array" ref="L38">IF(OR(D38="",H38="",BuildingsTable[[#This Row],[Units]]=""),"",INDEX('Emission factors'!$K$3:$V$201,MATCH('Buildings &amp; stationary assets'!$D38&amp;E38,'Emission factors'!$J$3:$J$201&amp;'Emission factors'!$K$3:$K$201,0),MATCH('Buildings &amp; stationary assets'!$L$6,'Emission factors'!$K$2:$V$2,0)))</f>
        <v/>
      </c>
      <c r="M38" s="287" t="str">
        <f>IF(OR(J38="",L38=""),"",SUM(BuildingsTable[[#This Row],[Direct]:[Indirect WTT]]))</f>
        <v/>
      </c>
      <c r="N38" s="150"/>
      <c r="O38" s="151"/>
      <c r="P38" s="288" t="str" cm="1">
        <f t="array" ref="P38">IF(OR($D38="",$H38=""),"",(INDEX('Emission factors'!$K$3:$V$201,MATCH('Buildings &amp; stationary assets'!$D38&amp;$E38,'Emission factors'!$J$3:$J$201&amp;'Emission factors'!$K$3:$K$201,0),MATCH('Buildings &amp; stationary assets'!P$6,'Emission factors'!$K$2:$V$2,0)))*$J38)</f>
        <v/>
      </c>
      <c r="Q38" s="288" t="str" cm="1">
        <f t="array" ref="Q38">IF(OR($D38="",$H38=""),"",(INDEX('Emission factors'!$K$3:$V$201,MATCH('Buildings &amp; stationary assets'!$D38&amp;$E38,'Emission factors'!$J$3:$J$201&amp;'Emission factors'!$K$3:$K$201,0),MATCH('Buildings &amp; stationary assets'!Q$6,'Emission factors'!$K$2:$V$2,0)))*$J38)</f>
        <v/>
      </c>
      <c r="R38" s="288" t="str" cm="1">
        <f t="array" ref="R38">IF(OR($D38="",$H38=""),"",(INDEX('Emission factors'!$K$3:$V$201,MATCH('Buildings &amp; stationary assets'!$D38&amp;$E38,'Emission factors'!$J$3:$J$201&amp;'Emission factors'!$K$3:$K$201,0),MATCH('Buildings &amp; stationary assets'!R$6,'Emission factors'!$K$2:$V$2,0)))*$J38)</f>
        <v/>
      </c>
      <c r="S38" s="288" t="str" cm="1">
        <f t="array" ref="S38">IF(OR($D38="",$H38=""),"",(INDEX('Emission factors'!$K$3:$V$201,MATCH('Buildings &amp; stationary assets'!$D38&amp;$E38,'Emission factors'!$J$3:$J$201&amp;'Emission factors'!$K$3:$K$201,0),MATCH('Buildings &amp; stationary assets'!S$6,'Emission factors'!$K$2:$V$2,0)))*$J38)</f>
        <v/>
      </c>
      <c r="T38" s="288" t="str" cm="1">
        <f t="array" ref="T38">IF(OR($D38="",$H38=""),"",(INDEX('Emission factors'!$K$3:$V$201,MATCH('Buildings &amp; stationary assets'!$D38&amp;$E38,'Emission factors'!$J$3:$J$201&amp;'Emission factors'!$K$3:$K$201,0),MATCH('Buildings &amp; stationary assets'!T$6,'Emission factors'!$K$2:$V$2,0)))*$J38)</f>
        <v/>
      </c>
      <c r="U38" s="289" t="str">
        <f>IF(OR($M38="",BuildingsTable[[#This Row],[RSD]]=""),"",BuildingsTable[[#This Row],[Total emissions (kgCO2e)]]*(1+BuildingsTable[[#This Row],[RSD]]))</f>
        <v/>
      </c>
      <c r="V38" s="290" t="str">
        <f>IF(OR($M38="",BuildingsTable[[#This Row],[RSD]]=""),"",BuildingsTable[[#This Row],[Total emissions (kgCO2e)]]*(1-BuildingsTable[[#This Row],[RSD]]))</f>
        <v/>
      </c>
      <c r="W38" s="320" t="str" cm="1">
        <f t="array" ref="W38">IF(OR($D38="",$H38=""),"",(INDEX('Emission factors'!$K$3:$V$201,MATCH('Buildings &amp; stationary assets'!$D38&amp;$E38,'Emission factors'!$J$3:$J$201&amp;'Emission factors'!$K$3:$K$201,0),MATCH('Buildings &amp; stationary assets'!W$6,'Emission factors'!$K$2:$V$2,0)))*$J38)</f>
        <v/>
      </c>
      <c r="X38" s="66"/>
      <c r="Y38" s="1" cm="1">
        <f t="array" ref="Y38">IF(OR(ISERROR(B38:W38)),1,0)</f>
        <v>0</v>
      </c>
      <c r="Z38" s="1">
        <f t="shared" si="0"/>
        <v>0</v>
      </c>
    </row>
    <row r="39" spans="1:26" s="1" customFormat="1" ht="15" outlineLevel="1" thickBot="1" x14ac:dyDescent="0.4">
      <c r="A39" s="189"/>
      <c r="B39" s="461"/>
      <c r="C39" s="155"/>
      <c r="D39" s="151"/>
      <c r="E39" s="151"/>
      <c r="F39" s="151"/>
      <c r="G39" s="187" t="str">
        <f>IF(F39="","",INDEX(Lists!$BA$4:$BC$31,MATCH(D39,Lists!$AZ$4:$AZ$31,0),MATCH(F39,Lists!$BA$3:$BC$3,0)))</f>
        <v/>
      </c>
      <c r="H39" s="148"/>
      <c r="I39" s="151"/>
      <c r="J39" s="154" t="str" cm="1">
        <f t="array" ref="J39">IF(OR($D39="",$C39="",$H39="",$I39=""),"",IF(I39=K39,H39,(INDEX('Emission factors'!$K$3:$V$201,MATCH(D39&amp;E39,'Emission factors'!$J$3:$J$201&amp;'Emission factors'!$K$3:$K$201,0),MATCH(J$6,'Emission factors'!$K$2:$V$2,0)))*H39))</f>
        <v/>
      </c>
      <c r="K39" s="192" t="str">
        <f>IF(OR($D39="",$C39="",$H39="",$I39=""),"",INDEX('Emission factors'!$K$3:$V$201,MATCH('Buildings &amp; stationary assets'!$D39,'Emission factors'!$J$3:$J$201,0),MATCH($K$6,'Emission factors'!$K$2:$V$2,0)))</f>
        <v/>
      </c>
      <c r="L39" s="193" t="str" cm="1">
        <f t="array" ref="L39">IF(OR(D39="",H39="",BuildingsTable[[#This Row],[Units]]=""),"",INDEX('Emission factors'!$K$3:$V$201,MATCH('Buildings &amp; stationary assets'!$D39&amp;E39,'Emission factors'!$J$3:$J$201&amp;'Emission factors'!$K$3:$K$201,0),MATCH('Buildings &amp; stationary assets'!$L$6,'Emission factors'!$K$2:$V$2,0)))</f>
        <v/>
      </c>
      <c r="M39" s="287" t="str">
        <f>IF(OR(J39="",L39=""),"",SUM(BuildingsTable[[#This Row],[Direct]:[Indirect WTT]]))</f>
        <v/>
      </c>
      <c r="N39" s="150"/>
      <c r="O39" s="151"/>
      <c r="P39" s="288" t="str" cm="1">
        <f t="array" ref="P39">IF(OR($D39="",$H39=""),"",(INDEX('Emission factors'!$K$3:$V$201,MATCH('Buildings &amp; stationary assets'!$D39&amp;$E39,'Emission factors'!$J$3:$J$201&amp;'Emission factors'!$K$3:$K$201,0),MATCH('Buildings &amp; stationary assets'!P$6,'Emission factors'!$K$2:$V$2,0)))*$J39)</f>
        <v/>
      </c>
      <c r="Q39" s="288" t="str" cm="1">
        <f t="array" ref="Q39">IF(OR($D39="",$H39=""),"",(INDEX('Emission factors'!$K$3:$V$201,MATCH('Buildings &amp; stationary assets'!$D39&amp;$E39,'Emission factors'!$J$3:$J$201&amp;'Emission factors'!$K$3:$K$201,0),MATCH('Buildings &amp; stationary assets'!Q$6,'Emission factors'!$K$2:$V$2,0)))*$J39)</f>
        <v/>
      </c>
      <c r="R39" s="288" t="str" cm="1">
        <f t="array" ref="R39">IF(OR($D39="",$H39=""),"",(INDEX('Emission factors'!$K$3:$V$201,MATCH('Buildings &amp; stationary assets'!$D39&amp;$E39,'Emission factors'!$J$3:$J$201&amp;'Emission factors'!$K$3:$K$201,0),MATCH('Buildings &amp; stationary assets'!R$6,'Emission factors'!$K$2:$V$2,0)))*$J39)</f>
        <v/>
      </c>
      <c r="S39" s="288" t="str" cm="1">
        <f t="array" ref="S39">IF(OR($D39="",$H39=""),"",(INDEX('Emission factors'!$K$3:$V$201,MATCH('Buildings &amp; stationary assets'!$D39&amp;$E39,'Emission factors'!$J$3:$J$201&amp;'Emission factors'!$K$3:$K$201,0),MATCH('Buildings &amp; stationary assets'!S$6,'Emission factors'!$K$2:$V$2,0)))*$J39)</f>
        <v/>
      </c>
      <c r="T39" s="288" t="str" cm="1">
        <f t="array" ref="T39">IF(OR($D39="",$H39=""),"",(INDEX('Emission factors'!$K$3:$V$201,MATCH('Buildings &amp; stationary assets'!$D39&amp;$E39,'Emission factors'!$J$3:$J$201&amp;'Emission factors'!$K$3:$K$201,0),MATCH('Buildings &amp; stationary assets'!T$6,'Emission factors'!$K$2:$V$2,0)))*$J39)</f>
        <v/>
      </c>
      <c r="U39" s="289" t="str">
        <f>IF(OR($M39="",BuildingsTable[[#This Row],[RSD]]=""),"",BuildingsTable[[#This Row],[Total emissions (kgCO2e)]]*(1+BuildingsTable[[#This Row],[RSD]]))</f>
        <v/>
      </c>
      <c r="V39" s="290" t="str">
        <f>IF(OR($M39="",BuildingsTable[[#This Row],[RSD]]=""),"",BuildingsTable[[#This Row],[Total emissions (kgCO2e)]]*(1-BuildingsTable[[#This Row],[RSD]]))</f>
        <v/>
      </c>
      <c r="W39" s="320" t="str" cm="1">
        <f t="array" ref="W39">IF(OR($D39="",$H39=""),"",(INDEX('Emission factors'!$K$3:$V$201,MATCH('Buildings &amp; stationary assets'!$D39&amp;$E39,'Emission factors'!$J$3:$J$201&amp;'Emission factors'!$K$3:$K$201,0),MATCH('Buildings &amp; stationary assets'!W$6,'Emission factors'!$K$2:$V$2,0)))*$J39)</f>
        <v/>
      </c>
      <c r="X39" s="66"/>
      <c r="Y39" s="1" cm="1">
        <f t="array" ref="Y39">IF(OR(ISERROR(B39:W39)),1,0)</f>
        <v>0</v>
      </c>
      <c r="Z39" s="1">
        <f t="shared" si="0"/>
        <v>0</v>
      </c>
    </row>
    <row r="40" spans="1:26" s="1" customFormat="1" ht="15" outlineLevel="1" thickBot="1" x14ac:dyDescent="0.4">
      <c r="A40" s="189"/>
      <c r="B40" s="461"/>
      <c r="C40" s="155"/>
      <c r="D40" s="151"/>
      <c r="E40" s="151"/>
      <c r="F40" s="151"/>
      <c r="G40" s="187" t="str">
        <f>IF(F40="","",INDEX(Lists!$BA$4:$BC$31,MATCH(D40,Lists!$AZ$4:$AZ$31,0),MATCH(F40,Lists!$BA$3:$BC$3,0)))</f>
        <v/>
      </c>
      <c r="H40" s="148"/>
      <c r="I40" s="151"/>
      <c r="J40" s="154" t="str" cm="1">
        <f t="array" ref="J40">IF(OR($D40="",$C40="",$H40="",$I40=""),"",IF(I40=K40,H40,(INDEX('Emission factors'!$K$3:$V$201,MATCH(D40&amp;E40,'Emission factors'!$J$3:$J$201&amp;'Emission factors'!$K$3:$K$201,0),MATCH(J$6,'Emission factors'!$K$2:$V$2,0)))*H40))</f>
        <v/>
      </c>
      <c r="K40" s="192" t="str">
        <f>IF(OR($D40="",$C40="",$H40="",$I40=""),"",INDEX('Emission factors'!$K$3:$V$201,MATCH('Buildings &amp; stationary assets'!$D40,'Emission factors'!$J$3:$J$201,0),MATCH($K$6,'Emission factors'!$K$2:$V$2,0)))</f>
        <v/>
      </c>
      <c r="L40" s="193" t="str" cm="1">
        <f t="array" ref="L40">IF(OR(D40="",H40="",BuildingsTable[[#This Row],[Units]]=""),"",INDEX('Emission factors'!$K$3:$V$201,MATCH('Buildings &amp; stationary assets'!$D40&amp;E40,'Emission factors'!$J$3:$J$201&amp;'Emission factors'!$K$3:$K$201,0),MATCH('Buildings &amp; stationary assets'!$L$6,'Emission factors'!$K$2:$V$2,0)))</f>
        <v/>
      </c>
      <c r="M40" s="287" t="str">
        <f>IF(OR(J40="",L40=""),"",SUM(BuildingsTable[[#This Row],[Direct]:[Indirect WTT]]))</f>
        <v/>
      </c>
      <c r="N40" s="150"/>
      <c r="O40" s="151"/>
      <c r="P40" s="288" t="str" cm="1">
        <f t="array" ref="P40">IF(OR($D40="",$H40=""),"",(INDEX('Emission factors'!$K$3:$V$201,MATCH('Buildings &amp; stationary assets'!$D40&amp;$E40,'Emission factors'!$J$3:$J$201&amp;'Emission factors'!$K$3:$K$201,0),MATCH('Buildings &amp; stationary assets'!P$6,'Emission factors'!$K$2:$V$2,0)))*$J40)</f>
        <v/>
      </c>
      <c r="Q40" s="288" t="str" cm="1">
        <f t="array" ref="Q40">IF(OR($D40="",$H40=""),"",(INDEX('Emission factors'!$K$3:$V$201,MATCH('Buildings &amp; stationary assets'!$D40&amp;$E40,'Emission factors'!$J$3:$J$201&amp;'Emission factors'!$K$3:$K$201,0),MATCH('Buildings &amp; stationary assets'!Q$6,'Emission factors'!$K$2:$V$2,0)))*$J40)</f>
        <v/>
      </c>
      <c r="R40" s="288" t="str" cm="1">
        <f t="array" ref="R40">IF(OR($D40="",$H40=""),"",(INDEX('Emission factors'!$K$3:$V$201,MATCH('Buildings &amp; stationary assets'!$D40&amp;$E40,'Emission factors'!$J$3:$J$201&amp;'Emission factors'!$K$3:$K$201,0),MATCH('Buildings &amp; stationary assets'!R$6,'Emission factors'!$K$2:$V$2,0)))*$J40)</f>
        <v/>
      </c>
      <c r="S40" s="288" t="str" cm="1">
        <f t="array" ref="S40">IF(OR($D40="",$H40=""),"",(INDEX('Emission factors'!$K$3:$V$201,MATCH('Buildings &amp; stationary assets'!$D40&amp;$E40,'Emission factors'!$J$3:$J$201&amp;'Emission factors'!$K$3:$K$201,0),MATCH('Buildings &amp; stationary assets'!S$6,'Emission factors'!$K$2:$V$2,0)))*$J40)</f>
        <v/>
      </c>
      <c r="T40" s="288" t="str" cm="1">
        <f t="array" ref="T40">IF(OR($D40="",$H40=""),"",(INDEX('Emission factors'!$K$3:$V$201,MATCH('Buildings &amp; stationary assets'!$D40&amp;$E40,'Emission factors'!$J$3:$J$201&amp;'Emission factors'!$K$3:$K$201,0),MATCH('Buildings &amp; stationary assets'!T$6,'Emission factors'!$K$2:$V$2,0)))*$J40)</f>
        <v/>
      </c>
      <c r="U40" s="289" t="str">
        <f>IF(OR($M40="",BuildingsTable[[#This Row],[RSD]]=""),"",BuildingsTable[[#This Row],[Total emissions (kgCO2e)]]*(1+BuildingsTable[[#This Row],[RSD]]))</f>
        <v/>
      </c>
      <c r="V40" s="290" t="str">
        <f>IF(OR($M40="",BuildingsTable[[#This Row],[RSD]]=""),"",BuildingsTable[[#This Row],[Total emissions (kgCO2e)]]*(1-BuildingsTable[[#This Row],[RSD]]))</f>
        <v/>
      </c>
      <c r="W40" s="320" t="str" cm="1">
        <f t="array" ref="W40">IF(OR($D40="",$H40=""),"",(INDEX('Emission factors'!$K$3:$V$201,MATCH('Buildings &amp; stationary assets'!$D40&amp;$E40,'Emission factors'!$J$3:$J$201&amp;'Emission factors'!$K$3:$K$201,0),MATCH('Buildings &amp; stationary assets'!W$6,'Emission factors'!$K$2:$V$2,0)))*$J40)</f>
        <v/>
      </c>
      <c r="X40" s="66"/>
      <c r="Y40" s="1" cm="1">
        <f t="array" ref="Y40">IF(OR(ISERROR(B40:W40)),1,0)</f>
        <v>0</v>
      </c>
      <c r="Z40" s="1">
        <f t="shared" si="0"/>
        <v>0</v>
      </c>
    </row>
    <row r="41" spans="1:26" s="1" customFormat="1" ht="15" outlineLevel="1" thickBot="1" x14ac:dyDescent="0.4">
      <c r="A41" s="189"/>
      <c r="B41" s="461"/>
      <c r="C41" s="155"/>
      <c r="D41" s="151"/>
      <c r="E41" s="151"/>
      <c r="F41" s="151"/>
      <c r="G41" s="187" t="str">
        <f>IF(F41="","",INDEX(Lists!$BA$4:$BC$31,MATCH(D41,Lists!$AZ$4:$AZ$31,0),MATCH(F41,Lists!$BA$3:$BC$3,0)))</f>
        <v/>
      </c>
      <c r="H41" s="148"/>
      <c r="I41" s="151"/>
      <c r="J41" s="154" t="str" cm="1">
        <f t="array" ref="J41">IF(OR($D41="",$C41="",$H41="",$I41=""),"",IF(I41=K41,H41,(INDEX('Emission factors'!$K$3:$V$201,MATCH(D41&amp;E41,'Emission factors'!$J$3:$J$201&amp;'Emission factors'!$K$3:$K$201,0),MATCH(J$6,'Emission factors'!$K$2:$V$2,0)))*H41))</f>
        <v/>
      </c>
      <c r="K41" s="192" t="str">
        <f>IF(OR($D41="",$C41="",$H41="",$I41=""),"",INDEX('Emission factors'!$K$3:$V$201,MATCH('Buildings &amp; stationary assets'!$D41,'Emission factors'!$J$3:$J$201,0),MATCH($K$6,'Emission factors'!$K$2:$V$2,0)))</f>
        <v/>
      </c>
      <c r="L41" s="193" t="str" cm="1">
        <f t="array" ref="L41">IF(OR(D41="",H41="",BuildingsTable[[#This Row],[Units]]=""),"",INDEX('Emission factors'!$K$3:$V$201,MATCH('Buildings &amp; stationary assets'!$D41&amp;E41,'Emission factors'!$J$3:$J$201&amp;'Emission factors'!$K$3:$K$201,0),MATCH('Buildings &amp; stationary assets'!$L$6,'Emission factors'!$K$2:$V$2,0)))</f>
        <v/>
      </c>
      <c r="M41" s="287" t="str">
        <f>IF(OR(J41="",L41=""),"",SUM(BuildingsTable[[#This Row],[Direct]:[Indirect WTT]]))</f>
        <v/>
      </c>
      <c r="N41" s="150"/>
      <c r="O41" s="151"/>
      <c r="P41" s="288" t="str" cm="1">
        <f t="array" ref="P41">IF(OR($D41="",$H41=""),"",(INDEX('Emission factors'!$K$3:$V$201,MATCH('Buildings &amp; stationary assets'!$D41&amp;$E41,'Emission factors'!$J$3:$J$201&amp;'Emission factors'!$K$3:$K$201,0),MATCH('Buildings &amp; stationary assets'!P$6,'Emission factors'!$K$2:$V$2,0)))*$J41)</f>
        <v/>
      </c>
      <c r="Q41" s="288" t="str" cm="1">
        <f t="array" ref="Q41">IF(OR($D41="",$H41=""),"",(INDEX('Emission factors'!$K$3:$V$201,MATCH('Buildings &amp; stationary assets'!$D41&amp;$E41,'Emission factors'!$J$3:$J$201&amp;'Emission factors'!$K$3:$K$201,0),MATCH('Buildings &amp; stationary assets'!Q$6,'Emission factors'!$K$2:$V$2,0)))*$J41)</f>
        <v/>
      </c>
      <c r="R41" s="288" t="str" cm="1">
        <f t="array" ref="R41">IF(OR($D41="",$H41=""),"",(INDEX('Emission factors'!$K$3:$V$201,MATCH('Buildings &amp; stationary assets'!$D41&amp;$E41,'Emission factors'!$J$3:$J$201&amp;'Emission factors'!$K$3:$K$201,0),MATCH('Buildings &amp; stationary assets'!R$6,'Emission factors'!$K$2:$V$2,0)))*$J41)</f>
        <v/>
      </c>
      <c r="S41" s="288" t="str" cm="1">
        <f t="array" ref="S41">IF(OR($D41="",$H41=""),"",(INDEX('Emission factors'!$K$3:$V$201,MATCH('Buildings &amp; stationary assets'!$D41&amp;$E41,'Emission factors'!$J$3:$J$201&amp;'Emission factors'!$K$3:$K$201,0),MATCH('Buildings &amp; stationary assets'!S$6,'Emission factors'!$K$2:$V$2,0)))*$J41)</f>
        <v/>
      </c>
      <c r="T41" s="288" t="str" cm="1">
        <f t="array" ref="T41">IF(OR($D41="",$H41=""),"",(INDEX('Emission factors'!$K$3:$V$201,MATCH('Buildings &amp; stationary assets'!$D41&amp;$E41,'Emission factors'!$J$3:$J$201&amp;'Emission factors'!$K$3:$K$201,0),MATCH('Buildings &amp; stationary assets'!T$6,'Emission factors'!$K$2:$V$2,0)))*$J41)</f>
        <v/>
      </c>
      <c r="U41" s="289" t="str">
        <f>IF(OR($M41="",BuildingsTable[[#This Row],[RSD]]=""),"",BuildingsTable[[#This Row],[Total emissions (kgCO2e)]]*(1+BuildingsTable[[#This Row],[RSD]]))</f>
        <v/>
      </c>
      <c r="V41" s="290" t="str">
        <f>IF(OR($M41="",BuildingsTable[[#This Row],[RSD]]=""),"",BuildingsTable[[#This Row],[Total emissions (kgCO2e)]]*(1-BuildingsTable[[#This Row],[RSD]]))</f>
        <v/>
      </c>
      <c r="W41" s="320" t="str" cm="1">
        <f t="array" ref="W41">IF(OR($D41="",$H41=""),"",(INDEX('Emission factors'!$K$3:$V$201,MATCH('Buildings &amp; stationary assets'!$D41&amp;$E41,'Emission factors'!$J$3:$J$201&amp;'Emission factors'!$K$3:$K$201,0),MATCH('Buildings &amp; stationary assets'!W$6,'Emission factors'!$K$2:$V$2,0)))*$J41)</f>
        <v/>
      </c>
      <c r="X41" s="66"/>
      <c r="Y41" s="1" cm="1">
        <f t="array" ref="Y41">IF(OR(ISERROR(B41:W41)),1,0)</f>
        <v>0</v>
      </c>
      <c r="Z41" s="1">
        <f t="shared" si="0"/>
        <v>0</v>
      </c>
    </row>
    <row r="42" spans="1:26" s="1" customFormat="1" ht="15" outlineLevel="1" thickBot="1" x14ac:dyDescent="0.4">
      <c r="A42" s="189"/>
      <c r="B42" s="461"/>
      <c r="C42" s="155"/>
      <c r="D42" s="151"/>
      <c r="E42" s="151"/>
      <c r="F42" s="151"/>
      <c r="G42" s="187" t="str">
        <f>IF(F42="","",INDEX(Lists!$BA$4:$BC$31,MATCH(D42,Lists!$AZ$4:$AZ$31,0),MATCH(F42,Lists!$BA$3:$BC$3,0)))</f>
        <v/>
      </c>
      <c r="H42" s="148"/>
      <c r="I42" s="151"/>
      <c r="J42" s="154" t="str" cm="1">
        <f t="array" ref="J42">IF(OR($D42="",$C42="",$H42="",$I42=""),"",IF(I42=K42,H42,(INDEX('Emission factors'!$K$3:$V$201,MATCH(D42&amp;E42,'Emission factors'!$J$3:$J$201&amp;'Emission factors'!$K$3:$K$201,0),MATCH(J$6,'Emission factors'!$K$2:$V$2,0)))*H42))</f>
        <v/>
      </c>
      <c r="K42" s="192" t="str">
        <f>IF(OR($D42="",$C42="",$H42="",$I42=""),"",INDEX('Emission factors'!$K$3:$V$201,MATCH('Buildings &amp; stationary assets'!$D42,'Emission factors'!$J$3:$J$201,0),MATCH($K$6,'Emission factors'!$K$2:$V$2,0)))</f>
        <v/>
      </c>
      <c r="L42" s="193" t="str" cm="1">
        <f t="array" ref="L42">IF(OR(D42="",H42="",BuildingsTable[[#This Row],[Units]]=""),"",INDEX('Emission factors'!$K$3:$V$201,MATCH('Buildings &amp; stationary assets'!$D42&amp;E42,'Emission factors'!$J$3:$J$201&amp;'Emission factors'!$K$3:$K$201,0),MATCH('Buildings &amp; stationary assets'!$L$6,'Emission factors'!$K$2:$V$2,0)))</f>
        <v/>
      </c>
      <c r="M42" s="287" t="str">
        <f>IF(OR(J42="",L42=""),"",SUM(BuildingsTable[[#This Row],[Direct]:[Indirect WTT]]))</f>
        <v/>
      </c>
      <c r="N42" s="150"/>
      <c r="O42" s="151"/>
      <c r="P42" s="288" t="str" cm="1">
        <f t="array" ref="P42">IF(OR($D42="",$H42=""),"",(INDEX('Emission factors'!$K$3:$V$201,MATCH('Buildings &amp; stationary assets'!$D42&amp;$E42,'Emission factors'!$J$3:$J$201&amp;'Emission factors'!$K$3:$K$201,0),MATCH('Buildings &amp; stationary assets'!P$6,'Emission factors'!$K$2:$V$2,0)))*$J42)</f>
        <v/>
      </c>
      <c r="Q42" s="288" t="str" cm="1">
        <f t="array" ref="Q42">IF(OR($D42="",$H42=""),"",(INDEX('Emission factors'!$K$3:$V$201,MATCH('Buildings &amp; stationary assets'!$D42&amp;$E42,'Emission factors'!$J$3:$J$201&amp;'Emission factors'!$K$3:$K$201,0),MATCH('Buildings &amp; stationary assets'!Q$6,'Emission factors'!$K$2:$V$2,0)))*$J42)</f>
        <v/>
      </c>
      <c r="R42" s="288" t="str" cm="1">
        <f t="array" ref="R42">IF(OR($D42="",$H42=""),"",(INDEX('Emission factors'!$K$3:$V$201,MATCH('Buildings &amp; stationary assets'!$D42&amp;$E42,'Emission factors'!$J$3:$J$201&amp;'Emission factors'!$K$3:$K$201,0),MATCH('Buildings &amp; stationary assets'!R$6,'Emission factors'!$K$2:$V$2,0)))*$J42)</f>
        <v/>
      </c>
      <c r="S42" s="288" t="str" cm="1">
        <f t="array" ref="S42">IF(OR($D42="",$H42=""),"",(INDEX('Emission factors'!$K$3:$V$201,MATCH('Buildings &amp; stationary assets'!$D42&amp;$E42,'Emission factors'!$J$3:$J$201&amp;'Emission factors'!$K$3:$K$201,0),MATCH('Buildings &amp; stationary assets'!S$6,'Emission factors'!$K$2:$V$2,0)))*$J42)</f>
        <v/>
      </c>
      <c r="T42" s="288" t="str" cm="1">
        <f t="array" ref="T42">IF(OR($D42="",$H42=""),"",(INDEX('Emission factors'!$K$3:$V$201,MATCH('Buildings &amp; stationary assets'!$D42&amp;$E42,'Emission factors'!$J$3:$J$201&amp;'Emission factors'!$K$3:$K$201,0),MATCH('Buildings &amp; stationary assets'!T$6,'Emission factors'!$K$2:$V$2,0)))*$J42)</f>
        <v/>
      </c>
      <c r="U42" s="289" t="str">
        <f>IF(OR($M42="",BuildingsTable[[#This Row],[RSD]]=""),"",BuildingsTable[[#This Row],[Total emissions (kgCO2e)]]*(1+BuildingsTable[[#This Row],[RSD]]))</f>
        <v/>
      </c>
      <c r="V42" s="290" t="str">
        <f>IF(OR($M42="",BuildingsTable[[#This Row],[RSD]]=""),"",BuildingsTable[[#This Row],[Total emissions (kgCO2e)]]*(1-BuildingsTable[[#This Row],[RSD]]))</f>
        <v/>
      </c>
      <c r="W42" s="320" t="str" cm="1">
        <f t="array" ref="W42">IF(OR($D42="",$H42=""),"",(INDEX('Emission factors'!$K$3:$V$201,MATCH('Buildings &amp; stationary assets'!$D42&amp;$E42,'Emission factors'!$J$3:$J$201&amp;'Emission factors'!$K$3:$K$201,0),MATCH('Buildings &amp; stationary assets'!W$6,'Emission factors'!$K$2:$V$2,0)))*$J42)</f>
        <v/>
      </c>
      <c r="X42" s="66"/>
      <c r="Y42" s="1" cm="1">
        <f t="array" ref="Y42">IF(OR(ISERROR(B42:W42)),1,0)</f>
        <v>0</v>
      </c>
      <c r="Z42" s="1">
        <f t="shared" si="0"/>
        <v>0</v>
      </c>
    </row>
    <row r="43" spans="1:26" s="1" customFormat="1" ht="15" outlineLevel="1" thickBot="1" x14ac:dyDescent="0.4">
      <c r="A43" s="189"/>
      <c r="B43" s="461"/>
      <c r="C43" s="155"/>
      <c r="D43" s="151"/>
      <c r="E43" s="151"/>
      <c r="F43" s="151"/>
      <c r="G43" s="187" t="str">
        <f>IF(F43="","",INDEX(Lists!$BA$4:$BC$31,MATCH(D43,Lists!$AZ$4:$AZ$31,0),MATCH(F43,Lists!$BA$3:$BC$3,0)))</f>
        <v/>
      </c>
      <c r="H43" s="148"/>
      <c r="I43" s="151"/>
      <c r="J43" s="154" t="str" cm="1">
        <f t="array" ref="J43">IF(OR($D43="",$C43="",$H43="",$I43=""),"",IF(I43=K43,H43,(INDEX('Emission factors'!$K$3:$V$201,MATCH(D43&amp;E43,'Emission factors'!$J$3:$J$201&amp;'Emission factors'!$K$3:$K$201,0),MATCH(J$6,'Emission factors'!$K$2:$V$2,0)))*H43))</f>
        <v/>
      </c>
      <c r="K43" s="192" t="str">
        <f>IF(OR($D43="",$C43="",$H43="",$I43=""),"",INDEX('Emission factors'!$K$3:$V$201,MATCH('Buildings &amp; stationary assets'!$D43,'Emission factors'!$J$3:$J$201,0),MATCH($K$6,'Emission factors'!$K$2:$V$2,0)))</f>
        <v/>
      </c>
      <c r="L43" s="193" t="str" cm="1">
        <f t="array" ref="L43">IF(OR(D43="",H43="",BuildingsTable[[#This Row],[Units]]=""),"",INDEX('Emission factors'!$K$3:$V$201,MATCH('Buildings &amp; stationary assets'!$D43&amp;E43,'Emission factors'!$J$3:$J$201&amp;'Emission factors'!$K$3:$K$201,0),MATCH('Buildings &amp; stationary assets'!$L$6,'Emission factors'!$K$2:$V$2,0)))</f>
        <v/>
      </c>
      <c r="M43" s="287" t="str">
        <f>IF(OR(J43="",L43=""),"",SUM(BuildingsTable[[#This Row],[Direct]:[Indirect WTT]]))</f>
        <v/>
      </c>
      <c r="N43" s="150"/>
      <c r="O43" s="151"/>
      <c r="P43" s="288" t="str" cm="1">
        <f t="array" ref="P43">IF(OR($D43="",$H43=""),"",(INDEX('Emission factors'!$K$3:$V$201,MATCH('Buildings &amp; stationary assets'!$D43&amp;$E43,'Emission factors'!$J$3:$J$201&amp;'Emission factors'!$K$3:$K$201,0),MATCH('Buildings &amp; stationary assets'!P$6,'Emission factors'!$K$2:$V$2,0)))*$J43)</f>
        <v/>
      </c>
      <c r="Q43" s="288" t="str" cm="1">
        <f t="array" ref="Q43">IF(OR($D43="",$H43=""),"",(INDEX('Emission factors'!$K$3:$V$201,MATCH('Buildings &amp; stationary assets'!$D43&amp;$E43,'Emission factors'!$J$3:$J$201&amp;'Emission factors'!$K$3:$K$201,0),MATCH('Buildings &amp; stationary assets'!Q$6,'Emission factors'!$K$2:$V$2,0)))*$J43)</f>
        <v/>
      </c>
      <c r="R43" s="288" t="str" cm="1">
        <f t="array" ref="R43">IF(OR($D43="",$H43=""),"",(INDEX('Emission factors'!$K$3:$V$201,MATCH('Buildings &amp; stationary assets'!$D43&amp;$E43,'Emission factors'!$J$3:$J$201&amp;'Emission factors'!$K$3:$K$201,0),MATCH('Buildings &amp; stationary assets'!R$6,'Emission factors'!$K$2:$V$2,0)))*$J43)</f>
        <v/>
      </c>
      <c r="S43" s="288" t="str" cm="1">
        <f t="array" ref="S43">IF(OR($D43="",$H43=""),"",(INDEX('Emission factors'!$K$3:$V$201,MATCH('Buildings &amp; stationary assets'!$D43&amp;$E43,'Emission factors'!$J$3:$J$201&amp;'Emission factors'!$K$3:$K$201,0),MATCH('Buildings &amp; stationary assets'!S$6,'Emission factors'!$K$2:$V$2,0)))*$J43)</f>
        <v/>
      </c>
      <c r="T43" s="288" t="str" cm="1">
        <f t="array" ref="T43">IF(OR($D43="",$H43=""),"",(INDEX('Emission factors'!$K$3:$V$201,MATCH('Buildings &amp; stationary assets'!$D43&amp;$E43,'Emission factors'!$J$3:$J$201&amp;'Emission factors'!$K$3:$K$201,0),MATCH('Buildings &amp; stationary assets'!T$6,'Emission factors'!$K$2:$V$2,0)))*$J43)</f>
        <v/>
      </c>
      <c r="U43" s="289" t="str">
        <f>IF(OR($M43="",BuildingsTable[[#This Row],[RSD]]=""),"",BuildingsTable[[#This Row],[Total emissions (kgCO2e)]]*(1+BuildingsTable[[#This Row],[RSD]]))</f>
        <v/>
      </c>
      <c r="V43" s="290" t="str">
        <f>IF(OR($M43="",BuildingsTable[[#This Row],[RSD]]=""),"",BuildingsTable[[#This Row],[Total emissions (kgCO2e)]]*(1-BuildingsTable[[#This Row],[RSD]]))</f>
        <v/>
      </c>
      <c r="W43" s="320" t="str" cm="1">
        <f t="array" ref="W43">IF(OR($D43="",$H43=""),"",(INDEX('Emission factors'!$K$3:$V$201,MATCH('Buildings &amp; stationary assets'!$D43&amp;$E43,'Emission factors'!$J$3:$J$201&amp;'Emission factors'!$K$3:$K$201,0),MATCH('Buildings &amp; stationary assets'!W$6,'Emission factors'!$K$2:$V$2,0)))*$J43)</f>
        <v/>
      </c>
      <c r="X43" s="66"/>
      <c r="Y43" s="1" cm="1">
        <f t="array" ref="Y43">IF(OR(ISERROR(B43:W43)),1,0)</f>
        <v>0</v>
      </c>
      <c r="Z43" s="1">
        <f t="shared" si="0"/>
        <v>0</v>
      </c>
    </row>
    <row r="44" spans="1:26" s="1" customFormat="1" ht="15" outlineLevel="1" thickBot="1" x14ac:dyDescent="0.4">
      <c r="A44" s="189"/>
      <c r="B44" s="461"/>
      <c r="C44" s="155"/>
      <c r="D44" s="151"/>
      <c r="E44" s="151"/>
      <c r="F44" s="151"/>
      <c r="G44" s="187" t="str">
        <f>IF(F44="","",INDEX(Lists!$BA$4:$BC$31,MATCH(D44,Lists!$AZ$4:$AZ$31,0),MATCH(F44,Lists!$BA$3:$BC$3,0)))</f>
        <v/>
      </c>
      <c r="H44" s="148"/>
      <c r="I44" s="151"/>
      <c r="J44" s="154" t="str" cm="1">
        <f t="array" ref="J44">IF(OR($D44="",$C44="",$H44="",$I44=""),"",IF(I44=K44,H44,(INDEX('Emission factors'!$K$3:$V$201,MATCH(D44&amp;E44,'Emission factors'!$J$3:$J$201&amp;'Emission factors'!$K$3:$K$201,0),MATCH(J$6,'Emission factors'!$K$2:$V$2,0)))*H44))</f>
        <v/>
      </c>
      <c r="K44" s="192" t="str">
        <f>IF(OR($D44="",$C44="",$H44="",$I44=""),"",INDEX('Emission factors'!$K$3:$V$201,MATCH('Buildings &amp; stationary assets'!$D44,'Emission factors'!$J$3:$J$201,0),MATCH($K$6,'Emission factors'!$K$2:$V$2,0)))</f>
        <v/>
      </c>
      <c r="L44" s="193" t="str" cm="1">
        <f t="array" ref="L44">IF(OR(D44="",H44="",BuildingsTable[[#This Row],[Units]]=""),"",INDEX('Emission factors'!$K$3:$V$201,MATCH('Buildings &amp; stationary assets'!$D44&amp;E44,'Emission factors'!$J$3:$J$201&amp;'Emission factors'!$K$3:$K$201,0),MATCH('Buildings &amp; stationary assets'!$L$6,'Emission factors'!$K$2:$V$2,0)))</f>
        <v/>
      </c>
      <c r="M44" s="287" t="str">
        <f>IF(OR(J44="",L44=""),"",SUM(BuildingsTable[[#This Row],[Direct]:[Indirect WTT]]))</f>
        <v/>
      </c>
      <c r="N44" s="150"/>
      <c r="O44" s="151"/>
      <c r="P44" s="288" t="str" cm="1">
        <f t="array" ref="P44">IF(OR($D44="",$H44=""),"",(INDEX('Emission factors'!$K$3:$V$201,MATCH('Buildings &amp; stationary assets'!$D44&amp;$E44,'Emission factors'!$J$3:$J$201&amp;'Emission factors'!$K$3:$K$201,0),MATCH('Buildings &amp; stationary assets'!P$6,'Emission factors'!$K$2:$V$2,0)))*$J44)</f>
        <v/>
      </c>
      <c r="Q44" s="288" t="str" cm="1">
        <f t="array" ref="Q44">IF(OR($D44="",$H44=""),"",(INDEX('Emission factors'!$K$3:$V$201,MATCH('Buildings &amp; stationary assets'!$D44&amp;$E44,'Emission factors'!$J$3:$J$201&amp;'Emission factors'!$K$3:$K$201,0),MATCH('Buildings &amp; stationary assets'!Q$6,'Emission factors'!$K$2:$V$2,0)))*$J44)</f>
        <v/>
      </c>
      <c r="R44" s="288" t="str" cm="1">
        <f t="array" ref="R44">IF(OR($D44="",$H44=""),"",(INDEX('Emission factors'!$K$3:$V$201,MATCH('Buildings &amp; stationary assets'!$D44&amp;$E44,'Emission factors'!$J$3:$J$201&amp;'Emission factors'!$K$3:$K$201,0),MATCH('Buildings &amp; stationary assets'!R$6,'Emission factors'!$K$2:$V$2,0)))*$J44)</f>
        <v/>
      </c>
      <c r="S44" s="288" t="str" cm="1">
        <f t="array" ref="S44">IF(OR($D44="",$H44=""),"",(INDEX('Emission factors'!$K$3:$V$201,MATCH('Buildings &amp; stationary assets'!$D44&amp;$E44,'Emission factors'!$J$3:$J$201&amp;'Emission factors'!$K$3:$K$201,0),MATCH('Buildings &amp; stationary assets'!S$6,'Emission factors'!$K$2:$V$2,0)))*$J44)</f>
        <v/>
      </c>
      <c r="T44" s="288" t="str" cm="1">
        <f t="array" ref="T44">IF(OR($D44="",$H44=""),"",(INDEX('Emission factors'!$K$3:$V$201,MATCH('Buildings &amp; stationary assets'!$D44&amp;$E44,'Emission factors'!$J$3:$J$201&amp;'Emission factors'!$K$3:$K$201,0),MATCH('Buildings &amp; stationary assets'!T$6,'Emission factors'!$K$2:$V$2,0)))*$J44)</f>
        <v/>
      </c>
      <c r="U44" s="289" t="str">
        <f>IF(OR($M44="",BuildingsTable[[#This Row],[RSD]]=""),"",BuildingsTable[[#This Row],[Total emissions (kgCO2e)]]*(1+BuildingsTable[[#This Row],[RSD]]))</f>
        <v/>
      </c>
      <c r="V44" s="290" t="str">
        <f>IF(OR($M44="",BuildingsTable[[#This Row],[RSD]]=""),"",BuildingsTable[[#This Row],[Total emissions (kgCO2e)]]*(1-BuildingsTable[[#This Row],[RSD]]))</f>
        <v/>
      </c>
      <c r="W44" s="320" t="str" cm="1">
        <f t="array" ref="W44">IF(OR($D44="",$H44=""),"",(INDEX('Emission factors'!$K$3:$V$201,MATCH('Buildings &amp; stationary assets'!$D44&amp;$E44,'Emission factors'!$J$3:$J$201&amp;'Emission factors'!$K$3:$K$201,0),MATCH('Buildings &amp; stationary assets'!W$6,'Emission factors'!$K$2:$V$2,0)))*$J44)</f>
        <v/>
      </c>
      <c r="X44" s="66"/>
      <c r="Y44" s="1" cm="1">
        <f t="array" ref="Y44">IF(OR(ISERROR(B44:W44)),1,0)</f>
        <v>0</v>
      </c>
      <c r="Z44" s="1">
        <f t="shared" si="0"/>
        <v>0</v>
      </c>
    </row>
    <row r="45" spans="1:26" s="1" customFormat="1" ht="15" outlineLevel="1" thickBot="1" x14ac:dyDescent="0.4">
      <c r="A45" s="189"/>
      <c r="B45" s="461"/>
      <c r="C45" s="155"/>
      <c r="D45" s="151"/>
      <c r="E45" s="151"/>
      <c r="F45" s="151"/>
      <c r="G45" s="187" t="str">
        <f>IF(F45="","",INDEX(Lists!$BA$4:$BC$31,MATCH(D45,Lists!$AZ$4:$AZ$31,0),MATCH(F45,Lists!$BA$3:$BC$3,0)))</f>
        <v/>
      </c>
      <c r="H45" s="148"/>
      <c r="I45" s="151"/>
      <c r="J45" s="154" t="str" cm="1">
        <f t="array" ref="J45">IF(OR($D45="",$C45="",$H45="",$I45=""),"",IF(I45=K45,H45,(INDEX('Emission factors'!$K$3:$V$201,MATCH(D45&amp;E45,'Emission factors'!$J$3:$J$201&amp;'Emission factors'!$K$3:$K$201,0),MATCH(J$6,'Emission factors'!$K$2:$V$2,0)))*H45))</f>
        <v/>
      </c>
      <c r="K45" s="192" t="str">
        <f>IF(OR($D45="",$C45="",$H45="",$I45=""),"",INDEX('Emission factors'!$K$3:$V$201,MATCH('Buildings &amp; stationary assets'!$D45,'Emission factors'!$J$3:$J$201,0),MATCH($K$6,'Emission factors'!$K$2:$V$2,0)))</f>
        <v/>
      </c>
      <c r="L45" s="193" t="str" cm="1">
        <f t="array" ref="L45">IF(OR(D45="",H45="",BuildingsTable[[#This Row],[Units]]=""),"",INDEX('Emission factors'!$K$3:$V$201,MATCH('Buildings &amp; stationary assets'!$D45&amp;E45,'Emission factors'!$J$3:$J$201&amp;'Emission factors'!$K$3:$K$201,0),MATCH('Buildings &amp; stationary assets'!$L$6,'Emission factors'!$K$2:$V$2,0)))</f>
        <v/>
      </c>
      <c r="M45" s="287" t="str">
        <f>IF(OR(J45="",L45=""),"",SUM(BuildingsTable[[#This Row],[Direct]:[Indirect WTT]]))</f>
        <v/>
      </c>
      <c r="N45" s="150"/>
      <c r="O45" s="151"/>
      <c r="P45" s="288" t="str" cm="1">
        <f t="array" ref="P45">IF(OR($D45="",$H45=""),"",(INDEX('Emission factors'!$K$3:$V$201,MATCH('Buildings &amp; stationary assets'!$D45&amp;$E45,'Emission factors'!$J$3:$J$201&amp;'Emission factors'!$K$3:$K$201,0),MATCH('Buildings &amp; stationary assets'!P$6,'Emission factors'!$K$2:$V$2,0)))*$J45)</f>
        <v/>
      </c>
      <c r="Q45" s="288" t="str" cm="1">
        <f t="array" ref="Q45">IF(OR($D45="",$H45=""),"",(INDEX('Emission factors'!$K$3:$V$201,MATCH('Buildings &amp; stationary assets'!$D45&amp;$E45,'Emission factors'!$J$3:$J$201&amp;'Emission factors'!$K$3:$K$201,0),MATCH('Buildings &amp; stationary assets'!Q$6,'Emission factors'!$K$2:$V$2,0)))*$J45)</f>
        <v/>
      </c>
      <c r="R45" s="288" t="str" cm="1">
        <f t="array" ref="R45">IF(OR($D45="",$H45=""),"",(INDEX('Emission factors'!$K$3:$V$201,MATCH('Buildings &amp; stationary assets'!$D45&amp;$E45,'Emission factors'!$J$3:$J$201&amp;'Emission factors'!$K$3:$K$201,0),MATCH('Buildings &amp; stationary assets'!R$6,'Emission factors'!$K$2:$V$2,0)))*$J45)</f>
        <v/>
      </c>
      <c r="S45" s="288" t="str" cm="1">
        <f t="array" ref="S45">IF(OR($D45="",$H45=""),"",(INDEX('Emission factors'!$K$3:$V$201,MATCH('Buildings &amp; stationary assets'!$D45&amp;$E45,'Emission factors'!$J$3:$J$201&amp;'Emission factors'!$K$3:$K$201,0),MATCH('Buildings &amp; stationary assets'!S$6,'Emission factors'!$K$2:$V$2,0)))*$J45)</f>
        <v/>
      </c>
      <c r="T45" s="288" t="str" cm="1">
        <f t="array" ref="T45">IF(OR($D45="",$H45=""),"",(INDEX('Emission factors'!$K$3:$V$201,MATCH('Buildings &amp; stationary assets'!$D45&amp;$E45,'Emission factors'!$J$3:$J$201&amp;'Emission factors'!$K$3:$K$201,0),MATCH('Buildings &amp; stationary assets'!T$6,'Emission factors'!$K$2:$V$2,0)))*$J45)</f>
        <v/>
      </c>
      <c r="U45" s="289" t="str">
        <f>IF(OR($M45="",BuildingsTable[[#This Row],[RSD]]=""),"",BuildingsTable[[#This Row],[Total emissions (kgCO2e)]]*(1+BuildingsTable[[#This Row],[RSD]]))</f>
        <v/>
      </c>
      <c r="V45" s="290" t="str">
        <f>IF(OR($M45="",BuildingsTable[[#This Row],[RSD]]=""),"",BuildingsTable[[#This Row],[Total emissions (kgCO2e)]]*(1-BuildingsTable[[#This Row],[RSD]]))</f>
        <v/>
      </c>
      <c r="W45" s="320" t="str" cm="1">
        <f t="array" ref="W45">IF(OR($D45="",$H45=""),"",(INDEX('Emission factors'!$K$3:$V$201,MATCH('Buildings &amp; stationary assets'!$D45&amp;$E45,'Emission factors'!$J$3:$J$201&amp;'Emission factors'!$K$3:$K$201,0),MATCH('Buildings &amp; stationary assets'!W$6,'Emission factors'!$K$2:$V$2,0)))*$J45)</f>
        <v/>
      </c>
      <c r="X45" s="66"/>
      <c r="Y45" s="1" cm="1">
        <f t="array" ref="Y45">IF(OR(ISERROR(B45:W45)),1,0)</f>
        <v>0</v>
      </c>
      <c r="Z45" s="1">
        <f t="shared" si="0"/>
        <v>0</v>
      </c>
    </row>
    <row r="46" spans="1:26" s="1" customFormat="1" ht="15" outlineLevel="1" thickBot="1" x14ac:dyDescent="0.4">
      <c r="A46" s="189"/>
      <c r="B46" s="461"/>
      <c r="C46" s="155"/>
      <c r="D46" s="151"/>
      <c r="E46" s="151"/>
      <c r="F46" s="151"/>
      <c r="G46" s="187" t="str">
        <f>IF(F46="","",INDEX(Lists!$BA$4:$BC$31,MATCH(D46,Lists!$AZ$4:$AZ$31,0),MATCH(F46,Lists!$BA$3:$BC$3,0)))</f>
        <v/>
      </c>
      <c r="H46" s="148"/>
      <c r="I46" s="151"/>
      <c r="J46" s="154" t="str" cm="1">
        <f t="array" ref="J46">IF(OR($D46="",$C46="",$H46="",$I46=""),"",IF(I46=K46,H46,(INDEX('Emission factors'!$K$3:$V$201,MATCH(D46&amp;E46,'Emission factors'!$J$3:$J$201&amp;'Emission factors'!$K$3:$K$201,0),MATCH(J$6,'Emission factors'!$K$2:$V$2,0)))*H46))</f>
        <v/>
      </c>
      <c r="K46" s="192" t="str">
        <f>IF(OR($D46="",$C46="",$H46="",$I46=""),"",INDEX('Emission factors'!$K$3:$V$201,MATCH('Buildings &amp; stationary assets'!$D46,'Emission factors'!$J$3:$J$201,0),MATCH($K$6,'Emission factors'!$K$2:$V$2,0)))</f>
        <v/>
      </c>
      <c r="L46" s="193" t="str" cm="1">
        <f t="array" ref="L46">IF(OR(D46="",H46="",BuildingsTable[[#This Row],[Units]]=""),"",INDEX('Emission factors'!$K$3:$V$201,MATCH('Buildings &amp; stationary assets'!$D46&amp;E46,'Emission factors'!$J$3:$J$201&amp;'Emission factors'!$K$3:$K$201,0),MATCH('Buildings &amp; stationary assets'!$L$6,'Emission factors'!$K$2:$V$2,0)))</f>
        <v/>
      </c>
      <c r="M46" s="287" t="str">
        <f>IF(OR(J46="",L46=""),"",SUM(BuildingsTable[[#This Row],[Direct]:[Indirect WTT]]))</f>
        <v/>
      </c>
      <c r="N46" s="150"/>
      <c r="O46" s="151"/>
      <c r="P46" s="288" t="str" cm="1">
        <f t="array" ref="P46">IF(OR($D46="",$H46=""),"",(INDEX('Emission factors'!$K$3:$V$201,MATCH('Buildings &amp; stationary assets'!$D46&amp;$E46,'Emission factors'!$J$3:$J$201&amp;'Emission factors'!$K$3:$K$201,0),MATCH('Buildings &amp; stationary assets'!P$6,'Emission factors'!$K$2:$V$2,0)))*$J46)</f>
        <v/>
      </c>
      <c r="Q46" s="288" t="str" cm="1">
        <f t="array" ref="Q46">IF(OR($D46="",$H46=""),"",(INDEX('Emission factors'!$K$3:$V$201,MATCH('Buildings &amp; stationary assets'!$D46&amp;$E46,'Emission factors'!$J$3:$J$201&amp;'Emission factors'!$K$3:$K$201,0),MATCH('Buildings &amp; stationary assets'!Q$6,'Emission factors'!$K$2:$V$2,0)))*$J46)</f>
        <v/>
      </c>
      <c r="R46" s="288" t="str" cm="1">
        <f t="array" ref="R46">IF(OR($D46="",$H46=""),"",(INDEX('Emission factors'!$K$3:$V$201,MATCH('Buildings &amp; stationary assets'!$D46&amp;$E46,'Emission factors'!$J$3:$J$201&amp;'Emission factors'!$K$3:$K$201,0),MATCH('Buildings &amp; stationary assets'!R$6,'Emission factors'!$K$2:$V$2,0)))*$J46)</f>
        <v/>
      </c>
      <c r="S46" s="288" t="str" cm="1">
        <f t="array" ref="S46">IF(OR($D46="",$H46=""),"",(INDEX('Emission factors'!$K$3:$V$201,MATCH('Buildings &amp; stationary assets'!$D46&amp;$E46,'Emission factors'!$J$3:$J$201&amp;'Emission factors'!$K$3:$K$201,0),MATCH('Buildings &amp; stationary assets'!S$6,'Emission factors'!$K$2:$V$2,0)))*$J46)</f>
        <v/>
      </c>
      <c r="T46" s="288" t="str" cm="1">
        <f t="array" ref="T46">IF(OR($D46="",$H46=""),"",(INDEX('Emission factors'!$K$3:$V$201,MATCH('Buildings &amp; stationary assets'!$D46&amp;$E46,'Emission factors'!$J$3:$J$201&amp;'Emission factors'!$K$3:$K$201,0),MATCH('Buildings &amp; stationary assets'!T$6,'Emission factors'!$K$2:$V$2,0)))*$J46)</f>
        <v/>
      </c>
      <c r="U46" s="289" t="str">
        <f>IF(OR($M46="",BuildingsTable[[#This Row],[RSD]]=""),"",BuildingsTable[[#This Row],[Total emissions (kgCO2e)]]*(1+BuildingsTable[[#This Row],[RSD]]))</f>
        <v/>
      </c>
      <c r="V46" s="290" t="str">
        <f>IF(OR($M46="",BuildingsTable[[#This Row],[RSD]]=""),"",BuildingsTable[[#This Row],[Total emissions (kgCO2e)]]*(1-BuildingsTable[[#This Row],[RSD]]))</f>
        <v/>
      </c>
      <c r="W46" s="320" t="str" cm="1">
        <f t="array" ref="W46">IF(OR($D46="",$H46=""),"",(INDEX('Emission factors'!$K$3:$V$201,MATCH('Buildings &amp; stationary assets'!$D46&amp;$E46,'Emission factors'!$J$3:$J$201&amp;'Emission factors'!$K$3:$K$201,0),MATCH('Buildings &amp; stationary assets'!W$6,'Emission factors'!$K$2:$V$2,0)))*$J46)</f>
        <v/>
      </c>
      <c r="X46" s="66"/>
      <c r="Y46" s="1" cm="1">
        <f t="array" ref="Y46">IF(OR(ISERROR(B46:W46)),1,0)</f>
        <v>0</v>
      </c>
      <c r="Z46" s="1">
        <f t="shared" si="0"/>
        <v>0</v>
      </c>
    </row>
    <row r="47" spans="1:26" s="1" customFormat="1" ht="15" outlineLevel="1" thickBot="1" x14ac:dyDescent="0.4">
      <c r="A47" s="189"/>
      <c r="B47" s="461"/>
      <c r="C47" s="155"/>
      <c r="D47" s="151"/>
      <c r="E47" s="151"/>
      <c r="F47" s="151"/>
      <c r="G47" s="187" t="str">
        <f>IF(F47="","",INDEX(Lists!$BA$4:$BC$31,MATCH(D47,Lists!$AZ$4:$AZ$31,0),MATCH(F47,Lists!$BA$3:$BC$3,0)))</f>
        <v/>
      </c>
      <c r="H47" s="148"/>
      <c r="I47" s="151"/>
      <c r="J47" s="154" t="str" cm="1">
        <f t="array" ref="J47">IF(OR($D47="",$C47="",$H47="",$I47=""),"",IF(I47=K47,H47,(INDEX('Emission factors'!$K$3:$V$201,MATCH(D47&amp;E47,'Emission factors'!$J$3:$J$201&amp;'Emission factors'!$K$3:$K$201,0),MATCH(J$6,'Emission factors'!$K$2:$V$2,0)))*H47))</f>
        <v/>
      </c>
      <c r="K47" s="192" t="str">
        <f>IF(OR($D47="",$C47="",$H47="",$I47=""),"",INDEX('Emission factors'!$K$3:$V$201,MATCH('Buildings &amp; stationary assets'!$D47,'Emission factors'!$J$3:$J$201,0),MATCH($K$6,'Emission factors'!$K$2:$V$2,0)))</f>
        <v/>
      </c>
      <c r="L47" s="193" t="str" cm="1">
        <f t="array" ref="L47">IF(OR(D47="",H47="",BuildingsTable[[#This Row],[Units]]=""),"",INDEX('Emission factors'!$K$3:$V$201,MATCH('Buildings &amp; stationary assets'!$D47&amp;E47,'Emission factors'!$J$3:$J$201&amp;'Emission factors'!$K$3:$K$201,0),MATCH('Buildings &amp; stationary assets'!$L$6,'Emission factors'!$K$2:$V$2,0)))</f>
        <v/>
      </c>
      <c r="M47" s="287" t="str">
        <f>IF(OR(J47="",L47=""),"",SUM(BuildingsTable[[#This Row],[Direct]:[Indirect WTT]]))</f>
        <v/>
      </c>
      <c r="N47" s="150"/>
      <c r="O47" s="151"/>
      <c r="P47" s="288" t="str" cm="1">
        <f t="array" ref="P47">IF(OR($D47="",$H47=""),"",(INDEX('Emission factors'!$K$3:$V$201,MATCH('Buildings &amp; stationary assets'!$D47&amp;$E47,'Emission factors'!$J$3:$J$201&amp;'Emission factors'!$K$3:$K$201,0),MATCH('Buildings &amp; stationary assets'!P$6,'Emission factors'!$K$2:$V$2,0)))*$J47)</f>
        <v/>
      </c>
      <c r="Q47" s="288" t="str" cm="1">
        <f t="array" ref="Q47">IF(OR($D47="",$H47=""),"",(INDEX('Emission factors'!$K$3:$V$201,MATCH('Buildings &amp; stationary assets'!$D47&amp;$E47,'Emission factors'!$J$3:$J$201&amp;'Emission factors'!$K$3:$K$201,0),MATCH('Buildings &amp; stationary assets'!Q$6,'Emission factors'!$K$2:$V$2,0)))*$J47)</f>
        <v/>
      </c>
      <c r="R47" s="288" t="str" cm="1">
        <f t="array" ref="R47">IF(OR($D47="",$H47=""),"",(INDEX('Emission factors'!$K$3:$V$201,MATCH('Buildings &amp; stationary assets'!$D47&amp;$E47,'Emission factors'!$J$3:$J$201&amp;'Emission factors'!$K$3:$K$201,0),MATCH('Buildings &amp; stationary assets'!R$6,'Emission factors'!$K$2:$V$2,0)))*$J47)</f>
        <v/>
      </c>
      <c r="S47" s="288" t="str" cm="1">
        <f t="array" ref="S47">IF(OR($D47="",$H47=""),"",(INDEX('Emission factors'!$K$3:$V$201,MATCH('Buildings &amp; stationary assets'!$D47&amp;$E47,'Emission factors'!$J$3:$J$201&amp;'Emission factors'!$K$3:$K$201,0),MATCH('Buildings &amp; stationary assets'!S$6,'Emission factors'!$K$2:$V$2,0)))*$J47)</f>
        <v/>
      </c>
      <c r="T47" s="288" t="str" cm="1">
        <f t="array" ref="T47">IF(OR($D47="",$H47=""),"",(INDEX('Emission factors'!$K$3:$V$201,MATCH('Buildings &amp; stationary assets'!$D47&amp;$E47,'Emission factors'!$J$3:$J$201&amp;'Emission factors'!$K$3:$K$201,0),MATCH('Buildings &amp; stationary assets'!T$6,'Emission factors'!$K$2:$V$2,0)))*$J47)</f>
        <v/>
      </c>
      <c r="U47" s="289" t="str">
        <f>IF(OR($M47="",BuildingsTable[[#This Row],[RSD]]=""),"",BuildingsTable[[#This Row],[Total emissions (kgCO2e)]]*(1+BuildingsTable[[#This Row],[RSD]]))</f>
        <v/>
      </c>
      <c r="V47" s="290" t="str">
        <f>IF(OR($M47="",BuildingsTable[[#This Row],[RSD]]=""),"",BuildingsTable[[#This Row],[Total emissions (kgCO2e)]]*(1-BuildingsTable[[#This Row],[RSD]]))</f>
        <v/>
      </c>
      <c r="W47" s="320" t="str" cm="1">
        <f t="array" ref="W47">IF(OR($D47="",$H47=""),"",(INDEX('Emission factors'!$K$3:$V$201,MATCH('Buildings &amp; stationary assets'!$D47&amp;$E47,'Emission factors'!$J$3:$J$201&amp;'Emission factors'!$K$3:$K$201,0),MATCH('Buildings &amp; stationary assets'!W$6,'Emission factors'!$K$2:$V$2,0)))*$J47)</f>
        <v/>
      </c>
      <c r="X47" s="66"/>
      <c r="Y47" s="1" cm="1">
        <f t="array" ref="Y47">IF(OR(ISERROR(B47:W47)),1,0)</f>
        <v>0</v>
      </c>
      <c r="Z47" s="1">
        <f t="shared" si="0"/>
        <v>0</v>
      </c>
    </row>
    <row r="48" spans="1:26" s="1" customFormat="1" ht="15" outlineLevel="1" thickBot="1" x14ac:dyDescent="0.4">
      <c r="A48" s="189"/>
      <c r="B48" s="461"/>
      <c r="C48" s="155"/>
      <c r="D48" s="151"/>
      <c r="E48" s="151"/>
      <c r="F48" s="151"/>
      <c r="G48" s="187" t="str">
        <f>IF(F48="","",INDEX(Lists!$BA$4:$BC$31,MATCH(D48,Lists!$AZ$4:$AZ$31,0),MATCH(F48,Lists!$BA$3:$BC$3,0)))</f>
        <v/>
      </c>
      <c r="H48" s="148"/>
      <c r="I48" s="151"/>
      <c r="J48" s="154" t="str" cm="1">
        <f t="array" ref="J48">IF(OR($D48="",$C48="",$H48="",$I48=""),"",IF(I48=K48,H48,(INDEX('Emission factors'!$K$3:$V$201,MATCH(D48&amp;E48,'Emission factors'!$J$3:$J$201&amp;'Emission factors'!$K$3:$K$201,0),MATCH(J$6,'Emission factors'!$K$2:$V$2,0)))*H48))</f>
        <v/>
      </c>
      <c r="K48" s="192" t="str">
        <f>IF(OR($D48="",$C48="",$H48="",$I48=""),"",INDEX('Emission factors'!$K$3:$V$201,MATCH('Buildings &amp; stationary assets'!$D48,'Emission factors'!$J$3:$J$201,0),MATCH($K$6,'Emission factors'!$K$2:$V$2,0)))</f>
        <v/>
      </c>
      <c r="L48" s="193" t="str" cm="1">
        <f t="array" ref="L48">IF(OR(D48="",H48="",BuildingsTable[[#This Row],[Units]]=""),"",INDEX('Emission factors'!$K$3:$V$201,MATCH('Buildings &amp; stationary assets'!$D48&amp;E48,'Emission factors'!$J$3:$J$201&amp;'Emission factors'!$K$3:$K$201,0),MATCH('Buildings &amp; stationary assets'!$L$6,'Emission factors'!$K$2:$V$2,0)))</f>
        <v/>
      </c>
      <c r="M48" s="287" t="str">
        <f>IF(OR(J48="",L48=""),"",SUM(BuildingsTable[[#This Row],[Direct]:[Indirect WTT]]))</f>
        <v/>
      </c>
      <c r="N48" s="150"/>
      <c r="O48" s="151"/>
      <c r="P48" s="288" t="str" cm="1">
        <f t="array" ref="P48">IF(OR($D48="",$H48=""),"",(INDEX('Emission factors'!$K$3:$V$201,MATCH('Buildings &amp; stationary assets'!$D48&amp;$E48,'Emission factors'!$J$3:$J$201&amp;'Emission factors'!$K$3:$K$201,0),MATCH('Buildings &amp; stationary assets'!P$6,'Emission factors'!$K$2:$V$2,0)))*$J48)</f>
        <v/>
      </c>
      <c r="Q48" s="288" t="str" cm="1">
        <f t="array" ref="Q48">IF(OR($D48="",$H48=""),"",(INDEX('Emission factors'!$K$3:$V$201,MATCH('Buildings &amp; stationary assets'!$D48&amp;$E48,'Emission factors'!$J$3:$J$201&amp;'Emission factors'!$K$3:$K$201,0),MATCH('Buildings &amp; stationary assets'!Q$6,'Emission factors'!$K$2:$V$2,0)))*$J48)</f>
        <v/>
      </c>
      <c r="R48" s="288" t="str" cm="1">
        <f t="array" ref="R48">IF(OR($D48="",$H48=""),"",(INDEX('Emission factors'!$K$3:$V$201,MATCH('Buildings &amp; stationary assets'!$D48&amp;$E48,'Emission factors'!$J$3:$J$201&amp;'Emission factors'!$K$3:$K$201,0),MATCH('Buildings &amp; stationary assets'!R$6,'Emission factors'!$K$2:$V$2,0)))*$J48)</f>
        <v/>
      </c>
      <c r="S48" s="288" t="str" cm="1">
        <f t="array" ref="S48">IF(OR($D48="",$H48=""),"",(INDEX('Emission factors'!$K$3:$V$201,MATCH('Buildings &amp; stationary assets'!$D48&amp;$E48,'Emission factors'!$J$3:$J$201&amp;'Emission factors'!$K$3:$K$201,0),MATCH('Buildings &amp; stationary assets'!S$6,'Emission factors'!$K$2:$V$2,0)))*$J48)</f>
        <v/>
      </c>
      <c r="T48" s="288" t="str" cm="1">
        <f t="array" ref="T48">IF(OR($D48="",$H48=""),"",(INDEX('Emission factors'!$K$3:$V$201,MATCH('Buildings &amp; stationary assets'!$D48&amp;$E48,'Emission factors'!$J$3:$J$201&amp;'Emission factors'!$K$3:$K$201,0),MATCH('Buildings &amp; stationary assets'!T$6,'Emission factors'!$K$2:$V$2,0)))*$J48)</f>
        <v/>
      </c>
      <c r="U48" s="289" t="str">
        <f>IF(OR($M48="",BuildingsTable[[#This Row],[RSD]]=""),"",BuildingsTable[[#This Row],[Total emissions (kgCO2e)]]*(1+BuildingsTable[[#This Row],[RSD]]))</f>
        <v/>
      </c>
      <c r="V48" s="290" t="str">
        <f>IF(OR($M48="",BuildingsTable[[#This Row],[RSD]]=""),"",BuildingsTable[[#This Row],[Total emissions (kgCO2e)]]*(1-BuildingsTable[[#This Row],[RSD]]))</f>
        <v/>
      </c>
      <c r="W48" s="320" t="str" cm="1">
        <f t="array" ref="W48">IF(OR($D48="",$H48=""),"",(INDEX('Emission factors'!$K$3:$V$201,MATCH('Buildings &amp; stationary assets'!$D48&amp;$E48,'Emission factors'!$J$3:$J$201&amp;'Emission factors'!$K$3:$K$201,0),MATCH('Buildings &amp; stationary assets'!W$6,'Emission factors'!$K$2:$V$2,0)))*$J48)</f>
        <v/>
      </c>
      <c r="X48" s="66"/>
      <c r="Y48" s="1" cm="1">
        <f t="array" ref="Y48">IF(OR(ISERROR(B48:W48)),1,0)</f>
        <v>0</v>
      </c>
      <c r="Z48" s="1">
        <f t="shared" si="0"/>
        <v>0</v>
      </c>
    </row>
    <row r="49" spans="1:26" s="1" customFormat="1" ht="15" outlineLevel="1" thickBot="1" x14ac:dyDescent="0.4">
      <c r="A49" s="189"/>
      <c r="B49" s="461"/>
      <c r="C49" s="155"/>
      <c r="D49" s="151"/>
      <c r="E49" s="151"/>
      <c r="F49" s="151"/>
      <c r="G49" s="187" t="str">
        <f>IF(F49="","",INDEX(Lists!$BA$4:$BC$31,MATCH(D49,Lists!$AZ$4:$AZ$31,0),MATCH(F49,Lists!$BA$3:$BC$3,0)))</f>
        <v/>
      </c>
      <c r="H49" s="148"/>
      <c r="I49" s="151"/>
      <c r="J49" s="154" t="str" cm="1">
        <f t="array" ref="J49">IF(OR($D49="",$C49="",$H49="",$I49=""),"",IF(I49=K49,H49,(INDEX('Emission factors'!$K$3:$V$201,MATCH(D49&amp;E49,'Emission factors'!$J$3:$J$201&amp;'Emission factors'!$K$3:$K$201,0),MATCH(J$6,'Emission factors'!$K$2:$V$2,0)))*H49))</f>
        <v/>
      </c>
      <c r="K49" s="192" t="str">
        <f>IF(OR($D49="",$C49="",$H49="",$I49=""),"",INDEX('Emission factors'!$K$3:$V$201,MATCH('Buildings &amp; stationary assets'!$D49,'Emission factors'!$J$3:$J$201,0),MATCH($K$6,'Emission factors'!$K$2:$V$2,0)))</f>
        <v/>
      </c>
      <c r="L49" s="193" t="str" cm="1">
        <f t="array" ref="L49">IF(OR(D49="",H49="",BuildingsTable[[#This Row],[Units]]=""),"",INDEX('Emission factors'!$K$3:$V$201,MATCH('Buildings &amp; stationary assets'!$D49&amp;E49,'Emission factors'!$J$3:$J$201&amp;'Emission factors'!$K$3:$K$201,0),MATCH('Buildings &amp; stationary assets'!$L$6,'Emission factors'!$K$2:$V$2,0)))</f>
        <v/>
      </c>
      <c r="M49" s="287" t="str">
        <f>IF(OR(J49="",L49=""),"",SUM(BuildingsTable[[#This Row],[Direct]:[Indirect WTT]]))</f>
        <v/>
      </c>
      <c r="N49" s="150"/>
      <c r="O49" s="151"/>
      <c r="P49" s="288" t="str" cm="1">
        <f t="array" ref="P49">IF(OR($D49="",$H49=""),"",(INDEX('Emission factors'!$K$3:$V$201,MATCH('Buildings &amp; stationary assets'!$D49&amp;$E49,'Emission factors'!$J$3:$J$201&amp;'Emission factors'!$K$3:$K$201,0),MATCH('Buildings &amp; stationary assets'!P$6,'Emission factors'!$K$2:$V$2,0)))*$J49)</f>
        <v/>
      </c>
      <c r="Q49" s="288" t="str" cm="1">
        <f t="array" ref="Q49">IF(OR($D49="",$H49=""),"",(INDEX('Emission factors'!$K$3:$V$201,MATCH('Buildings &amp; stationary assets'!$D49&amp;$E49,'Emission factors'!$J$3:$J$201&amp;'Emission factors'!$K$3:$K$201,0),MATCH('Buildings &amp; stationary assets'!Q$6,'Emission factors'!$K$2:$V$2,0)))*$J49)</f>
        <v/>
      </c>
      <c r="R49" s="288" t="str" cm="1">
        <f t="array" ref="R49">IF(OR($D49="",$H49=""),"",(INDEX('Emission factors'!$K$3:$V$201,MATCH('Buildings &amp; stationary assets'!$D49&amp;$E49,'Emission factors'!$J$3:$J$201&amp;'Emission factors'!$K$3:$K$201,0),MATCH('Buildings &amp; stationary assets'!R$6,'Emission factors'!$K$2:$V$2,0)))*$J49)</f>
        <v/>
      </c>
      <c r="S49" s="288" t="str" cm="1">
        <f t="array" ref="S49">IF(OR($D49="",$H49=""),"",(INDEX('Emission factors'!$K$3:$V$201,MATCH('Buildings &amp; stationary assets'!$D49&amp;$E49,'Emission factors'!$J$3:$J$201&amp;'Emission factors'!$K$3:$K$201,0),MATCH('Buildings &amp; stationary assets'!S$6,'Emission factors'!$K$2:$V$2,0)))*$J49)</f>
        <v/>
      </c>
      <c r="T49" s="288" t="str" cm="1">
        <f t="array" ref="T49">IF(OR($D49="",$H49=""),"",(INDEX('Emission factors'!$K$3:$V$201,MATCH('Buildings &amp; stationary assets'!$D49&amp;$E49,'Emission factors'!$J$3:$J$201&amp;'Emission factors'!$K$3:$K$201,0),MATCH('Buildings &amp; stationary assets'!T$6,'Emission factors'!$K$2:$V$2,0)))*$J49)</f>
        <v/>
      </c>
      <c r="U49" s="289" t="str">
        <f>IF(OR($M49="",BuildingsTable[[#This Row],[RSD]]=""),"",BuildingsTable[[#This Row],[Total emissions (kgCO2e)]]*(1+BuildingsTable[[#This Row],[RSD]]))</f>
        <v/>
      </c>
      <c r="V49" s="290" t="str">
        <f>IF(OR($M49="",BuildingsTable[[#This Row],[RSD]]=""),"",BuildingsTable[[#This Row],[Total emissions (kgCO2e)]]*(1-BuildingsTable[[#This Row],[RSD]]))</f>
        <v/>
      </c>
      <c r="W49" s="320" t="str" cm="1">
        <f t="array" ref="W49">IF(OR($D49="",$H49=""),"",(INDEX('Emission factors'!$K$3:$V$201,MATCH('Buildings &amp; stationary assets'!$D49&amp;$E49,'Emission factors'!$J$3:$J$201&amp;'Emission factors'!$K$3:$K$201,0),MATCH('Buildings &amp; stationary assets'!W$6,'Emission factors'!$K$2:$V$2,0)))*$J49)</f>
        <v/>
      </c>
      <c r="X49" s="66"/>
      <c r="Y49" s="1" cm="1">
        <f t="array" ref="Y49">IF(OR(ISERROR(B49:W49)),1,0)</f>
        <v>0</v>
      </c>
      <c r="Z49" s="1">
        <f t="shared" si="0"/>
        <v>0</v>
      </c>
    </row>
    <row r="50" spans="1:26" s="1" customFormat="1" ht="15" outlineLevel="1" thickBot="1" x14ac:dyDescent="0.4">
      <c r="A50" s="189"/>
      <c r="B50" s="461"/>
      <c r="C50" s="155"/>
      <c r="D50" s="151"/>
      <c r="E50" s="151"/>
      <c r="F50" s="151"/>
      <c r="G50" s="187" t="str">
        <f>IF(F50="","",INDEX(Lists!$BA$4:$BC$31,MATCH(D50,Lists!$AZ$4:$AZ$31,0),MATCH(F50,Lists!$BA$3:$BC$3,0)))</f>
        <v/>
      </c>
      <c r="H50" s="148"/>
      <c r="I50" s="151"/>
      <c r="J50" s="154" t="str" cm="1">
        <f t="array" ref="J50">IF(OR($D50="",$C50="",$H50="",$I50=""),"",IF(I50=K50,H50,(INDEX('Emission factors'!$K$3:$V$201,MATCH(D50&amp;E50,'Emission factors'!$J$3:$J$201&amp;'Emission factors'!$K$3:$K$201,0),MATCH(J$6,'Emission factors'!$K$2:$V$2,0)))*H50))</f>
        <v/>
      </c>
      <c r="K50" s="192" t="str">
        <f>IF(OR($D50="",$C50="",$H50="",$I50=""),"",INDEX('Emission factors'!$K$3:$V$201,MATCH('Buildings &amp; stationary assets'!$D50,'Emission factors'!$J$3:$J$201,0),MATCH($K$6,'Emission factors'!$K$2:$V$2,0)))</f>
        <v/>
      </c>
      <c r="L50" s="193" t="str" cm="1">
        <f t="array" ref="L50">IF(OR(D50="",H50="",BuildingsTable[[#This Row],[Units]]=""),"",INDEX('Emission factors'!$K$3:$V$201,MATCH('Buildings &amp; stationary assets'!$D50&amp;E50,'Emission factors'!$J$3:$J$201&amp;'Emission factors'!$K$3:$K$201,0),MATCH('Buildings &amp; stationary assets'!$L$6,'Emission factors'!$K$2:$V$2,0)))</f>
        <v/>
      </c>
      <c r="M50" s="287" t="str">
        <f>IF(OR(J50="",L50=""),"",SUM(BuildingsTable[[#This Row],[Direct]:[Indirect WTT]]))</f>
        <v/>
      </c>
      <c r="N50" s="150"/>
      <c r="O50" s="151"/>
      <c r="P50" s="288" t="str" cm="1">
        <f t="array" ref="P50">IF(OR($D50="",$H50=""),"",(INDEX('Emission factors'!$K$3:$V$201,MATCH('Buildings &amp; stationary assets'!$D50&amp;$E50,'Emission factors'!$J$3:$J$201&amp;'Emission factors'!$K$3:$K$201,0),MATCH('Buildings &amp; stationary assets'!P$6,'Emission factors'!$K$2:$V$2,0)))*$J50)</f>
        <v/>
      </c>
      <c r="Q50" s="288" t="str" cm="1">
        <f t="array" ref="Q50">IF(OR($D50="",$H50=""),"",(INDEX('Emission factors'!$K$3:$V$201,MATCH('Buildings &amp; stationary assets'!$D50&amp;$E50,'Emission factors'!$J$3:$J$201&amp;'Emission factors'!$K$3:$K$201,0),MATCH('Buildings &amp; stationary assets'!Q$6,'Emission factors'!$K$2:$V$2,0)))*$J50)</f>
        <v/>
      </c>
      <c r="R50" s="288" t="str" cm="1">
        <f t="array" ref="R50">IF(OR($D50="",$H50=""),"",(INDEX('Emission factors'!$K$3:$V$201,MATCH('Buildings &amp; stationary assets'!$D50&amp;$E50,'Emission factors'!$J$3:$J$201&amp;'Emission factors'!$K$3:$K$201,0),MATCH('Buildings &amp; stationary assets'!R$6,'Emission factors'!$K$2:$V$2,0)))*$J50)</f>
        <v/>
      </c>
      <c r="S50" s="288" t="str" cm="1">
        <f t="array" ref="S50">IF(OR($D50="",$H50=""),"",(INDEX('Emission factors'!$K$3:$V$201,MATCH('Buildings &amp; stationary assets'!$D50&amp;$E50,'Emission factors'!$J$3:$J$201&amp;'Emission factors'!$K$3:$K$201,0),MATCH('Buildings &amp; stationary assets'!S$6,'Emission factors'!$K$2:$V$2,0)))*$J50)</f>
        <v/>
      </c>
      <c r="T50" s="288" t="str" cm="1">
        <f t="array" ref="T50">IF(OR($D50="",$H50=""),"",(INDEX('Emission factors'!$K$3:$V$201,MATCH('Buildings &amp; stationary assets'!$D50&amp;$E50,'Emission factors'!$J$3:$J$201&amp;'Emission factors'!$K$3:$K$201,0),MATCH('Buildings &amp; stationary assets'!T$6,'Emission factors'!$K$2:$V$2,0)))*$J50)</f>
        <v/>
      </c>
      <c r="U50" s="289" t="str">
        <f>IF(OR($M50="",BuildingsTable[[#This Row],[RSD]]=""),"",BuildingsTable[[#This Row],[Total emissions (kgCO2e)]]*(1+BuildingsTable[[#This Row],[RSD]]))</f>
        <v/>
      </c>
      <c r="V50" s="290" t="str">
        <f>IF(OR($M50="",BuildingsTable[[#This Row],[RSD]]=""),"",BuildingsTable[[#This Row],[Total emissions (kgCO2e)]]*(1-BuildingsTable[[#This Row],[RSD]]))</f>
        <v/>
      </c>
      <c r="W50" s="320" t="str" cm="1">
        <f t="array" ref="W50">IF(OR($D50="",$H50=""),"",(INDEX('Emission factors'!$K$3:$V$201,MATCH('Buildings &amp; stationary assets'!$D50&amp;$E50,'Emission factors'!$J$3:$J$201&amp;'Emission factors'!$K$3:$K$201,0),MATCH('Buildings &amp; stationary assets'!W$6,'Emission factors'!$K$2:$V$2,0)))*$J50)</f>
        <v/>
      </c>
      <c r="X50" s="66"/>
      <c r="Y50" s="1" cm="1">
        <f t="array" ref="Y50">IF(OR(ISERROR(B50:W50)),1,0)</f>
        <v>0</v>
      </c>
      <c r="Z50" s="1">
        <f t="shared" si="0"/>
        <v>0</v>
      </c>
    </row>
    <row r="51" spans="1:26" s="1" customFormat="1" ht="15" outlineLevel="1" thickBot="1" x14ac:dyDescent="0.4">
      <c r="A51" s="189"/>
      <c r="B51" s="461"/>
      <c r="C51" s="155"/>
      <c r="D51" s="151"/>
      <c r="E51" s="151"/>
      <c r="F51" s="151"/>
      <c r="G51" s="187" t="str">
        <f>IF(F51="","",INDEX(Lists!$BA$4:$BC$31,MATCH(D51,Lists!$AZ$4:$AZ$31,0),MATCH(F51,Lists!$BA$3:$BC$3,0)))</f>
        <v/>
      </c>
      <c r="H51" s="148"/>
      <c r="I51" s="151"/>
      <c r="J51" s="154" t="str" cm="1">
        <f t="array" ref="J51">IF(OR($D51="",$C51="",$H51="",$I51=""),"",IF(I51=K51,H51,(INDEX('Emission factors'!$K$3:$V$201,MATCH(D51&amp;E51,'Emission factors'!$J$3:$J$201&amp;'Emission factors'!$K$3:$K$201,0),MATCH(J$6,'Emission factors'!$K$2:$V$2,0)))*H51))</f>
        <v/>
      </c>
      <c r="K51" s="192" t="str">
        <f>IF(OR($D51="",$C51="",$H51="",$I51=""),"",INDEX('Emission factors'!$K$3:$V$201,MATCH('Buildings &amp; stationary assets'!$D51,'Emission factors'!$J$3:$J$201,0),MATCH($K$6,'Emission factors'!$K$2:$V$2,0)))</f>
        <v/>
      </c>
      <c r="L51" s="193" t="str" cm="1">
        <f t="array" ref="L51">IF(OR(D51="",H51="",BuildingsTable[[#This Row],[Units]]=""),"",INDEX('Emission factors'!$K$3:$V$201,MATCH('Buildings &amp; stationary assets'!$D51&amp;E51,'Emission factors'!$J$3:$J$201&amp;'Emission factors'!$K$3:$K$201,0),MATCH('Buildings &amp; stationary assets'!$L$6,'Emission factors'!$K$2:$V$2,0)))</f>
        <v/>
      </c>
      <c r="M51" s="287" t="str">
        <f>IF(OR(J51="",L51=""),"",SUM(BuildingsTable[[#This Row],[Direct]:[Indirect WTT]]))</f>
        <v/>
      </c>
      <c r="N51" s="150"/>
      <c r="O51" s="151"/>
      <c r="P51" s="288" t="str" cm="1">
        <f t="array" ref="P51">IF(OR($D51="",$H51=""),"",(INDEX('Emission factors'!$K$3:$V$201,MATCH('Buildings &amp; stationary assets'!$D51&amp;$E51,'Emission factors'!$J$3:$J$201&amp;'Emission factors'!$K$3:$K$201,0),MATCH('Buildings &amp; stationary assets'!P$6,'Emission factors'!$K$2:$V$2,0)))*$J51)</f>
        <v/>
      </c>
      <c r="Q51" s="288" t="str" cm="1">
        <f t="array" ref="Q51">IF(OR($D51="",$H51=""),"",(INDEX('Emission factors'!$K$3:$V$201,MATCH('Buildings &amp; stationary assets'!$D51&amp;$E51,'Emission factors'!$J$3:$J$201&amp;'Emission factors'!$K$3:$K$201,0),MATCH('Buildings &amp; stationary assets'!Q$6,'Emission factors'!$K$2:$V$2,0)))*$J51)</f>
        <v/>
      </c>
      <c r="R51" s="288" t="str" cm="1">
        <f t="array" ref="R51">IF(OR($D51="",$H51=""),"",(INDEX('Emission factors'!$K$3:$V$201,MATCH('Buildings &amp; stationary assets'!$D51&amp;$E51,'Emission factors'!$J$3:$J$201&amp;'Emission factors'!$K$3:$K$201,0),MATCH('Buildings &amp; stationary assets'!R$6,'Emission factors'!$K$2:$V$2,0)))*$J51)</f>
        <v/>
      </c>
      <c r="S51" s="288" t="str" cm="1">
        <f t="array" ref="S51">IF(OR($D51="",$H51=""),"",(INDEX('Emission factors'!$K$3:$V$201,MATCH('Buildings &amp; stationary assets'!$D51&amp;$E51,'Emission factors'!$J$3:$J$201&amp;'Emission factors'!$K$3:$K$201,0),MATCH('Buildings &amp; stationary assets'!S$6,'Emission factors'!$K$2:$V$2,0)))*$J51)</f>
        <v/>
      </c>
      <c r="T51" s="288" t="str" cm="1">
        <f t="array" ref="T51">IF(OR($D51="",$H51=""),"",(INDEX('Emission factors'!$K$3:$V$201,MATCH('Buildings &amp; stationary assets'!$D51&amp;$E51,'Emission factors'!$J$3:$J$201&amp;'Emission factors'!$K$3:$K$201,0),MATCH('Buildings &amp; stationary assets'!T$6,'Emission factors'!$K$2:$V$2,0)))*$J51)</f>
        <v/>
      </c>
      <c r="U51" s="289" t="str">
        <f>IF(OR($M51="",BuildingsTable[[#This Row],[RSD]]=""),"",BuildingsTable[[#This Row],[Total emissions (kgCO2e)]]*(1+BuildingsTable[[#This Row],[RSD]]))</f>
        <v/>
      </c>
      <c r="V51" s="290" t="str">
        <f>IF(OR($M51="",BuildingsTable[[#This Row],[RSD]]=""),"",BuildingsTable[[#This Row],[Total emissions (kgCO2e)]]*(1-BuildingsTable[[#This Row],[RSD]]))</f>
        <v/>
      </c>
      <c r="W51" s="320" t="str" cm="1">
        <f t="array" ref="W51">IF(OR($D51="",$H51=""),"",(INDEX('Emission factors'!$K$3:$V$201,MATCH('Buildings &amp; stationary assets'!$D51&amp;$E51,'Emission factors'!$J$3:$J$201&amp;'Emission factors'!$K$3:$K$201,0),MATCH('Buildings &amp; stationary assets'!W$6,'Emission factors'!$K$2:$V$2,0)))*$J51)</f>
        <v/>
      </c>
      <c r="X51" s="66"/>
      <c r="Y51" s="1" cm="1">
        <f t="array" ref="Y51">IF(OR(ISERROR(B51:W51)),1,0)</f>
        <v>0</v>
      </c>
      <c r="Z51" s="1">
        <f t="shared" si="0"/>
        <v>0</v>
      </c>
    </row>
    <row r="52" spans="1:26" s="1" customFormat="1" ht="15" outlineLevel="1" thickBot="1" x14ac:dyDescent="0.4">
      <c r="A52" s="189"/>
      <c r="B52" s="461"/>
      <c r="C52" s="155"/>
      <c r="D52" s="151"/>
      <c r="E52" s="151"/>
      <c r="F52" s="151"/>
      <c r="G52" s="187" t="str">
        <f>IF(F52="","",INDEX(Lists!$BA$4:$BC$31,MATCH(D52,Lists!$AZ$4:$AZ$31,0),MATCH(F52,Lists!$BA$3:$BC$3,0)))</f>
        <v/>
      </c>
      <c r="H52" s="148"/>
      <c r="I52" s="151"/>
      <c r="J52" s="154" t="str" cm="1">
        <f t="array" ref="J52">IF(OR($D52="",$C52="",$H52="",$I52=""),"",IF(I52=K52,H52,(INDEX('Emission factors'!$K$3:$V$201,MATCH(D52&amp;E52,'Emission factors'!$J$3:$J$201&amp;'Emission factors'!$K$3:$K$201,0),MATCH(J$6,'Emission factors'!$K$2:$V$2,0)))*H52))</f>
        <v/>
      </c>
      <c r="K52" s="192" t="str">
        <f>IF(OR($D52="",$C52="",$H52="",$I52=""),"",INDEX('Emission factors'!$K$3:$V$201,MATCH('Buildings &amp; stationary assets'!$D52,'Emission factors'!$J$3:$J$201,0),MATCH($K$6,'Emission factors'!$K$2:$V$2,0)))</f>
        <v/>
      </c>
      <c r="L52" s="193" t="str" cm="1">
        <f t="array" ref="L52">IF(OR(D52="",H52="",BuildingsTable[[#This Row],[Units]]=""),"",INDEX('Emission factors'!$K$3:$V$201,MATCH('Buildings &amp; stationary assets'!$D52&amp;E52,'Emission factors'!$J$3:$J$201&amp;'Emission factors'!$K$3:$K$201,0),MATCH('Buildings &amp; stationary assets'!$L$6,'Emission factors'!$K$2:$V$2,0)))</f>
        <v/>
      </c>
      <c r="M52" s="287" t="str">
        <f>IF(OR(J52="",L52=""),"",SUM(BuildingsTable[[#This Row],[Direct]:[Indirect WTT]]))</f>
        <v/>
      </c>
      <c r="N52" s="150"/>
      <c r="O52" s="151"/>
      <c r="P52" s="288" t="str" cm="1">
        <f t="array" ref="P52">IF(OR($D52="",$H52=""),"",(INDEX('Emission factors'!$K$3:$V$201,MATCH('Buildings &amp; stationary assets'!$D52&amp;$E52,'Emission factors'!$J$3:$J$201&amp;'Emission factors'!$K$3:$K$201,0),MATCH('Buildings &amp; stationary assets'!P$6,'Emission factors'!$K$2:$V$2,0)))*$J52)</f>
        <v/>
      </c>
      <c r="Q52" s="288" t="str" cm="1">
        <f t="array" ref="Q52">IF(OR($D52="",$H52=""),"",(INDEX('Emission factors'!$K$3:$V$201,MATCH('Buildings &amp; stationary assets'!$D52&amp;$E52,'Emission factors'!$J$3:$J$201&amp;'Emission factors'!$K$3:$K$201,0),MATCH('Buildings &amp; stationary assets'!Q$6,'Emission factors'!$K$2:$V$2,0)))*$J52)</f>
        <v/>
      </c>
      <c r="R52" s="288" t="str" cm="1">
        <f t="array" ref="R52">IF(OR($D52="",$H52=""),"",(INDEX('Emission factors'!$K$3:$V$201,MATCH('Buildings &amp; stationary assets'!$D52&amp;$E52,'Emission factors'!$J$3:$J$201&amp;'Emission factors'!$K$3:$K$201,0),MATCH('Buildings &amp; stationary assets'!R$6,'Emission factors'!$K$2:$V$2,0)))*$J52)</f>
        <v/>
      </c>
      <c r="S52" s="288" t="str" cm="1">
        <f t="array" ref="S52">IF(OR($D52="",$H52=""),"",(INDEX('Emission factors'!$K$3:$V$201,MATCH('Buildings &amp; stationary assets'!$D52&amp;$E52,'Emission factors'!$J$3:$J$201&amp;'Emission factors'!$K$3:$K$201,0),MATCH('Buildings &amp; stationary assets'!S$6,'Emission factors'!$K$2:$V$2,0)))*$J52)</f>
        <v/>
      </c>
      <c r="T52" s="288" t="str" cm="1">
        <f t="array" ref="T52">IF(OR($D52="",$H52=""),"",(INDEX('Emission factors'!$K$3:$V$201,MATCH('Buildings &amp; stationary assets'!$D52&amp;$E52,'Emission factors'!$J$3:$J$201&amp;'Emission factors'!$K$3:$K$201,0),MATCH('Buildings &amp; stationary assets'!T$6,'Emission factors'!$K$2:$V$2,0)))*$J52)</f>
        <v/>
      </c>
      <c r="U52" s="289" t="str">
        <f>IF(OR($M52="",BuildingsTable[[#This Row],[RSD]]=""),"",BuildingsTable[[#This Row],[Total emissions (kgCO2e)]]*(1+BuildingsTable[[#This Row],[RSD]]))</f>
        <v/>
      </c>
      <c r="V52" s="290" t="str">
        <f>IF(OR($M52="",BuildingsTable[[#This Row],[RSD]]=""),"",BuildingsTable[[#This Row],[Total emissions (kgCO2e)]]*(1-BuildingsTable[[#This Row],[RSD]]))</f>
        <v/>
      </c>
      <c r="W52" s="320" t="str" cm="1">
        <f t="array" ref="W52">IF(OR($D52="",$H52=""),"",(INDEX('Emission factors'!$K$3:$V$201,MATCH('Buildings &amp; stationary assets'!$D52&amp;$E52,'Emission factors'!$J$3:$J$201&amp;'Emission factors'!$K$3:$K$201,0),MATCH('Buildings &amp; stationary assets'!W$6,'Emission factors'!$K$2:$V$2,0)))*$J52)</f>
        <v/>
      </c>
      <c r="X52" s="66"/>
      <c r="Y52" s="1" cm="1">
        <f t="array" ref="Y52">IF(OR(ISERROR(B52:W52)),1,0)</f>
        <v>0</v>
      </c>
      <c r="Z52" s="1">
        <f t="shared" si="0"/>
        <v>0</v>
      </c>
    </row>
    <row r="53" spans="1:26" s="1" customFormat="1" ht="15" outlineLevel="1" thickBot="1" x14ac:dyDescent="0.4">
      <c r="A53" s="189"/>
      <c r="B53" s="461"/>
      <c r="C53" s="155"/>
      <c r="D53" s="151"/>
      <c r="E53" s="151"/>
      <c r="F53" s="151"/>
      <c r="G53" s="187" t="str">
        <f>IF(F53="","",INDEX(Lists!$BA$4:$BC$31,MATCH(D53,Lists!$AZ$4:$AZ$31,0),MATCH(F53,Lists!$BA$3:$BC$3,0)))</f>
        <v/>
      </c>
      <c r="H53" s="148"/>
      <c r="I53" s="151"/>
      <c r="J53" s="154" t="str" cm="1">
        <f t="array" ref="J53">IF(OR($D53="",$C53="",$H53="",$I53=""),"",IF(I53=K53,H53,(INDEX('Emission factors'!$K$3:$V$201,MATCH(D53&amp;E53,'Emission factors'!$J$3:$J$201&amp;'Emission factors'!$K$3:$K$201,0),MATCH(J$6,'Emission factors'!$K$2:$V$2,0)))*H53))</f>
        <v/>
      </c>
      <c r="K53" s="192" t="str">
        <f>IF(OR($D53="",$C53="",$H53="",$I53=""),"",INDEX('Emission factors'!$K$3:$V$201,MATCH('Buildings &amp; stationary assets'!$D53,'Emission factors'!$J$3:$J$201,0),MATCH($K$6,'Emission factors'!$K$2:$V$2,0)))</f>
        <v/>
      </c>
      <c r="L53" s="193" t="str" cm="1">
        <f t="array" ref="L53">IF(OR(D53="",H53="",BuildingsTable[[#This Row],[Units]]=""),"",INDEX('Emission factors'!$K$3:$V$201,MATCH('Buildings &amp; stationary assets'!$D53&amp;E53,'Emission factors'!$J$3:$J$201&amp;'Emission factors'!$K$3:$K$201,0),MATCH('Buildings &amp; stationary assets'!$L$6,'Emission factors'!$K$2:$V$2,0)))</f>
        <v/>
      </c>
      <c r="M53" s="287" t="str">
        <f>IF(OR(J53="",L53=""),"",SUM(BuildingsTable[[#This Row],[Direct]:[Indirect WTT]]))</f>
        <v/>
      </c>
      <c r="N53" s="150"/>
      <c r="O53" s="151"/>
      <c r="P53" s="288" t="str" cm="1">
        <f t="array" ref="P53">IF(OR($D53="",$H53=""),"",(INDEX('Emission factors'!$K$3:$V$201,MATCH('Buildings &amp; stationary assets'!$D53&amp;$E53,'Emission factors'!$J$3:$J$201&amp;'Emission factors'!$K$3:$K$201,0),MATCH('Buildings &amp; stationary assets'!P$6,'Emission factors'!$K$2:$V$2,0)))*$J53)</f>
        <v/>
      </c>
      <c r="Q53" s="288" t="str" cm="1">
        <f t="array" ref="Q53">IF(OR($D53="",$H53=""),"",(INDEX('Emission factors'!$K$3:$V$201,MATCH('Buildings &amp; stationary assets'!$D53&amp;$E53,'Emission factors'!$J$3:$J$201&amp;'Emission factors'!$K$3:$K$201,0),MATCH('Buildings &amp; stationary assets'!Q$6,'Emission factors'!$K$2:$V$2,0)))*$J53)</f>
        <v/>
      </c>
      <c r="R53" s="288" t="str" cm="1">
        <f t="array" ref="R53">IF(OR($D53="",$H53=""),"",(INDEX('Emission factors'!$K$3:$V$201,MATCH('Buildings &amp; stationary assets'!$D53&amp;$E53,'Emission factors'!$J$3:$J$201&amp;'Emission factors'!$K$3:$K$201,0),MATCH('Buildings &amp; stationary assets'!R$6,'Emission factors'!$K$2:$V$2,0)))*$J53)</f>
        <v/>
      </c>
      <c r="S53" s="288" t="str" cm="1">
        <f t="array" ref="S53">IF(OR($D53="",$H53=""),"",(INDEX('Emission factors'!$K$3:$V$201,MATCH('Buildings &amp; stationary assets'!$D53&amp;$E53,'Emission factors'!$J$3:$J$201&amp;'Emission factors'!$K$3:$K$201,0),MATCH('Buildings &amp; stationary assets'!S$6,'Emission factors'!$K$2:$V$2,0)))*$J53)</f>
        <v/>
      </c>
      <c r="T53" s="288" t="str" cm="1">
        <f t="array" ref="T53">IF(OR($D53="",$H53=""),"",(INDEX('Emission factors'!$K$3:$V$201,MATCH('Buildings &amp; stationary assets'!$D53&amp;$E53,'Emission factors'!$J$3:$J$201&amp;'Emission factors'!$K$3:$K$201,0),MATCH('Buildings &amp; stationary assets'!T$6,'Emission factors'!$K$2:$V$2,0)))*$J53)</f>
        <v/>
      </c>
      <c r="U53" s="289" t="str">
        <f>IF(OR($M53="",BuildingsTable[[#This Row],[RSD]]=""),"",BuildingsTable[[#This Row],[Total emissions (kgCO2e)]]*(1+BuildingsTable[[#This Row],[RSD]]))</f>
        <v/>
      </c>
      <c r="V53" s="290" t="str">
        <f>IF(OR($M53="",BuildingsTable[[#This Row],[RSD]]=""),"",BuildingsTable[[#This Row],[Total emissions (kgCO2e)]]*(1-BuildingsTable[[#This Row],[RSD]]))</f>
        <v/>
      </c>
      <c r="W53" s="320" t="str" cm="1">
        <f t="array" ref="W53">IF(OR($D53="",$H53=""),"",(INDEX('Emission factors'!$K$3:$V$201,MATCH('Buildings &amp; stationary assets'!$D53&amp;$E53,'Emission factors'!$J$3:$J$201&amp;'Emission factors'!$K$3:$K$201,0),MATCH('Buildings &amp; stationary assets'!W$6,'Emission factors'!$K$2:$V$2,0)))*$J53)</f>
        <v/>
      </c>
      <c r="X53" s="66"/>
      <c r="Y53" s="1" cm="1">
        <f t="array" ref="Y53">IF(OR(ISERROR(B53:W53)),1,0)</f>
        <v>0</v>
      </c>
      <c r="Z53" s="1">
        <f t="shared" si="0"/>
        <v>0</v>
      </c>
    </row>
    <row r="54" spans="1:26" s="1" customFormat="1" ht="15" outlineLevel="1" thickBot="1" x14ac:dyDescent="0.4">
      <c r="A54" s="189"/>
      <c r="B54" s="461"/>
      <c r="C54" s="155"/>
      <c r="D54" s="151"/>
      <c r="E54" s="151"/>
      <c r="F54" s="151"/>
      <c r="G54" s="187" t="str">
        <f>IF(F54="","",INDEX(Lists!$BA$4:$BC$31,MATCH(D54,Lists!$AZ$4:$AZ$31,0),MATCH(F54,Lists!$BA$3:$BC$3,0)))</f>
        <v/>
      </c>
      <c r="H54" s="148"/>
      <c r="I54" s="151"/>
      <c r="J54" s="154" t="str" cm="1">
        <f t="array" ref="J54">IF(OR($D54="",$C54="",$H54="",$I54=""),"",IF(I54=K54,H54,(INDEX('Emission factors'!$K$3:$V$201,MATCH(D54&amp;E54,'Emission factors'!$J$3:$J$201&amp;'Emission factors'!$K$3:$K$201,0),MATCH(J$6,'Emission factors'!$K$2:$V$2,0)))*H54))</f>
        <v/>
      </c>
      <c r="K54" s="192" t="str">
        <f>IF(OR($D54="",$C54="",$H54="",$I54=""),"",INDEX('Emission factors'!$K$3:$V$201,MATCH('Buildings &amp; stationary assets'!$D54,'Emission factors'!$J$3:$J$201,0),MATCH($K$6,'Emission factors'!$K$2:$V$2,0)))</f>
        <v/>
      </c>
      <c r="L54" s="193" t="str" cm="1">
        <f t="array" ref="L54">IF(OR(D54="",H54="",BuildingsTable[[#This Row],[Units]]=""),"",INDEX('Emission factors'!$K$3:$V$201,MATCH('Buildings &amp; stationary assets'!$D54&amp;E54,'Emission factors'!$J$3:$J$201&amp;'Emission factors'!$K$3:$K$201,0),MATCH('Buildings &amp; stationary assets'!$L$6,'Emission factors'!$K$2:$V$2,0)))</f>
        <v/>
      </c>
      <c r="M54" s="287" t="str">
        <f>IF(OR(J54="",L54=""),"",SUM(BuildingsTable[[#This Row],[Direct]:[Indirect WTT]]))</f>
        <v/>
      </c>
      <c r="N54" s="150"/>
      <c r="O54" s="151"/>
      <c r="P54" s="288" t="str" cm="1">
        <f t="array" ref="P54">IF(OR($D54="",$H54=""),"",(INDEX('Emission factors'!$K$3:$V$201,MATCH('Buildings &amp; stationary assets'!$D54&amp;$E54,'Emission factors'!$J$3:$J$201&amp;'Emission factors'!$K$3:$K$201,0),MATCH('Buildings &amp; stationary assets'!P$6,'Emission factors'!$K$2:$V$2,0)))*$J54)</f>
        <v/>
      </c>
      <c r="Q54" s="288" t="str" cm="1">
        <f t="array" ref="Q54">IF(OR($D54="",$H54=""),"",(INDEX('Emission factors'!$K$3:$V$201,MATCH('Buildings &amp; stationary assets'!$D54&amp;$E54,'Emission factors'!$J$3:$J$201&amp;'Emission factors'!$K$3:$K$201,0),MATCH('Buildings &amp; stationary assets'!Q$6,'Emission factors'!$K$2:$V$2,0)))*$J54)</f>
        <v/>
      </c>
      <c r="R54" s="288" t="str" cm="1">
        <f t="array" ref="R54">IF(OR($D54="",$H54=""),"",(INDEX('Emission factors'!$K$3:$V$201,MATCH('Buildings &amp; stationary assets'!$D54&amp;$E54,'Emission factors'!$J$3:$J$201&amp;'Emission factors'!$K$3:$K$201,0),MATCH('Buildings &amp; stationary assets'!R$6,'Emission factors'!$K$2:$V$2,0)))*$J54)</f>
        <v/>
      </c>
      <c r="S54" s="288" t="str" cm="1">
        <f t="array" ref="S54">IF(OR($D54="",$H54=""),"",(INDEX('Emission factors'!$K$3:$V$201,MATCH('Buildings &amp; stationary assets'!$D54&amp;$E54,'Emission factors'!$J$3:$J$201&amp;'Emission factors'!$K$3:$K$201,0),MATCH('Buildings &amp; stationary assets'!S$6,'Emission factors'!$K$2:$V$2,0)))*$J54)</f>
        <v/>
      </c>
      <c r="T54" s="288" t="str" cm="1">
        <f t="array" ref="T54">IF(OR($D54="",$H54=""),"",(INDEX('Emission factors'!$K$3:$V$201,MATCH('Buildings &amp; stationary assets'!$D54&amp;$E54,'Emission factors'!$J$3:$J$201&amp;'Emission factors'!$K$3:$K$201,0),MATCH('Buildings &amp; stationary assets'!T$6,'Emission factors'!$K$2:$V$2,0)))*$J54)</f>
        <v/>
      </c>
      <c r="U54" s="289" t="str">
        <f>IF(OR($M54="",BuildingsTable[[#This Row],[RSD]]=""),"",BuildingsTable[[#This Row],[Total emissions (kgCO2e)]]*(1+BuildingsTable[[#This Row],[RSD]]))</f>
        <v/>
      </c>
      <c r="V54" s="290" t="str">
        <f>IF(OR($M54="",BuildingsTable[[#This Row],[RSD]]=""),"",BuildingsTable[[#This Row],[Total emissions (kgCO2e)]]*(1-BuildingsTable[[#This Row],[RSD]]))</f>
        <v/>
      </c>
      <c r="W54" s="320" t="str" cm="1">
        <f t="array" ref="W54">IF(OR($D54="",$H54=""),"",(INDEX('Emission factors'!$K$3:$V$201,MATCH('Buildings &amp; stationary assets'!$D54&amp;$E54,'Emission factors'!$J$3:$J$201&amp;'Emission factors'!$K$3:$K$201,0),MATCH('Buildings &amp; stationary assets'!W$6,'Emission factors'!$K$2:$V$2,0)))*$J54)</f>
        <v/>
      </c>
      <c r="X54" s="66"/>
      <c r="Y54" s="1" cm="1">
        <f t="array" ref="Y54">IF(OR(ISERROR(B54:W54)),1,0)</f>
        <v>0</v>
      </c>
      <c r="Z54" s="1">
        <f t="shared" si="0"/>
        <v>0</v>
      </c>
    </row>
    <row r="55" spans="1:26" s="1" customFormat="1" ht="15" outlineLevel="1" thickBot="1" x14ac:dyDescent="0.4">
      <c r="A55" s="189"/>
      <c r="B55" s="461"/>
      <c r="C55" s="155"/>
      <c r="D55" s="151"/>
      <c r="E55" s="151"/>
      <c r="F55" s="151"/>
      <c r="G55" s="187" t="str">
        <f>IF(F55="","",INDEX(Lists!$BA$4:$BC$31,MATCH(D55,Lists!$AZ$4:$AZ$31,0),MATCH(F55,Lists!$BA$3:$BC$3,0)))</f>
        <v/>
      </c>
      <c r="H55" s="148"/>
      <c r="I55" s="151"/>
      <c r="J55" s="154" t="str" cm="1">
        <f t="array" ref="J55">IF(OR($D55="",$C55="",$H55="",$I55=""),"",IF(I55=K55,H55,(INDEX('Emission factors'!$K$3:$V$201,MATCH(D55&amp;E55,'Emission factors'!$J$3:$J$201&amp;'Emission factors'!$K$3:$K$201,0),MATCH(J$6,'Emission factors'!$K$2:$V$2,0)))*H55))</f>
        <v/>
      </c>
      <c r="K55" s="192" t="str">
        <f>IF(OR($D55="",$C55="",$H55="",$I55=""),"",INDEX('Emission factors'!$K$3:$V$201,MATCH('Buildings &amp; stationary assets'!$D55,'Emission factors'!$J$3:$J$201,0),MATCH($K$6,'Emission factors'!$K$2:$V$2,0)))</f>
        <v/>
      </c>
      <c r="L55" s="193" t="str" cm="1">
        <f t="array" ref="L55">IF(OR(D55="",H55="",BuildingsTable[[#This Row],[Units]]=""),"",INDEX('Emission factors'!$K$3:$V$201,MATCH('Buildings &amp; stationary assets'!$D55&amp;E55,'Emission factors'!$J$3:$J$201&amp;'Emission factors'!$K$3:$K$201,0),MATCH('Buildings &amp; stationary assets'!$L$6,'Emission factors'!$K$2:$V$2,0)))</f>
        <v/>
      </c>
      <c r="M55" s="287" t="str">
        <f>IF(OR(J55="",L55=""),"",SUM(BuildingsTable[[#This Row],[Direct]:[Indirect WTT]]))</f>
        <v/>
      </c>
      <c r="N55" s="150"/>
      <c r="O55" s="151"/>
      <c r="P55" s="288" t="str" cm="1">
        <f t="array" ref="P55">IF(OR($D55="",$H55=""),"",(INDEX('Emission factors'!$K$3:$V$201,MATCH('Buildings &amp; stationary assets'!$D55&amp;$E55,'Emission factors'!$J$3:$J$201&amp;'Emission factors'!$K$3:$K$201,0),MATCH('Buildings &amp; stationary assets'!P$6,'Emission factors'!$K$2:$V$2,0)))*$J55)</f>
        <v/>
      </c>
      <c r="Q55" s="288" t="str" cm="1">
        <f t="array" ref="Q55">IF(OR($D55="",$H55=""),"",(INDEX('Emission factors'!$K$3:$V$201,MATCH('Buildings &amp; stationary assets'!$D55&amp;$E55,'Emission factors'!$J$3:$J$201&amp;'Emission factors'!$K$3:$K$201,0),MATCH('Buildings &amp; stationary assets'!Q$6,'Emission factors'!$K$2:$V$2,0)))*$J55)</f>
        <v/>
      </c>
      <c r="R55" s="288" t="str" cm="1">
        <f t="array" ref="R55">IF(OR($D55="",$H55=""),"",(INDEX('Emission factors'!$K$3:$V$201,MATCH('Buildings &amp; stationary assets'!$D55&amp;$E55,'Emission factors'!$J$3:$J$201&amp;'Emission factors'!$K$3:$K$201,0),MATCH('Buildings &amp; stationary assets'!R$6,'Emission factors'!$K$2:$V$2,0)))*$J55)</f>
        <v/>
      </c>
      <c r="S55" s="288" t="str" cm="1">
        <f t="array" ref="S55">IF(OR($D55="",$H55=""),"",(INDEX('Emission factors'!$K$3:$V$201,MATCH('Buildings &amp; stationary assets'!$D55&amp;$E55,'Emission factors'!$J$3:$J$201&amp;'Emission factors'!$K$3:$K$201,0),MATCH('Buildings &amp; stationary assets'!S$6,'Emission factors'!$K$2:$V$2,0)))*$J55)</f>
        <v/>
      </c>
      <c r="T55" s="288" t="str" cm="1">
        <f t="array" ref="T55">IF(OR($D55="",$H55=""),"",(INDEX('Emission factors'!$K$3:$V$201,MATCH('Buildings &amp; stationary assets'!$D55&amp;$E55,'Emission factors'!$J$3:$J$201&amp;'Emission factors'!$K$3:$K$201,0),MATCH('Buildings &amp; stationary assets'!T$6,'Emission factors'!$K$2:$V$2,0)))*$J55)</f>
        <v/>
      </c>
      <c r="U55" s="289" t="str">
        <f>IF(OR($M55="",BuildingsTable[[#This Row],[RSD]]=""),"",BuildingsTable[[#This Row],[Total emissions (kgCO2e)]]*(1+BuildingsTable[[#This Row],[RSD]]))</f>
        <v/>
      </c>
      <c r="V55" s="290" t="str">
        <f>IF(OR($M55="",BuildingsTable[[#This Row],[RSD]]=""),"",BuildingsTable[[#This Row],[Total emissions (kgCO2e)]]*(1-BuildingsTable[[#This Row],[RSD]]))</f>
        <v/>
      </c>
      <c r="W55" s="320" t="str" cm="1">
        <f t="array" ref="W55">IF(OR($D55="",$H55=""),"",(INDEX('Emission factors'!$K$3:$V$201,MATCH('Buildings &amp; stationary assets'!$D55&amp;$E55,'Emission factors'!$J$3:$J$201&amp;'Emission factors'!$K$3:$K$201,0),MATCH('Buildings &amp; stationary assets'!W$6,'Emission factors'!$K$2:$V$2,0)))*$J55)</f>
        <v/>
      </c>
      <c r="X55" s="66"/>
      <c r="Y55" s="1" cm="1">
        <f t="array" ref="Y55">IF(OR(ISERROR(B55:W55)),1,0)</f>
        <v>0</v>
      </c>
      <c r="Z55" s="1">
        <f t="shared" si="0"/>
        <v>0</v>
      </c>
    </row>
    <row r="56" spans="1:26" s="1" customFormat="1" ht="15" outlineLevel="1" thickBot="1" x14ac:dyDescent="0.4">
      <c r="A56" s="189"/>
      <c r="B56" s="461"/>
      <c r="C56" s="155"/>
      <c r="D56" s="151"/>
      <c r="E56" s="151"/>
      <c r="F56" s="151"/>
      <c r="G56" s="187" t="str">
        <f>IF(F56="","",INDEX(Lists!$BA$4:$BC$31,MATCH(D56,Lists!$AZ$4:$AZ$31,0),MATCH(F56,Lists!$BA$3:$BC$3,0)))</f>
        <v/>
      </c>
      <c r="H56" s="148"/>
      <c r="I56" s="151"/>
      <c r="J56" s="154" t="str" cm="1">
        <f t="array" ref="J56">IF(OR($D56="",$C56="",$H56="",$I56=""),"",IF(I56=K56,H56,(INDEX('Emission factors'!$K$3:$V$201,MATCH(D56&amp;E56,'Emission factors'!$J$3:$J$201&amp;'Emission factors'!$K$3:$K$201,0),MATCH(J$6,'Emission factors'!$K$2:$V$2,0)))*H56))</f>
        <v/>
      </c>
      <c r="K56" s="192" t="str">
        <f>IF(OR($D56="",$C56="",$H56="",$I56=""),"",INDEX('Emission factors'!$K$3:$V$201,MATCH('Buildings &amp; stationary assets'!$D56,'Emission factors'!$J$3:$J$201,0),MATCH($K$6,'Emission factors'!$K$2:$V$2,0)))</f>
        <v/>
      </c>
      <c r="L56" s="193" t="str" cm="1">
        <f t="array" ref="L56">IF(OR(D56="",H56="",BuildingsTable[[#This Row],[Units]]=""),"",INDEX('Emission factors'!$K$3:$V$201,MATCH('Buildings &amp; stationary assets'!$D56&amp;E56,'Emission factors'!$J$3:$J$201&amp;'Emission factors'!$K$3:$K$201,0),MATCH('Buildings &amp; stationary assets'!$L$6,'Emission factors'!$K$2:$V$2,0)))</f>
        <v/>
      </c>
      <c r="M56" s="287" t="str">
        <f>IF(OR(J56="",L56=""),"",SUM(BuildingsTable[[#This Row],[Direct]:[Indirect WTT]]))</f>
        <v/>
      </c>
      <c r="N56" s="150"/>
      <c r="O56" s="151"/>
      <c r="P56" s="288" t="str" cm="1">
        <f t="array" ref="P56">IF(OR($D56="",$H56=""),"",(INDEX('Emission factors'!$K$3:$V$201,MATCH('Buildings &amp; stationary assets'!$D56&amp;$E56,'Emission factors'!$J$3:$J$201&amp;'Emission factors'!$K$3:$K$201,0),MATCH('Buildings &amp; stationary assets'!P$6,'Emission factors'!$K$2:$V$2,0)))*$J56)</f>
        <v/>
      </c>
      <c r="Q56" s="288" t="str" cm="1">
        <f t="array" ref="Q56">IF(OR($D56="",$H56=""),"",(INDEX('Emission factors'!$K$3:$V$201,MATCH('Buildings &amp; stationary assets'!$D56&amp;$E56,'Emission factors'!$J$3:$J$201&amp;'Emission factors'!$K$3:$K$201,0),MATCH('Buildings &amp; stationary assets'!Q$6,'Emission factors'!$K$2:$V$2,0)))*$J56)</f>
        <v/>
      </c>
      <c r="R56" s="288" t="str" cm="1">
        <f t="array" ref="R56">IF(OR($D56="",$H56=""),"",(INDEX('Emission factors'!$K$3:$V$201,MATCH('Buildings &amp; stationary assets'!$D56&amp;$E56,'Emission factors'!$J$3:$J$201&amp;'Emission factors'!$K$3:$K$201,0),MATCH('Buildings &amp; stationary assets'!R$6,'Emission factors'!$K$2:$V$2,0)))*$J56)</f>
        <v/>
      </c>
      <c r="S56" s="288" t="str" cm="1">
        <f t="array" ref="S56">IF(OR($D56="",$H56=""),"",(INDEX('Emission factors'!$K$3:$V$201,MATCH('Buildings &amp; stationary assets'!$D56&amp;$E56,'Emission factors'!$J$3:$J$201&amp;'Emission factors'!$K$3:$K$201,0),MATCH('Buildings &amp; stationary assets'!S$6,'Emission factors'!$K$2:$V$2,0)))*$J56)</f>
        <v/>
      </c>
      <c r="T56" s="288" t="str" cm="1">
        <f t="array" ref="T56">IF(OR($D56="",$H56=""),"",(INDEX('Emission factors'!$K$3:$V$201,MATCH('Buildings &amp; stationary assets'!$D56&amp;$E56,'Emission factors'!$J$3:$J$201&amp;'Emission factors'!$K$3:$K$201,0),MATCH('Buildings &amp; stationary assets'!T$6,'Emission factors'!$K$2:$V$2,0)))*$J56)</f>
        <v/>
      </c>
      <c r="U56" s="289" t="str">
        <f>IF(OR($M56="",BuildingsTable[[#This Row],[RSD]]=""),"",BuildingsTable[[#This Row],[Total emissions (kgCO2e)]]*(1+BuildingsTable[[#This Row],[RSD]]))</f>
        <v/>
      </c>
      <c r="V56" s="290" t="str">
        <f>IF(OR($M56="",BuildingsTable[[#This Row],[RSD]]=""),"",BuildingsTable[[#This Row],[Total emissions (kgCO2e)]]*(1-BuildingsTable[[#This Row],[RSD]]))</f>
        <v/>
      </c>
      <c r="W56" s="320" t="str" cm="1">
        <f t="array" ref="W56">IF(OR($D56="",$H56=""),"",(INDEX('Emission factors'!$K$3:$V$201,MATCH('Buildings &amp; stationary assets'!$D56&amp;$E56,'Emission factors'!$J$3:$J$201&amp;'Emission factors'!$K$3:$K$201,0),MATCH('Buildings &amp; stationary assets'!W$6,'Emission factors'!$K$2:$V$2,0)))*$J56)</f>
        <v/>
      </c>
      <c r="X56" s="66"/>
      <c r="Y56" s="1" cm="1">
        <f t="array" ref="Y56">IF(OR(ISERROR(B56:W56)),1,0)</f>
        <v>0</v>
      </c>
      <c r="Z56" s="1">
        <f t="shared" si="0"/>
        <v>0</v>
      </c>
    </row>
    <row r="57" spans="1:26" s="1" customFormat="1" ht="15" outlineLevel="1" thickBot="1" x14ac:dyDescent="0.4">
      <c r="A57" s="189"/>
      <c r="B57" s="461"/>
      <c r="C57" s="155"/>
      <c r="D57" s="151"/>
      <c r="E57" s="151"/>
      <c r="F57" s="151"/>
      <c r="G57" s="187" t="str">
        <f>IF(F57="","",INDEX(Lists!$BA$4:$BC$31,MATCH(D57,Lists!$AZ$4:$AZ$31,0),MATCH(F57,Lists!$BA$3:$BC$3,0)))</f>
        <v/>
      </c>
      <c r="H57" s="148"/>
      <c r="I57" s="151"/>
      <c r="J57" s="154" t="str" cm="1">
        <f t="array" ref="J57">IF(OR($D57="",$C57="",$H57="",$I57=""),"",IF(I57=K57,H57,(INDEX('Emission factors'!$K$3:$V$201,MATCH(D57&amp;E57,'Emission factors'!$J$3:$J$201&amp;'Emission factors'!$K$3:$K$201,0),MATCH(J$6,'Emission factors'!$K$2:$V$2,0)))*H57))</f>
        <v/>
      </c>
      <c r="K57" s="192" t="str">
        <f>IF(OR($D57="",$C57="",$H57="",$I57=""),"",INDEX('Emission factors'!$K$3:$V$201,MATCH('Buildings &amp; stationary assets'!$D57,'Emission factors'!$J$3:$J$201,0),MATCH($K$6,'Emission factors'!$K$2:$V$2,0)))</f>
        <v/>
      </c>
      <c r="L57" s="193" t="str" cm="1">
        <f t="array" ref="L57">IF(OR(D57="",H57="",BuildingsTable[[#This Row],[Units]]=""),"",INDEX('Emission factors'!$K$3:$V$201,MATCH('Buildings &amp; stationary assets'!$D57&amp;E57,'Emission factors'!$J$3:$J$201&amp;'Emission factors'!$K$3:$K$201,0),MATCH('Buildings &amp; stationary assets'!$L$6,'Emission factors'!$K$2:$V$2,0)))</f>
        <v/>
      </c>
      <c r="M57" s="287" t="str">
        <f>IF(OR(J57="",L57=""),"",SUM(BuildingsTable[[#This Row],[Direct]:[Indirect WTT]]))</f>
        <v/>
      </c>
      <c r="N57" s="150"/>
      <c r="O57" s="151"/>
      <c r="P57" s="288" t="str" cm="1">
        <f t="array" ref="P57">IF(OR($D57="",$H57=""),"",(INDEX('Emission factors'!$K$3:$V$201,MATCH('Buildings &amp; stationary assets'!$D57&amp;$E57,'Emission factors'!$J$3:$J$201&amp;'Emission factors'!$K$3:$K$201,0),MATCH('Buildings &amp; stationary assets'!P$6,'Emission factors'!$K$2:$V$2,0)))*$J57)</f>
        <v/>
      </c>
      <c r="Q57" s="288" t="str" cm="1">
        <f t="array" ref="Q57">IF(OR($D57="",$H57=""),"",(INDEX('Emission factors'!$K$3:$V$201,MATCH('Buildings &amp; stationary assets'!$D57&amp;$E57,'Emission factors'!$J$3:$J$201&amp;'Emission factors'!$K$3:$K$201,0),MATCH('Buildings &amp; stationary assets'!Q$6,'Emission factors'!$K$2:$V$2,0)))*$J57)</f>
        <v/>
      </c>
      <c r="R57" s="288" t="str" cm="1">
        <f t="array" ref="R57">IF(OR($D57="",$H57=""),"",(INDEX('Emission factors'!$K$3:$V$201,MATCH('Buildings &amp; stationary assets'!$D57&amp;$E57,'Emission factors'!$J$3:$J$201&amp;'Emission factors'!$K$3:$K$201,0),MATCH('Buildings &amp; stationary assets'!R$6,'Emission factors'!$K$2:$V$2,0)))*$J57)</f>
        <v/>
      </c>
      <c r="S57" s="288" t="str" cm="1">
        <f t="array" ref="S57">IF(OR($D57="",$H57=""),"",(INDEX('Emission factors'!$K$3:$V$201,MATCH('Buildings &amp; stationary assets'!$D57&amp;$E57,'Emission factors'!$J$3:$J$201&amp;'Emission factors'!$K$3:$K$201,0),MATCH('Buildings &amp; stationary assets'!S$6,'Emission factors'!$K$2:$V$2,0)))*$J57)</f>
        <v/>
      </c>
      <c r="T57" s="288" t="str" cm="1">
        <f t="array" ref="T57">IF(OR($D57="",$H57=""),"",(INDEX('Emission factors'!$K$3:$V$201,MATCH('Buildings &amp; stationary assets'!$D57&amp;$E57,'Emission factors'!$J$3:$J$201&amp;'Emission factors'!$K$3:$K$201,0),MATCH('Buildings &amp; stationary assets'!T$6,'Emission factors'!$K$2:$V$2,0)))*$J57)</f>
        <v/>
      </c>
      <c r="U57" s="289" t="str">
        <f>IF(OR($M57="",BuildingsTable[[#This Row],[RSD]]=""),"",BuildingsTable[[#This Row],[Total emissions (kgCO2e)]]*(1+BuildingsTable[[#This Row],[RSD]]))</f>
        <v/>
      </c>
      <c r="V57" s="290" t="str">
        <f>IF(OR($M57="",BuildingsTable[[#This Row],[RSD]]=""),"",BuildingsTable[[#This Row],[Total emissions (kgCO2e)]]*(1-BuildingsTable[[#This Row],[RSD]]))</f>
        <v/>
      </c>
      <c r="W57" s="320" t="str" cm="1">
        <f t="array" ref="W57">IF(OR($D57="",$H57=""),"",(INDEX('Emission factors'!$K$3:$V$201,MATCH('Buildings &amp; stationary assets'!$D57&amp;$E57,'Emission factors'!$J$3:$J$201&amp;'Emission factors'!$K$3:$K$201,0),MATCH('Buildings &amp; stationary assets'!W$6,'Emission factors'!$K$2:$V$2,0)))*$J57)</f>
        <v/>
      </c>
      <c r="X57" s="66"/>
      <c r="Y57" s="1" cm="1">
        <f t="array" ref="Y57">IF(OR(ISERROR(B57:W57)),1,0)</f>
        <v>0</v>
      </c>
      <c r="Z57" s="1">
        <f t="shared" si="0"/>
        <v>0</v>
      </c>
    </row>
    <row r="58" spans="1:26" s="1" customFormat="1" ht="15" outlineLevel="1" thickBot="1" x14ac:dyDescent="0.4">
      <c r="A58" s="189"/>
      <c r="B58" s="461"/>
      <c r="C58" s="155"/>
      <c r="D58" s="151"/>
      <c r="E58" s="151"/>
      <c r="F58" s="151"/>
      <c r="G58" s="187" t="str">
        <f>IF(F58="","",INDEX(Lists!$BA$4:$BC$31,MATCH(D58,Lists!$AZ$4:$AZ$31,0),MATCH(F58,Lists!$BA$3:$BC$3,0)))</f>
        <v/>
      </c>
      <c r="H58" s="148"/>
      <c r="I58" s="151"/>
      <c r="J58" s="154" t="str" cm="1">
        <f t="array" ref="J58">IF(OR($D58="",$C58="",$H58="",$I58=""),"",IF(I58=K58,H58,(INDEX('Emission factors'!$K$3:$V$201,MATCH(D58&amp;E58,'Emission factors'!$J$3:$J$201&amp;'Emission factors'!$K$3:$K$201,0),MATCH(J$6,'Emission factors'!$K$2:$V$2,0)))*H58))</f>
        <v/>
      </c>
      <c r="K58" s="192" t="str">
        <f>IF(OR($D58="",$C58="",$H58="",$I58=""),"",INDEX('Emission factors'!$K$3:$V$201,MATCH('Buildings &amp; stationary assets'!$D58,'Emission factors'!$J$3:$J$201,0),MATCH($K$6,'Emission factors'!$K$2:$V$2,0)))</f>
        <v/>
      </c>
      <c r="L58" s="193" t="str" cm="1">
        <f t="array" ref="L58">IF(OR(D58="",H58="",BuildingsTable[[#This Row],[Units]]=""),"",INDEX('Emission factors'!$K$3:$V$201,MATCH('Buildings &amp; stationary assets'!$D58&amp;E58,'Emission factors'!$J$3:$J$201&amp;'Emission factors'!$K$3:$K$201,0),MATCH('Buildings &amp; stationary assets'!$L$6,'Emission factors'!$K$2:$V$2,0)))</f>
        <v/>
      </c>
      <c r="M58" s="287" t="str">
        <f>IF(OR(J58="",L58=""),"",SUM(BuildingsTable[[#This Row],[Direct]:[Indirect WTT]]))</f>
        <v/>
      </c>
      <c r="N58" s="150"/>
      <c r="O58" s="151"/>
      <c r="P58" s="288" t="str" cm="1">
        <f t="array" ref="P58">IF(OR($D58="",$H58=""),"",(INDEX('Emission factors'!$K$3:$V$201,MATCH('Buildings &amp; stationary assets'!$D58&amp;$E58,'Emission factors'!$J$3:$J$201&amp;'Emission factors'!$K$3:$K$201,0),MATCH('Buildings &amp; stationary assets'!P$6,'Emission factors'!$K$2:$V$2,0)))*$J58)</f>
        <v/>
      </c>
      <c r="Q58" s="288" t="str" cm="1">
        <f t="array" ref="Q58">IF(OR($D58="",$H58=""),"",(INDEX('Emission factors'!$K$3:$V$201,MATCH('Buildings &amp; stationary assets'!$D58&amp;$E58,'Emission factors'!$J$3:$J$201&amp;'Emission factors'!$K$3:$K$201,0),MATCH('Buildings &amp; stationary assets'!Q$6,'Emission factors'!$K$2:$V$2,0)))*$J58)</f>
        <v/>
      </c>
      <c r="R58" s="288" t="str" cm="1">
        <f t="array" ref="R58">IF(OR($D58="",$H58=""),"",(INDEX('Emission factors'!$K$3:$V$201,MATCH('Buildings &amp; stationary assets'!$D58&amp;$E58,'Emission factors'!$J$3:$J$201&amp;'Emission factors'!$K$3:$K$201,0),MATCH('Buildings &amp; stationary assets'!R$6,'Emission factors'!$K$2:$V$2,0)))*$J58)</f>
        <v/>
      </c>
      <c r="S58" s="288" t="str" cm="1">
        <f t="array" ref="S58">IF(OR($D58="",$H58=""),"",(INDEX('Emission factors'!$K$3:$V$201,MATCH('Buildings &amp; stationary assets'!$D58&amp;$E58,'Emission factors'!$J$3:$J$201&amp;'Emission factors'!$K$3:$K$201,0),MATCH('Buildings &amp; stationary assets'!S$6,'Emission factors'!$K$2:$V$2,0)))*$J58)</f>
        <v/>
      </c>
      <c r="T58" s="288" t="str" cm="1">
        <f t="array" ref="T58">IF(OR($D58="",$H58=""),"",(INDEX('Emission factors'!$K$3:$V$201,MATCH('Buildings &amp; stationary assets'!$D58&amp;$E58,'Emission factors'!$J$3:$J$201&amp;'Emission factors'!$K$3:$K$201,0),MATCH('Buildings &amp; stationary assets'!T$6,'Emission factors'!$K$2:$V$2,0)))*$J58)</f>
        <v/>
      </c>
      <c r="U58" s="289" t="str">
        <f>IF(OR($M58="",BuildingsTable[[#This Row],[RSD]]=""),"",BuildingsTable[[#This Row],[Total emissions (kgCO2e)]]*(1+BuildingsTable[[#This Row],[RSD]]))</f>
        <v/>
      </c>
      <c r="V58" s="290" t="str">
        <f>IF(OR($M58="",BuildingsTable[[#This Row],[RSD]]=""),"",BuildingsTable[[#This Row],[Total emissions (kgCO2e)]]*(1-BuildingsTable[[#This Row],[RSD]]))</f>
        <v/>
      </c>
      <c r="W58" s="320" t="str" cm="1">
        <f t="array" ref="W58">IF(OR($D58="",$H58=""),"",(INDEX('Emission factors'!$K$3:$V$201,MATCH('Buildings &amp; stationary assets'!$D58&amp;$E58,'Emission factors'!$J$3:$J$201&amp;'Emission factors'!$K$3:$K$201,0),MATCH('Buildings &amp; stationary assets'!W$6,'Emission factors'!$K$2:$V$2,0)))*$J58)</f>
        <v/>
      </c>
      <c r="X58" s="66"/>
      <c r="Y58" s="1" cm="1">
        <f t="array" ref="Y58">IF(OR(ISERROR(B58:W58)),1,0)</f>
        <v>0</v>
      </c>
      <c r="Z58" s="1">
        <f t="shared" si="0"/>
        <v>0</v>
      </c>
    </row>
    <row r="59" spans="1:26" s="1" customFormat="1" ht="15" outlineLevel="1" thickBot="1" x14ac:dyDescent="0.4">
      <c r="A59" s="189"/>
      <c r="B59" s="461"/>
      <c r="C59" s="155"/>
      <c r="D59" s="151"/>
      <c r="E59" s="151"/>
      <c r="F59" s="151"/>
      <c r="G59" s="187" t="str">
        <f>IF(F59="","",INDEX(Lists!$BA$4:$BC$31,MATCH(D59,Lists!$AZ$4:$AZ$31,0),MATCH(F59,Lists!$BA$3:$BC$3,0)))</f>
        <v/>
      </c>
      <c r="H59" s="148"/>
      <c r="I59" s="151"/>
      <c r="J59" s="154" t="str" cm="1">
        <f t="array" ref="J59">IF(OR($D59="",$C59="",$H59="",$I59=""),"",IF(I59=K59,H59,(INDEX('Emission factors'!$K$3:$V$201,MATCH(D59&amp;E59,'Emission factors'!$J$3:$J$201&amp;'Emission factors'!$K$3:$K$201,0),MATCH(J$6,'Emission factors'!$K$2:$V$2,0)))*H59))</f>
        <v/>
      </c>
      <c r="K59" s="192" t="str">
        <f>IF(OR($D59="",$C59="",$H59="",$I59=""),"",INDEX('Emission factors'!$K$3:$V$201,MATCH('Buildings &amp; stationary assets'!$D59,'Emission factors'!$J$3:$J$201,0),MATCH($K$6,'Emission factors'!$K$2:$V$2,0)))</f>
        <v/>
      </c>
      <c r="L59" s="193" t="str" cm="1">
        <f t="array" ref="L59">IF(OR(D59="",H59="",BuildingsTable[[#This Row],[Units]]=""),"",INDEX('Emission factors'!$K$3:$V$201,MATCH('Buildings &amp; stationary assets'!$D59&amp;E59,'Emission factors'!$J$3:$J$201&amp;'Emission factors'!$K$3:$K$201,0),MATCH('Buildings &amp; stationary assets'!$L$6,'Emission factors'!$K$2:$V$2,0)))</f>
        <v/>
      </c>
      <c r="M59" s="287" t="str">
        <f>IF(OR(J59="",L59=""),"",SUM(BuildingsTable[[#This Row],[Direct]:[Indirect WTT]]))</f>
        <v/>
      </c>
      <c r="N59" s="150"/>
      <c r="O59" s="429"/>
      <c r="P59" s="288" t="str" cm="1">
        <f t="array" ref="P59">IF(OR($D59="",$H59=""),"",(INDEX('Emission factors'!$K$3:$V$201,MATCH('Buildings &amp; stationary assets'!$D59&amp;$E59,'Emission factors'!$J$3:$J$201&amp;'Emission factors'!$K$3:$K$201,0),MATCH('Buildings &amp; stationary assets'!P$6,'Emission factors'!$K$2:$V$2,0)))*$J59)</f>
        <v/>
      </c>
      <c r="Q59" s="288" t="str" cm="1">
        <f t="array" ref="Q59">IF(OR($D59="",$H59=""),"",(INDEX('Emission factors'!$K$3:$V$201,MATCH('Buildings &amp; stationary assets'!$D59&amp;$E59,'Emission factors'!$J$3:$J$201&amp;'Emission factors'!$K$3:$K$201,0),MATCH('Buildings &amp; stationary assets'!Q$6,'Emission factors'!$K$2:$V$2,0)))*$J59)</f>
        <v/>
      </c>
      <c r="R59" s="288" t="str" cm="1">
        <f t="array" ref="R59">IF(OR($D59="",$H59=""),"",(INDEX('Emission factors'!$K$3:$V$201,MATCH('Buildings &amp; stationary assets'!$D59&amp;$E59,'Emission factors'!$J$3:$J$201&amp;'Emission factors'!$K$3:$K$201,0),MATCH('Buildings &amp; stationary assets'!R$6,'Emission factors'!$K$2:$V$2,0)))*$J59)</f>
        <v/>
      </c>
      <c r="S59" s="288" t="str" cm="1">
        <f t="array" ref="S59">IF(OR($D59="",$H59=""),"",(INDEX('Emission factors'!$K$3:$V$201,MATCH('Buildings &amp; stationary assets'!$D59&amp;$E59,'Emission factors'!$J$3:$J$201&amp;'Emission factors'!$K$3:$K$201,0),MATCH('Buildings &amp; stationary assets'!S$6,'Emission factors'!$K$2:$V$2,0)))*$J59)</f>
        <v/>
      </c>
      <c r="T59" s="288" t="str" cm="1">
        <f t="array" ref="T59">IF(OR($D59="",$H59=""),"",(INDEX('Emission factors'!$K$3:$V$201,MATCH('Buildings &amp; stationary assets'!$D59&amp;$E59,'Emission factors'!$J$3:$J$201&amp;'Emission factors'!$K$3:$K$201,0),MATCH('Buildings &amp; stationary assets'!T$6,'Emission factors'!$K$2:$V$2,0)))*$J59)</f>
        <v/>
      </c>
      <c r="U59" s="289" t="str">
        <f>IF(OR($M59="",BuildingsTable[[#This Row],[RSD]]=""),"",BuildingsTable[[#This Row],[Total emissions (kgCO2e)]]*(1+BuildingsTable[[#This Row],[RSD]]))</f>
        <v/>
      </c>
      <c r="V59" s="290" t="str">
        <f>IF(OR($M59="",BuildingsTable[[#This Row],[RSD]]=""),"",BuildingsTable[[#This Row],[Total emissions (kgCO2e)]]*(1-BuildingsTable[[#This Row],[RSD]]))</f>
        <v/>
      </c>
      <c r="W59" s="430" t="str" cm="1">
        <f t="array" ref="W59">IF(OR($D59="",$H59=""),"",(INDEX('Emission factors'!$K$3:$V$201,MATCH('Buildings &amp; stationary assets'!$D59&amp;$E59,'Emission factors'!$J$3:$J$201&amp;'Emission factors'!$K$3:$K$201,0),MATCH('Buildings &amp; stationary assets'!W$6,'Emission factors'!$K$2:$V$2,0)))*$J59)</f>
        <v/>
      </c>
      <c r="X59" s="66"/>
      <c r="Y59" s="1" cm="1">
        <f t="array" ref="Y59">IF(OR(ISERROR(B59:W59)),1,0)</f>
        <v>0</v>
      </c>
      <c r="Z59" s="1">
        <f t="shared" si="0"/>
        <v>0</v>
      </c>
    </row>
    <row r="60" spans="1:26" s="1" customFormat="1" ht="15" outlineLevel="1" thickBot="1" x14ac:dyDescent="0.4">
      <c r="A60" s="189"/>
      <c r="B60" s="461"/>
      <c r="C60" s="155"/>
      <c r="D60" s="151"/>
      <c r="E60" s="151"/>
      <c r="F60" s="151"/>
      <c r="G60" s="187" t="str">
        <f>IF(F60="","",INDEX(Lists!$BA$4:$BC$31,MATCH(D60,Lists!$AZ$4:$AZ$31,0),MATCH(F60,Lists!$BA$3:$BC$3,0)))</f>
        <v/>
      </c>
      <c r="H60" s="148"/>
      <c r="I60" s="151"/>
      <c r="J60" s="154" t="str" cm="1">
        <f t="array" ref="J60">IF(OR($D60="",$C60="",$H60="",$I60=""),"",IF(I60=K60,H60,(INDEX('Emission factors'!$K$3:$V$201,MATCH(D60&amp;E60,'Emission factors'!$J$3:$J$201&amp;'Emission factors'!$K$3:$K$201,0),MATCH(J$6,'Emission factors'!$K$2:$V$2,0)))*H60))</f>
        <v/>
      </c>
      <c r="K60" s="192" t="str">
        <f>IF(OR($D60="",$C60="",$H60="",$I60=""),"",INDEX('Emission factors'!$K$3:$V$201,MATCH('Buildings &amp; stationary assets'!$D60,'Emission factors'!$J$3:$J$201,0),MATCH($K$6,'Emission factors'!$K$2:$V$2,0)))</f>
        <v/>
      </c>
      <c r="L60" s="193" t="str" cm="1">
        <f t="array" ref="L60">IF(OR(D60="",H60="",BuildingsTable[[#This Row],[Units]]=""),"",INDEX('Emission factors'!$K$3:$V$201,MATCH('Buildings &amp; stationary assets'!$D60&amp;E60,'Emission factors'!$J$3:$J$201&amp;'Emission factors'!$K$3:$K$201,0),MATCH('Buildings &amp; stationary assets'!$L$6,'Emission factors'!$K$2:$V$2,0)))</f>
        <v/>
      </c>
      <c r="M60" s="287" t="str">
        <f>IF(OR(J60="",L60=""),"",SUM(BuildingsTable[[#This Row],[Direct]:[Indirect WTT]]))</f>
        <v/>
      </c>
      <c r="N60" s="150"/>
      <c r="O60" s="429"/>
      <c r="P60" s="288" t="str" cm="1">
        <f t="array" ref="P60">IF(OR($D60="",$H60=""),"",(INDEX('Emission factors'!$K$3:$V$201,MATCH('Buildings &amp; stationary assets'!$D60&amp;$E60,'Emission factors'!$J$3:$J$201&amp;'Emission factors'!$K$3:$K$201,0),MATCH('Buildings &amp; stationary assets'!P$6,'Emission factors'!$K$2:$V$2,0)))*$J60)</f>
        <v/>
      </c>
      <c r="Q60" s="288" t="str" cm="1">
        <f t="array" ref="Q60">IF(OR($D60="",$H60=""),"",(INDEX('Emission factors'!$K$3:$V$201,MATCH('Buildings &amp; stationary assets'!$D60&amp;$E60,'Emission factors'!$J$3:$J$201&amp;'Emission factors'!$K$3:$K$201,0),MATCH('Buildings &amp; stationary assets'!Q$6,'Emission factors'!$K$2:$V$2,0)))*$J60)</f>
        <v/>
      </c>
      <c r="R60" s="288" t="str" cm="1">
        <f t="array" ref="R60">IF(OR($D60="",$H60=""),"",(INDEX('Emission factors'!$K$3:$V$201,MATCH('Buildings &amp; stationary assets'!$D60&amp;$E60,'Emission factors'!$J$3:$J$201&amp;'Emission factors'!$K$3:$K$201,0),MATCH('Buildings &amp; stationary assets'!R$6,'Emission factors'!$K$2:$V$2,0)))*$J60)</f>
        <v/>
      </c>
      <c r="S60" s="288" t="str" cm="1">
        <f t="array" ref="S60">IF(OR($D60="",$H60=""),"",(INDEX('Emission factors'!$K$3:$V$201,MATCH('Buildings &amp; stationary assets'!$D60&amp;$E60,'Emission factors'!$J$3:$J$201&amp;'Emission factors'!$K$3:$K$201,0),MATCH('Buildings &amp; stationary assets'!S$6,'Emission factors'!$K$2:$V$2,0)))*$J60)</f>
        <v/>
      </c>
      <c r="T60" s="288" t="str" cm="1">
        <f t="array" ref="T60">IF(OR($D60="",$H60=""),"",(INDEX('Emission factors'!$K$3:$V$201,MATCH('Buildings &amp; stationary assets'!$D60&amp;$E60,'Emission factors'!$J$3:$J$201&amp;'Emission factors'!$K$3:$K$201,0),MATCH('Buildings &amp; stationary assets'!T$6,'Emission factors'!$K$2:$V$2,0)))*$J60)</f>
        <v/>
      </c>
      <c r="U60" s="289" t="str">
        <f>IF(OR($M60="",BuildingsTable[[#This Row],[RSD]]=""),"",BuildingsTable[[#This Row],[Total emissions (kgCO2e)]]*(1+BuildingsTable[[#This Row],[RSD]]))</f>
        <v/>
      </c>
      <c r="V60" s="290" t="str">
        <f>IF(OR($M60="",BuildingsTable[[#This Row],[RSD]]=""),"",BuildingsTable[[#This Row],[Total emissions (kgCO2e)]]*(1-BuildingsTable[[#This Row],[RSD]]))</f>
        <v/>
      </c>
      <c r="W60" s="430" t="str" cm="1">
        <f t="array" ref="W60">IF(OR($D60="",$H60=""),"",(INDEX('Emission factors'!$K$3:$V$201,MATCH('Buildings &amp; stationary assets'!$D60&amp;$E60,'Emission factors'!$J$3:$J$201&amp;'Emission factors'!$K$3:$K$201,0),MATCH('Buildings &amp; stationary assets'!W$6,'Emission factors'!$K$2:$V$2,0)))*$J60)</f>
        <v/>
      </c>
      <c r="X60" s="66"/>
      <c r="Y60" s="1" cm="1">
        <f t="array" ref="Y60">IF(OR(ISERROR(B60:W60)),1,0)</f>
        <v>0</v>
      </c>
      <c r="Z60" s="1">
        <f t="shared" si="0"/>
        <v>0</v>
      </c>
    </row>
    <row r="61" spans="1:26" s="1" customFormat="1" ht="15" outlineLevel="1" thickBot="1" x14ac:dyDescent="0.4">
      <c r="A61" s="189"/>
      <c r="B61" s="461"/>
      <c r="C61" s="155"/>
      <c r="D61" s="151"/>
      <c r="E61" s="151"/>
      <c r="F61" s="151"/>
      <c r="G61" s="187" t="str">
        <f>IF(F61="","",INDEX(Lists!$BA$4:$BC$31,MATCH(D61,Lists!$AZ$4:$AZ$31,0),MATCH(F61,Lists!$BA$3:$BC$3,0)))</f>
        <v/>
      </c>
      <c r="H61" s="148"/>
      <c r="I61" s="151"/>
      <c r="J61" s="154" t="str" cm="1">
        <f t="array" ref="J61">IF(OR($D61="",$C61="",$H61="",$I61=""),"",IF(I61=K61,H61,(INDEX('Emission factors'!$K$3:$V$201,MATCH(D61&amp;E61,'Emission factors'!$J$3:$J$201&amp;'Emission factors'!$K$3:$K$201,0),MATCH(J$6,'Emission factors'!$K$2:$V$2,0)))*H61))</f>
        <v/>
      </c>
      <c r="K61" s="192" t="str">
        <f>IF(OR($D61="",$C61="",$H61="",$I61=""),"",INDEX('Emission factors'!$K$3:$V$201,MATCH('Buildings &amp; stationary assets'!$D61,'Emission factors'!$J$3:$J$201,0),MATCH($K$6,'Emission factors'!$K$2:$V$2,0)))</f>
        <v/>
      </c>
      <c r="L61" s="193" t="str" cm="1">
        <f t="array" ref="L61">IF(OR(D61="",H61="",BuildingsTable[[#This Row],[Units]]=""),"",INDEX('Emission factors'!$K$3:$V$201,MATCH('Buildings &amp; stationary assets'!$D61&amp;E61,'Emission factors'!$J$3:$J$201&amp;'Emission factors'!$K$3:$K$201,0),MATCH('Buildings &amp; stationary assets'!$L$6,'Emission factors'!$K$2:$V$2,0)))</f>
        <v/>
      </c>
      <c r="M61" s="287" t="str">
        <f>IF(OR(J61="",L61=""),"",SUM(BuildingsTable[[#This Row],[Direct]:[Indirect WTT]]))</f>
        <v/>
      </c>
      <c r="N61" s="150"/>
      <c r="O61" s="429"/>
      <c r="P61" s="288" t="str" cm="1">
        <f t="array" ref="P61">IF(OR($D61="",$H61=""),"",(INDEX('Emission factors'!$K$3:$V$201,MATCH('Buildings &amp; stationary assets'!$D61&amp;$E61,'Emission factors'!$J$3:$J$201&amp;'Emission factors'!$K$3:$K$201,0),MATCH('Buildings &amp; stationary assets'!P$6,'Emission factors'!$K$2:$V$2,0)))*$J61)</f>
        <v/>
      </c>
      <c r="Q61" s="288" t="str" cm="1">
        <f t="array" ref="Q61">IF(OR($D61="",$H61=""),"",(INDEX('Emission factors'!$K$3:$V$201,MATCH('Buildings &amp; stationary assets'!$D61&amp;$E61,'Emission factors'!$J$3:$J$201&amp;'Emission factors'!$K$3:$K$201,0),MATCH('Buildings &amp; stationary assets'!Q$6,'Emission factors'!$K$2:$V$2,0)))*$J61)</f>
        <v/>
      </c>
      <c r="R61" s="288" t="str" cm="1">
        <f t="array" ref="R61">IF(OR($D61="",$H61=""),"",(INDEX('Emission factors'!$K$3:$V$201,MATCH('Buildings &amp; stationary assets'!$D61&amp;$E61,'Emission factors'!$J$3:$J$201&amp;'Emission factors'!$K$3:$K$201,0),MATCH('Buildings &amp; stationary assets'!R$6,'Emission factors'!$K$2:$V$2,0)))*$J61)</f>
        <v/>
      </c>
      <c r="S61" s="288" t="str" cm="1">
        <f t="array" ref="S61">IF(OR($D61="",$H61=""),"",(INDEX('Emission factors'!$K$3:$V$201,MATCH('Buildings &amp; stationary assets'!$D61&amp;$E61,'Emission factors'!$J$3:$J$201&amp;'Emission factors'!$K$3:$K$201,0),MATCH('Buildings &amp; stationary assets'!S$6,'Emission factors'!$K$2:$V$2,0)))*$J61)</f>
        <v/>
      </c>
      <c r="T61" s="288" t="str" cm="1">
        <f t="array" ref="T61">IF(OR($D61="",$H61=""),"",(INDEX('Emission factors'!$K$3:$V$201,MATCH('Buildings &amp; stationary assets'!$D61&amp;$E61,'Emission factors'!$J$3:$J$201&amp;'Emission factors'!$K$3:$K$201,0),MATCH('Buildings &amp; stationary assets'!T$6,'Emission factors'!$K$2:$V$2,0)))*$J61)</f>
        <v/>
      </c>
      <c r="U61" s="289" t="str">
        <f>IF(OR($M61="",BuildingsTable[[#This Row],[RSD]]=""),"",BuildingsTable[[#This Row],[Total emissions (kgCO2e)]]*(1+BuildingsTable[[#This Row],[RSD]]))</f>
        <v/>
      </c>
      <c r="V61" s="290" t="str">
        <f>IF(OR($M61="",BuildingsTable[[#This Row],[RSD]]=""),"",BuildingsTable[[#This Row],[Total emissions (kgCO2e)]]*(1-BuildingsTable[[#This Row],[RSD]]))</f>
        <v/>
      </c>
      <c r="W61" s="430" t="str" cm="1">
        <f t="array" ref="W61">IF(OR($D61="",$H61=""),"",(INDEX('Emission factors'!$K$3:$V$201,MATCH('Buildings &amp; stationary assets'!$D61&amp;$E61,'Emission factors'!$J$3:$J$201&amp;'Emission factors'!$K$3:$K$201,0),MATCH('Buildings &amp; stationary assets'!W$6,'Emission factors'!$K$2:$V$2,0)))*$J61)</f>
        <v/>
      </c>
      <c r="X61" s="66"/>
      <c r="Y61" s="1" cm="1">
        <f t="array" ref="Y61">IF(OR(ISERROR(B61:W61)),1,0)</f>
        <v>0</v>
      </c>
      <c r="Z61" s="1">
        <f t="shared" si="0"/>
        <v>0</v>
      </c>
    </row>
    <row r="62" spans="1:26" s="1" customFormat="1" ht="15" outlineLevel="1" thickBot="1" x14ac:dyDescent="0.4">
      <c r="A62" s="189"/>
      <c r="B62" s="461"/>
      <c r="C62" s="155"/>
      <c r="D62" s="151"/>
      <c r="E62" s="151"/>
      <c r="F62" s="151"/>
      <c r="G62" s="187" t="str">
        <f>IF(F62="","",INDEX(Lists!$BA$4:$BC$31,MATCH(D62,Lists!$AZ$4:$AZ$31,0),MATCH(F62,Lists!$BA$3:$BC$3,0)))</f>
        <v/>
      </c>
      <c r="H62" s="148"/>
      <c r="I62" s="151"/>
      <c r="J62" s="154" t="str" cm="1">
        <f t="array" ref="J62">IF(OR($D62="",$C62="",$H62="",$I62=""),"",IF(I62=K62,H62,(INDEX('Emission factors'!$K$3:$V$201,MATCH(D62&amp;E62,'Emission factors'!$J$3:$J$201&amp;'Emission factors'!$K$3:$K$201,0),MATCH(J$6,'Emission factors'!$K$2:$V$2,0)))*H62))</f>
        <v/>
      </c>
      <c r="K62" s="192" t="str">
        <f>IF(OR($D62="",$C62="",$H62="",$I62=""),"",INDEX('Emission factors'!$K$3:$V$201,MATCH('Buildings &amp; stationary assets'!$D62,'Emission factors'!$J$3:$J$201,0),MATCH($K$6,'Emission factors'!$K$2:$V$2,0)))</f>
        <v/>
      </c>
      <c r="L62" s="193" t="str" cm="1">
        <f t="array" ref="L62">IF(OR(D62="",H62="",BuildingsTable[[#This Row],[Units]]=""),"",INDEX('Emission factors'!$K$3:$V$201,MATCH('Buildings &amp; stationary assets'!$D62&amp;E62,'Emission factors'!$J$3:$J$201&amp;'Emission factors'!$K$3:$K$201,0),MATCH('Buildings &amp; stationary assets'!$L$6,'Emission factors'!$K$2:$V$2,0)))</f>
        <v/>
      </c>
      <c r="M62" s="287" t="str">
        <f>IF(OR(J62="",L62=""),"",SUM(BuildingsTable[[#This Row],[Direct]:[Indirect WTT]]))</f>
        <v/>
      </c>
      <c r="N62" s="150"/>
      <c r="O62" s="429"/>
      <c r="P62" s="288" t="str" cm="1">
        <f t="array" ref="P62">IF(OR($D62="",$H62=""),"",(INDEX('Emission factors'!$K$3:$V$201,MATCH('Buildings &amp; stationary assets'!$D62&amp;$E62,'Emission factors'!$J$3:$J$201&amp;'Emission factors'!$K$3:$K$201,0),MATCH('Buildings &amp; stationary assets'!P$6,'Emission factors'!$K$2:$V$2,0)))*$J62)</f>
        <v/>
      </c>
      <c r="Q62" s="288" t="str" cm="1">
        <f t="array" ref="Q62">IF(OR($D62="",$H62=""),"",(INDEX('Emission factors'!$K$3:$V$201,MATCH('Buildings &amp; stationary assets'!$D62&amp;$E62,'Emission factors'!$J$3:$J$201&amp;'Emission factors'!$K$3:$K$201,0),MATCH('Buildings &amp; stationary assets'!Q$6,'Emission factors'!$K$2:$V$2,0)))*$J62)</f>
        <v/>
      </c>
      <c r="R62" s="288" t="str" cm="1">
        <f t="array" ref="R62">IF(OR($D62="",$H62=""),"",(INDEX('Emission factors'!$K$3:$V$201,MATCH('Buildings &amp; stationary assets'!$D62&amp;$E62,'Emission factors'!$J$3:$J$201&amp;'Emission factors'!$K$3:$K$201,0),MATCH('Buildings &amp; stationary assets'!R$6,'Emission factors'!$K$2:$V$2,0)))*$J62)</f>
        <v/>
      </c>
      <c r="S62" s="288" t="str" cm="1">
        <f t="array" ref="S62">IF(OR($D62="",$H62=""),"",(INDEX('Emission factors'!$K$3:$V$201,MATCH('Buildings &amp; stationary assets'!$D62&amp;$E62,'Emission factors'!$J$3:$J$201&amp;'Emission factors'!$K$3:$K$201,0),MATCH('Buildings &amp; stationary assets'!S$6,'Emission factors'!$K$2:$V$2,0)))*$J62)</f>
        <v/>
      </c>
      <c r="T62" s="288" t="str" cm="1">
        <f t="array" ref="T62">IF(OR($D62="",$H62=""),"",(INDEX('Emission factors'!$K$3:$V$201,MATCH('Buildings &amp; stationary assets'!$D62&amp;$E62,'Emission factors'!$J$3:$J$201&amp;'Emission factors'!$K$3:$K$201,0),MATCH('Buildings &amp; stationary assets'!T$6,'Emission factors'!$K$2:$V$2,0)))*$J62)</f>
        <v/>
      </c>
      <c r="U62" s="289" t="str">
        <f>IF(OR($M62="",BuildingsTable[[#This Row],[RSD]]=""),"",BuildingsTable[[#This Row],[Total emissions (kgCO2e)]]*(1+BuildingsTable[[#This Row],[RSD]]))</f>
        <v/>
      </c>
      <c r="V62" s="290" t="str">
        <f>IF(OR($M62="",BuildingsTable[[#This Row],[RSD]]=""),"",BuildingsTable[[#This Row],[Total emissions (kgCO2e)]]*(1-BuildingsTable[[#This Row],[RSD]]))</f>
        <v/>
      </c>
      <c r="W62" s="430" t="str" cm="1">
        <f t="array" ref="W62">IF(OR($D62="",$H62=""),"",(INDEX('Emission factors'!$K$3:$V$201,MATCH('Buildings &amp; stationary assets'!$D62&amp;$E62,'Emission factors'!$J$3:$J$201&amp;'Emission factors'!$K$3:$K$201,0),MATCH('Buildings &amp; stationary assets'!W$6,'Emission factors'!$K$2:$V$2,0)))*$J62)</f>
        <v/>
      </c>
      <c r="X62" s="66"/>
      <c r="Y62" s="1" cm="1">
        <f t="array" ref="Y62">IF(OR(ISERROR(B62:W62)),1,0)</f>
        <v>0</v>
      </c>
      <c r="Z62" s="1">
        <f t="shared" si="0"/>
        <v>0</v>
      </c>
    </row>
    <row r="63" spans="1:26" s="1" customFormat="1" ht="15" outlineLevel="1" thickBot="1" x14ac:dyDescent="0.4">
      <c r="A63" s="189"/>
      <c r="B63" s="461"/>
      <c r="C63" s="155"/>
      <c r="D63" s="151"/>
      <c r="E63" s="151"/>
      <c r="F63" s="151"/>
      <c r="G63" s="187" t="str">
        <f>IF(F63="","",INDEX(Lists!$BA$4:$BC$31,MATCH(D63,Lists!$AZ$4:$AZ$31,0),MATCH(F63,Lists!$BA$3:$BC$3,0)))</f>
        <v/>
      </c>
      <c r="H63" s="148"/>
      <c r="I63" s="151"/>
      <c r="J63" s="154" t="str" cm="1">
        <f t="array" ref="J63">IF(OR($D63="",$C63="",$H63="",$I63=""),"",IF(I63=K63,H63,(INDEX('Emission factors'!$K$3:$V$201,MATCH(D63&amp;E63,'Emission factors'!$J$3:$J$201&amp;'Emission factors'!$K$3:$K$201,0),MATCH(J$6,'Emission factors'!$K$2:$V$2,0)))*H63))</f>
        <v/>
      </c>
      <c r="K63" s="192" t="str">
        <f>IF(OR($D63="",$C63="",$H63="",$I63=""),"",INDEX('Emission factors'!$K$3:$V$201,MATCH('Buildings &amp; stationary assets'!$D63,'Emission factors'!$J$3:$J$201,0),MATCH($K$6,'Emission factors'!$K$2:$V$2,0)))</f>
        <v/>
      </c>
      <c r="L63" s="193" t="str" cm="1">
        <f t="array" ref="L63">IF(OR(D63="",H63="",BuildingsTable[[#This Row],[Units]]=""),"",INDEX('Emission factors'!$K$3:$V$201,MATCH('Buildings &amp; stationary assets'!$D63&amp;E63,'Emission factors'!$J$3:$J$201&amp;'Emission factors'!$K$3:$K$201,0),MATCH('Buildings &amp; stationary assets'!$L$6,'Emission factors'!$K$2:$V$2,0)))</f>
        <v/>
      </c>
      <c r="M63" s="287" t="str">
        <f>IF(OR(J63="",L63=""),"",SUM(BuildingsTable[[#This Row],[Direct]:[Indirect WTT]]))</f>
        <v/>
      </c>
      <c r="N63" s="150"/>
      <c r="O63" s="429"/>
      <c r="P63" s="288" t="str" cm="1">
        <f t="array" ref="P63">IF(OR($D63="",$H63=""),"",(INDEX('Emission factors'!$K$3:$V$201,MATCH('Buildings &amp; stationary assets'!$D63&amp;$E63,'Emission factors'!$J$3:$J$201&amp;'Emission factors'!$K$3:$K$201,0),MATCH('Buildings &amp; stationary assets'!P$6,'Emission factors'!$K$2:$V$2,0)))*$J63)</f>
        <v/>
      </c>
      <c r="Q63" s="288" t="str" cm="1">
        <f t="array" ref="Q63">IF(OR($D63="",$H63=""),"",(INDEX('Emission factors'!$K$3:$V$201,MATCH('Buildings &amp; stationary assets'!$D63&amp;$E63,'Emission factors'!$J$3:$J$201&amp;'Emission factors'!$K$3:$K$201,0),MATCH('Buildings &amp; stationary assets'!Q$6,'Emission factors'!$K$2:$V$2,0)))*$J63)</f>
        <v/>
      </c>
      <c r="R63" s="288" t="str" cm="1">
        <f t="array" ref="R63">IF(OR($D63="",$H63=""),"",(INDEX('Emission factors'!$K$3:$V$201,MATCH('Buildings &amp; stationary assets'!$D63&amp;$E63,'Emission factors'!$J$3:$J$201&amp;'Emission factors'!$K$3:$K$201,0),MATCH('Buildings &amp; stationary assets'!R$6,'Emission factors'!$K$2:$V$2,0)))*$J63)</f>
        <v/>
      </c>
      <c r="S63" s="288" t="str" cm="1">
        <f t="array" ref="S63">IF(OR($D63="",$H63=""),"",(INDEX('Emission factors'!$K$3:$V$201,MATCH('Buildings &amp; stationary assets'!$D63&amp;$E63,'Emission factors'!$J$3:$J$201&amp;'Emission factors'!$K$3:$K$201,0),MATCH('Buildings &amp; stationary assets'!S$6,'Emission factors'!$K$2:$V$2,0)))*$J63)</f>
        <v/>
      </c>
      <c r="T63" s="288" t="str" cm="1">
        <f t="array" ref="T63">IF(OR($D63="",$H63=""),"",(INDEX('Emission factors'!$K$3:$V$201,MATCH('Buildings &amp; stationary assets'!$D63&amp;$E63,'Emission factors'!$J$3:$J$201&amp;'Emission factors'!$K$3:$K$201,0),MATCH('Buildings &amp; stationary assets'!T$6,'Emission factors'!$K$2:$V$2,0)))*$J63)</f>
        <v/>
      </c>
      <c r="U63" s="289" t="str">
        <f>IF(OR($M63="",BuildingsTable[[#This Row],[RSD]]=""),"",BuildingsTable[[#This Row],[Total emissions (kgCO2e)]]*(1+BuildingsTable[[#This Row],[RSD]]))</f>
        <v/>
      </c>
      <c r="V63" s="290" t="str">
        <f>IF(OR($M63="",BuildingsTable[[#This Row],[RSD]]=""),"",BuildingsTable[[#This Row],[Total emissions (kgCO2e)]]*(1-BuildingsTable[[#This Row],[RSD]]))</f>
        <v/>
      </c>
      <c r="W63" s="430" t="str" cm="1">
        <f t="array" ref="W63">IF(OR($D63="",$H63=""),"",(INDEX('Emission factors'!$K$3:$V$201,MATCH('Buildings &amp; stationary assets'!$D63&amp;$E63,'Emission factors'!$J$3:$J$201&amp;'Emission factors'!$K$3:$K$201,0),MATCH('Buildings &amp; stationary assets'!W$6,'Emission factors'!$K$2:$V$2,0)))*$J63)</f>
        <v/>
      </c>
      <c r="X63" s="66"/>
      <c r="Y63" s="1" cm="1">
        <f t="array" ref="Y63">IF(OR(ISERROR(B63:W63)),1,0)</f>
        <v>0</v>
      </c>
      <c r="Z63" s="1">
        <f t="shared" si="0"/>
        <v>0</v>
      </c>
    </row>
    <row r="64" spans="1:26" s="1" customFormat="1" ht="15" outlineLevel="1" thickBot="1" x14ac:dyDescent="0.4">
      <c r="A64" s="189"/>
      <c r="B64" s="461"/>
      <c r="C64" s="155"/>
      <c r="D64" s="151"/>
      <c r="E64" s="151"/>
      <c r="F64" s="151"/>
      <c r="G64" s="187" t="str">
        <f>IF(F64="","",INDEX(Lists!$BA$4:$BC$31,MATCH(D64,Lists!$AZ$4:$AZ$31,0),MATCH(F64,Lists!$BA$3:$BC$3,0)))</f>
        <v/>
      </c>
      <c r="H64" s="148"/>
      <c r="I64" s="151"/>
      <c r="J64" s="154" t="str" cm="1">
        <f t="array" ref="J64">IF(OR($D64="",$C64="",$H64="",$I64=""),"",IF(I64=K64,H64,(INDEX('Emission factors'!$K$3:$V$201,MATCH(D64&amp;E64,'Emission factors'!$J$3:$J$201&amp;'Emission factors'!$K$3:$K$201,0),MATCH(J$6,'Emission factors'!$K$2:$V$2,0)))*H64))</f>
        <v/>
      </c>
      <c r="K64" s="192" t="str">
        <f>IF(OR($D64="",$C64="",$H64="",$I64=""),"",INDEX('Emission factors'!$K$3:$V$201,MATCH('Buildings &amp; stationary assets'!$D64,'Emission factors'!$J$3:$J$201,0),MATCH($K$6,'Emission factors'!$K$2:$V$2,0)))</f>
        <v/>
      </c>
      <c r="L64" s="193" t="str" cm="1">
        <f t="array" ref="L64">IF(OR(D64="",H64="",BuildingsTable[[#This Row],[Units]]=""),"",INDEX('Emission factors'!$K$3:$V$201,MATCH('Buildings &amp; stationary assets'!$D64&amp;E64,'Emission factors'!$J$3:$J$201&amp;'Emission factors'!$K$3:$K$201,0),MATCH('Buildings &amp; stationary assets'!$L$6,'Emission factors'!$K$2:$V$2,0)))</f>
        <v/>
      </c>
      <c r="M64" s="287" t="str">
        <f>IF(OR(J64="",L64=""),"",SUM(BuildingsTable[[#This Row],[Direct]:[Indirect WTT]]))</f>
        <v/>
      </c>
      <c r="N64" s="150"/>
      <c r="O64" s="429"/>
      <c r="P64" s="288" t="str" cm="1">
        <f t="array" ref="P64">IF(OR($D64="",$H64=""),"",(INDEX('Emission factors'!$K$3:$V$201,MATCH('Buildings &amp; stationary assets'!$D64&amp;$E64,'Emission factors'!$J$3:$J$201&amp;'Emission factors'!$K$3:$K$201,0),MATCH('Buildings &amp; stationary assets'!P$6,'Emission factors'!$K$2:$V$2,0)))*$J64)</f>
        <v/>
      </c>
      <c r="Q64" s="288" t="str" cm="1">
        <f t="array" ref="Q64">IF(OR($D64="",$H64=""),"",(INDEX('Emission factors'!$K$3:$V$201,MATCH('Buildings &amp; stationary assets'!$D64&amp;$E64,'Emission factors'!$J$3:$J$201&amp;'Emission factors'!$K$3:$K$201,0),MATCH('Buildings &amp; stationary assets'!Q$6,'Emission factors'!$K$2:$V$2,0)))*$J64)</f>
        <v/>
      </c>
      <c r="R64" s="288" t="str" cm="1">
        <f t="array" ref="R64">IF(OR($D64="",$H64=""),"",(INDEX('Emission factors'!$K$3:$V$201,MATCH('Buildings &amp; stationary assets'!$D64&amp;$E64,'Emission factors'!$J$3:$J$201&amp;'Emission factors'!$K$3:$K$201,0),MATCH('Buildings &amp; stationary assets'!R$6,'Emission factors'!$K$2:$V$2,0)))*$J64)</f>
        <v/>
      </c>
      <c r="S64" s="288" t="str" cm="1">
        <f t="array" ref="S64">IF(OR($D64="",$H64=""),"",(INDEX('Emission factors'!$K$3:$V$201,MATCH('Buildings &amp; stationary assets'!$D64&amp;$E64,'Emission factors'!$J$3:$J$201&amp;'Emission factors'!$K$3:$K$201,0),MATCH('Buildings &amp; stationary assets'!S$6,'Emission factors'!$K$2:$V$2,0)))*$J64)</f>
        <v/>
      </c>
      <c r="T64" s="288" t="str" cm="1">
        <f t="array" ref="T64">IF(OR($D64="",$H64=""),"",(INDEX('Emission factors'!$K$3:$V$201,MATCH('Buildings &amp; stationary assets'!$D64&amp;$E64,'Emission factors'!$J$3:$J$201&amp;'Emission factors'!$K$3:$K$201,0),MATCH('Buildings &amp; stationary assets'!T$6,'Emission factors'!$K$2:$V$2,0)))*$J64)</f>
        <v/>
      </c>
      <c r="U64" s="289" t="str">
        <f>IF(OR($M64="",BuildingsTable[[#This Row],[RSD]]=""),"",BuildingsTable[[#This Row],[Total emissions (kgCO2e)]]*(1+BuildingsTable[[#This Row],[RSD]]))</f>
        <v/>
      </c>
      <c r="V64" s="290" t="str">
        <f>IF(OR($M64="",BuildingsTable[[#This Row],[RSD]]=""),"",BuildingsTable[[#This Row],[Total emissions (kgCO2e)]]*(1-BuildingsTable[[#This Row],[RSD]]))</f>
        <v/>
      </c>
      <c r="W64" s="430" t="str" cm="1">
        <f t="array" ref="W64">IF(OR($D64="",$H64=""),"",(INDEX('Emission factors'!$K$3:$V$201,MATCH('Buildings &amp; stationary assets'!$D64&amp;$E64,'Emission factors'!$J$3:$J$201&amp;'Emission factors'!$K$3:$K$201,0),MATCH('Buildings &amp; stationary assets'!W$6,'Emission factors'!$K$2:$V$2,0)))*$J64)</f>
        <v/>
      </c>
      <c r="X64" s="66"/>
      <c r="Y64" s="1" cm="1">
        <f t="array" ref="Y64">IF(OR(ISERROR(B64:W64)),1,0)</f>
        <v>0</v>
      </c>
      <c r="Z64" s="1">
        <f t="shared" si="0"/>
        <v>0</v>
      </c>
    </row>
    <row r="65" spans="1:26" s="1" customFormat="1" ht="15" outlineLevel="1" thickBot="1" x14ac:dyDescent="0.4">
      <c r="A65" s="189"/>
      <c r="B65" s="461"/>
      <c r="C65" s="155"/>
      <c r="D65" s="151"/>
      <c r="E65" s="151"/>
      <c r="F65" s="151"/>
      <c r="G65" s="187" t="str">
        <f>IF(F65="","",INDEX(Lists!$BA$4:$BC$31,MATCH(D65,Lists!$AZ$4:$AZ$31,0),MATCH(F65,Lists!$BA$3:$BC$3,0)))</f>
        <v/>
      </c>
      <c r="H65" s="148"/>
      <c r="I65" s="151"/>
      <c r="J65" s="154" t="str" cm="1">
        <f t="array" ref="J65">IF(OR($D65="",$C65="",$H65="",$I65=""),"",IF(I65=K65,H65,(INDEX('Emission factors'!$K$3:$V$201,MATCH(D65&amp;E65,'Emission factors'!$J$3:$J$201&amp;'Emission factors'!$K$3:$K$201,0),MATCH(J$6,'Emission factors'!$K$2:$V$2,0)))*H65))</f>
        <v/>
      </c>
      <c r="K65" s="192" t="str">
        <f>IF(OR($D65="",$C65="",$H65="",$I65=""),"",INDEX('Emission factors'!$K$3:$V$201,MATCH('Buildings &amp; stationary assets'!$D65,'Emission factors'!$J$3:$J$201,0),MATCH($K$6,'Emission factors'!$K$2:$V$2,0)))</f>
        <v/>
      </c>
      <c r="L65" s="193" t="str" cm="1">
        <f t="array" ref="L65">IF(OR(D65="",H65="",BuildingsTable[[#This Row],[Units]]=""),"",INDEX('Emission factors'!$K$3:$V$201,MATCH('Buildings &amp; stationary assets'!$D65&amp;E65,'Emission factors'!$J$3:$J$201&amp;'Emission factors'!$K$3:$K$201,0),MATCH('Buildings &amp; stationary assets'!$L$6,'Emission factors'!$K$2:$V$2,0)))</f>
        <v/>
      </c>
      <c r="M65" s="287" t="str">
        <f>IF(OR(J65="",L65=""),"",SUM(BuildingsTable[[#This Row],[Direct]:[Indirect WTT]]))</f>
        <v/>
      </c>
      <c r="N65" s="150"/>
      <c r="O65" s="429"/>
      <c r="P65" s="288" t="str" cm="1">
        <f t="array" ref="P65">IF(OR($D65="",$H65=""),"",(INDEX('Emission factors'!$K$3:$V$201,MATCH('Buildings &amp; stationary assets'!$D65&amp;$E65,'Emission factors'!$J$3:$J$201&amp;'Emission factors'!$K$3:$K$201,0),MATCH('Buildings &amp; stationary assets'!P$6,'Emission factors'!$K$2:$V$2,0)))*$J65)</f>
        <v/>
      </c>
      <c r="Q65" s="288" t="str" cm="1">
        <f t="array" ref="Q65">IF(OR($D65="",$H65=""),"",(INDEX('Emission factors'!$K$3:$V$201,MATCH('Buildings &amp; stationary assets'!$D65&amp;$E65,'Emission factors'!$J$3:$J$201&amp;'Emission factors'!$K$3:$K$201,0),MATCH('Buildings &amp; stationary assets'!Q$6,'Emission factors'!$K$2:$V$2,0)))*$J65)</f>
        <v/>
      </c>
      <c r="R65" s="288" t="str" cm="1">
        <f t="array" ref="R65">IF(OR($D65="",$H65=""),"",(INDEX('Emission factors'!$K$3:$V$201,MATCH('Buildings &amp; stationary assets'!$D65&amp;$E65,'Emission factors'!$J$3:$J$201&amp;'Emission factors'!$K$3:$K$201,0),MATCH('Buildings &amp; stationary assets'!R$6,'Emission factors'!$K$2:$V$2,0)))*$J65)</f>
        <v/>
      </c>
      <c r="S65" s="288" t="str" cm="1">
        <f t="array" ref="S65">IF(OR($D65="",$H65=""),"",(INDEX('Emission factors'!$K$3:$V$201,MATCH('Buildings &amp; stationary assets'!$D65&amp;$E65,'Emission factors'!$J$3:$J$201&amp;'Emission factors'!$K$3:$K$201,0),MATCH('Buildings &amp; stationary assets'!S$6,'Emission factors'!$K$2:$V$2,0)))*$J65)</f>
        <v/>
      </c>
      <c r="T65" s="288" t="str" cm="1">
        <f t="array" ref="T65">IF(OR($D65="",$H65=""),"",(INDEX('Emission factors'!$K$3:$V$201,MATCH('Buildings &amp; stationary assets'!$D65&amp;$E65,'Emission factors'!$J$3:$J$201&amp;'Emission factors'!$K$3:$K$201,0),MATCH('Buildings &amp; stationary assets'!T$6,'Emission factors'!$K$2:$V$2,0)))*$J65)</f>
        <v/>
      </c>
      <c r="U65" s="289" t="str">
        <f>IF(OR($M65="",BuildingsTable[[#This Row],[RSD]]=""),"",BuildingsTable[[#This Row],[Total emissions (kgCO2e)]]*(1+BuildingsTable[[#This Row],[RSD]]))</f>
        <v/>
      </c>
      <c r="V65" s="290" t="str">
        <f>IF(OR($M65="",BuildingsTable[[#This Row],[RSD]]=""),"",BuildingsTable[[#This Row],[Total emissions (kgCO2e)]]*(1-BuildingsTable[[#This Row],[RSD]]))</f>
        <v/>
      </c>
      <c r="W65" s="430" t="str" cm="1">
        <f t="array" ref="W65">IF(OR($D65="",$H65=""),"",(INDEX('Emission factors'!$K$3:$V$201,MATCH('Buildings &amp; stationary assets'!$D65&amp;$E65,'Emission factors'!$J$3:$J$201&amp;'Emission factors'!$K$3:$K$201,0),MATCH('Buildings &amp; stationary assets'!W$6,'Emission factors'!$K$2:$V$2,0)))*$J65)</f>
        <v/>
      </c>
      <c r="X65" s="66"/>
      <c r="Y65" s="1" cm="1">
        <f t="array" ref="Y65">IF(OR(ISERROR(B65:W65)),1,0)</f>
        <v>0</v>
      </c>
      <c r="Z65" s="1">
        <f t="shared" si="0"/>
        <v>0</v>
      </c>
    </row>
    <row r="66" spans="1:26" s="1" customFormat="1" ht="15" outlineLevel="1" thickBot="1" x14ac:dyDescent="0.4">
      <c r="A66" s="189"/>
      <c r="B66" s="461"/>
      <c r="C66" s="155"/>
      <c r="D66" s="151"/>
      <c r="E66" s="151"/>
      <c r="F66" s="151"/>
      <c r="G66" s="187" t="str">
        <f>IF(F66="","",INDEX(Lists!$BA$4:$BC$31,MATCH(D66,Lists!$AZ$4:$AZ$31,0),MATCH(F66,Lists!$BA$3:$BC$3,0)))</f>
        <v/>
      </c>
      <c r="H66" s="148"/>
      <c r="I66" s="151"/>
      <c r="J66" s="154" t="str" cm="1">
        <f t="array" ref="J66">IF(OR($D66="",$C66="",$H66="",$I66=""),"",IF(I66=K66,H66,(INDEX('Emission factors'!$K$3:$V$201,MATCH(D66&amp;E66,'Emission factors'!$J$3:$J$201&amp;'Emission factors'!$K$3:$K$201,0),MATCH(J$6,'Emission factors'!$K$2:$V$2,0)))*H66))</f>
        <v/>
      </c>
      <c r="K66" s="192" t="str">
        <f>IF(OR($D66="",$C66="",$H66="",$I66=""),"",INDEX('Emission factors'!$K$3:$V$201,MATCH('Buildings &amp; stationary assets'!$D66,'Emission factors'!$J$3:$J$201,0),MATCH($K$6,'Emission factors'!$K$2:$V$2,0)))</f>
        <v/>
      </c>
      <c r="L66" s="193" t="str" cm="1">
        <f t="array" ref="L66">IF(OR(D66="",H66="",BuildingsTable[[#This Row],[Units]]=""),"",INDEX('Emission factors'!$K$3:$V$201,MATCH('Buildings &amp; stationary assets'!$D66&amp;E66,'Emission factors'!$J$3:$J$201&amp;'Emission factors'!$K$3:$K$201,0),MATCH('Buildings &amp; stationary assets'!$L$6,'Emission factors'!$K$2:$V$2,0)))</f>
        <v/>
      </c>
      <c r="M66" s="287" t="str">
        <f>IF(OR(J66="",L66=""),"",SUM(BuildingsTable[[#This Row],[Direct]:[Indirect WTT]]))</f>
        <v/>
      </c>
      <c r="N66" s="150"/>
      <c r="O66" s="429"/>
      <c r="P66" s="288" t="str" cm="1">
        <f t="array" ref="P66">IF(OR($D66="",$H66=""),"",(INDEX('Emission factors'!$K$3:$V$201,MATCH('Buildings &amp; stationary assets'!$D66&amp;$E66,'Emission factors'!$J$3:$J$201&amp;'Emission factors'!$K$3:$K$201,0),MATCH('Buildings &amp; stationary assets'!P$6,'Emission factors'!$K$2:$V$2,0)))*$J66)</f>
        <v/>
      </c>
      <c r="Q66" s="288" t="str" cm="1">
        <f t="array" ref="Q66">IF(OR($D66="",$H66=""),"",(INDEX('Emission factors'!$K$3:$V$201,MATCH('Buildings &amp; stationary assets'!$D66&amp;$E66,'Emission factors'!$J$3:$J$201&amp;'Emission factors'!$K$3:$K$201,0),MATCH('Buildings &amp; stationary assets'!Q$6,'Emission factors'!$K$2:$V$2,0)))*$J66)</f>
        <v/>
      </c>
      <c r="R66" s="288" t="str" cm="1">
        <f t="array" ref="R66">IF(OR($D66="",$H66=""),"",(INDEX('Emission factors'!$K$3:$V$201,MATCH('Buildings &amp; stationary assets'!$D66&amp;$E66,'Emission factors'!$J$3:$J$201&amp;'Emission factors'!$K$3:$K$201,0),MATCH('Buildings &amp; stationary assets'!R$6,'Emission factors'!$K$2:$V$2,0)))*$J66)</f>
        <v/>
      </c>
      <c r="S66" s="288" t="str" cm="1">
        <f t="array" ref="S66">IF(OR($D66="",$H66=""),"",(INDEX('Emission factors'!$K$3:$V$201,MATCH('Buildings &amp; stationary assets'!$D66&amp;$E66,'Emission factors'!$J$3:$J$201&amp;'Emission factors'!$K$3:$K$201,0),MATCH('Buildings &amp; stationary assets'!S$6,'Emission factors'!$K$2:$V$2,0)))*$J66)</f>
        <v/>
      </c>
      <c r="T66" s="288" t="str" cm="1">
        <f t="array" ref="T66">IF(OR($D66="",$H66=""),"",(INDEX('Emission factors'!$K$3:$V$201,MATCH('Buildings &amp; stationary assets'!$D66&amp;$E66,'Emission factors'!$J$3:$J$201&amp;'Emission factors'!$K$3:$K$201,0),MATCH('Buildings &amp; stationary assets'!T$6,'Emission factors'!$K$2:$V$2,0)))*$J66)</f>
        <v/>
      </c>
      <c r="U66" s="289" t="str">
        <f>IF(OR($M66="",BuildingsTable[[#This Row],[RSD]]=""),"",BuildingsTable[[#This Row],[Total emissions (kgCO2e)]]*(1+BuildingsTable[[#This Row],[RSD]]))</f>
        <v/>
      </c>
      <c r="V66" s="290" t="str">
        <f>IF(OR($M66="",BuildingsTable[[#This Row],[RSD]]=""),"",BuildingsTable[[#This Row],[Total emissions (kgCO2e)]]*(1-BuildingsTable[[#This Row],[RSD]]))</f>
        <v/>
      </c>
      <c r="W66" s="430" t="str" cm="1">
        <f t="array" ref="W66">IF(OR($D66="",$H66=""),"",(INDEX('Emission factors'!$K$3:$V$201,MATCH('Buildings &amp; stationary assets'!$D66&amp;$E66,'Emission factors'!$J$3:$J$201&amp;'Emission factors'!$K$3:$K$201,0),MATCH('Buildings &amp; stationary assets'!W$6,'Emission factors'!$K$2:$V$2,0)))*$J66)</f>
        <v/>
      </c>
      <c r="X66" s="66"/>
      <c r="Y66" s="1" cm="1">
        <f t="array" ref="Y66">IF(OR(ISERROR(B66:W66)),1,0)</f>
        <v>0</v>
      </c>
      <c r="Z66" s="1">
        <f t="shared" si="0"/>
        <v>0</v>
      </c>
    </row>
    <row r="67" spans="1:26" s="1" customFormat="1" ht="15" outlineLevel="1" thickBot="1" x14ac:dyDescent="0.4">
      <c r="A67" s="189"/>
      <c r="B67" s="461"/>
      <c r="C67" s="155"/>
      <c r="D67" s="151"/>
      <c r="E67" s="151"/>
      <c r="F67" s="151"/>
      <c r="G67" s="187" t="str">
        <f>IF(F67="","",INDEX(Lists!$BA$4:$BC$31,MATCH(D67,Lists!$AZ$4:$AZ$31,0),MATCH(F67,Lists!$BA$3:$BC$3,0)))</f>
        <v/>
      </c>
      <c r="H67" s="148"/>
      <c r="I67" s="151"/>
      <c r="J67" s="154" t="str" cm="1">
        <f t="array" ref="J67">IF(OR($D67="",$C67="",$H67="",$I67=""),"",IF(I67=K67,H67,(INDEX('Emission factors'!$K$3:$V$201,MATCH(D67&amp;E67,'Emission factors'!$J$3:$J$201&amp;'Emission factors'!$K$3:$K$201,0),MATCH(J$6,'Emission factors'!$K$2:$V$2,0)))*H67))</f>
        <v/>
      </c>
      <c r="K67" s="192" t="str">
        <f>IF(OR($D67="",$C67="",$H67="",$I67=""),"",INDEX('Emission factors'!$K$3:$V$201,MATCH('Buildings &amp; stationary assets'!$D67,'Emission factors'!$J$3:$J$201,0),MATCH($K$6,'Emission factors'!$K$2:$V$2,0)))</f>
        <v/>
      </c>
      <c r="L67" s="193" t="str" cm="1">
        <f t="array" ref="L67">IF(OR(D67="",H67="",BuildingsTable[[#This Row],[Units]]=""),"",INDEX('Emission factors'!$K$3:$V$201,MATCH('Buildings &amp; stationary assets'!$D67&amp;E67,'Emission factors'!$J$3:$J$201&amp;'Emission factors'!$K$3:$K$201,0),MATCH('Buildings &amp; stationary assets'!$L$6,'Emission factors'!$K$2:$V$2,0)))</f>
        <v/>
      </c>
      <c r="M67" s="287" t="str">
        <f>IF(OR(J67="",L67=""),"",SUM(BuildingsTable[[#This Row],[Direct]:[Indirect WTT]]))</f>
        <v/>
      </c>
      <c r="N67" s="150"/>
      <c r="O67" s="429"/>
      <c r="P67" s="288" t="str" cm="1">
        <f t="array" ref="P67">IF(OR($D67="",$H67=""),"",(INDEX('Emission factors'!$K$3:$V$201,MATCH('Buildings &amp; stationary assets'!$D67&amp;$E67,'Emission factors'!$J$3:$J$201&amp;'Emission factors'!$K$3:$K$201,0),MATCH('Buildings &amp; stationary assets'!P$6,'Emission factors'!$K$2:$V$2,0)))*$J67)</f>
        <v/>
      </c>
      <c r="Q67" s="288" t="str" cm="1">
        <f t="array" ref="Q67">IF(OR($D67="",$H67=""),"",(INDEX('Emission factors'!$K$3:$V$201,MATCH('Buildings &amp; stationary assets'!$D67&amp;$E67,'Emission factors'!$J$3:$J$201&amp;'Emission factors'!$K$3:$K$201,0),MATCH('Buildings &amp; stationary assets'!Q$6,'Emission factors'!$K$2:$V$2,0)))*$J67)</f>
        <v/>
      </c>
      <c r="R67" s="288" t="str" cm="1">
        <f t="array" ref="R67">IF(OR($D67="",$H67=""),"",(INDEX('Emission factors'!$K$3:$V$201,MATCH('Buildings &amp; stationary assets'!$D67&amp;$E67,'Emission factors'!$J$3:$J$201&amp;'Emission factors'!$K$3:$K$201,0),MATCH('Buildings &amp; stationary assets'!R$6,'Emission factors'!$K$2:$V$2,0)))*$J67)</f>
        <v/>
      </c>
      <c r="S67" s="288" t="str" cm="1">
        <f t="array" ref="S67">IF(OR($D67="",$H67=""),"",(INDEX('Emission factors'!$K$3:$V$201,MATCH('Buildings &amp; stationary assets'!$D67&amp;$E67,'Emission factors'!$J$3:$J$201&amp;'Emission factors'!$K$3:$K$201,0),MATCH('Buildings &amp; stationary assets'!S$6,'Emission factors'!$K$2:$V$2,0)))*$J67)</f>
        <v/>
      </c>
      <c r="T67" s="288" t="str" cm="1">
        <f t="array" ref="T67">IF(OR($D67="",$H67=""),"",(INDEX('Emission factors'!$K$3:$V$201,MATCH('Buildings &amp; stationary assets'!$D67&amp;$E67,'Emission factors'!$J$3:$J$201&amp;'Emission factors'!$K$3:$K$201,0),MATCH('Buildings &amp; stationary assets'!T$6,'Emission factors'!$K$2:$V$2,0)))*$J67)</f>
        <v/>
      </c>
      <c r="U67" s="289" t="str">
        <f>IF(OR($M67="",BuildingsTable[[#This Row],[RSD]]=""),"",BuildingsTable[[#This Row],[Total emissions (kgCO2e)]]*(1+BuildingsTable[[#This Row],[RSD]]))</f>
        <v/>
      </c>
      <c r="V67" s="290" t="str">
        <f>IF(OR($M67="",BuildingsTable[[#This Row],[RSD]]=""),"",BuildingsTable[[#This Row],[Total emissions (kgCO2e)]]*(1-BuildingsTable[[#This Row],[RSD]]))</f>
        <v/>
      </c>
      <c r="W67" s="430" t="str" cm="1">
        <f t="array" ref="W67">IF(OR($D67="",$H67=""),"",(INDEX('Emission factors'!$K$3:$V$201,MATCH('Buildings &amp; stationary assets'!$D67&amp;$E67,'Emission factors'!$J$3:$J$201&amp;'Emission factors'!$K$3:$K$201,0),MATCH('Buildings &amp; stationary assets'!W$6,'Emission factors'!$K$2:$V$2,0)))*$J67)</f>
        <v/>
      </c>
      <c r="X67" s="66"/>
      <c r="Y67" s="1" cm="1">
        <f t="array" ref="Y67">IF(OR(ISERROR(B67:W67)),1,0)</f>
        <v>0</v>
      </c>
      <c r="Z67" s="1">
        <f t="shared" si="0"/>
        <v>0</v>
      </c>
    </row>
    <row r="68" spans="1:26" s="1" customFormat="1" ht="15" outlineLevel="1" thickBot="1" x14ac:dyDescent="0.4">
      <c r="A68" s="189"/>
      <c r="B68" s="461"/>
      <c r="C68" s="155"/>
      <c r="D68" s="151"/>
      <c r="E68" s="151"/>
      <c r="F68" s="151"/>
      <c r="G68" s="187" t="str">
        <f>IF(F68="","",INDEX(Lists!$BA$4:$BC$31,MATCH(D68,Lists!$AZ$4:$AZ$31,0),MATCH(F68,Lists!$BA$3:$BC$3,0)))</f>
        <v/>
      </c>
      <c r="H68" s="148"/>
      <c r="I68" s="151"/>
      <c r="J68" s="154" t="str" cm="1">
        <f t="array" ref="J68">IF(OR($D68="",$C68="",$H68="",$I68=""),"",IF(I68=K68,H68,(INDEX('Emission factors'!$K$3:$V$201,MATCH(D68&amp;E68,'Emission factors'!$J$3:$J$201&amp;'Emission factors'!$K$3:$K$201,0),MATCH(J$6,'Emission factors'!$K$2:$V$2,0)))*H68))</f>
        <v/>
      </c>
      <c r="K68" s="192" t="str">
        <f>IF(OR($D68="",$C68="",$H68="",$I68=""),"",INDEX('Emission factors'!$K$3:$V$201,MATCH('Buildings &amp; stationary assets'!$D68,'Emission factors'!$J$3:$J$201,0),MATCH($K$6,'Emission factors'!$K$2:$V$2,0)))</f>
        <v/>
      </c>
      <c r="L68" s="193" t="str" cm="1">
        <f t="array" ref="L68">IF(OR(D68="",H68="",BuildingsTable[[#This Row],[Units]]=""),"",INDEX('Emission factors'!$K$3:$V$201,MATCH('Buildings &amp; stationary assets'!$D68&amp;E68,'Emission factors'!$J$3:$J$201&amp;'Emission factors'!$K$3:$K$201,0),MATCH('Buildings &amp; stationary assets'!$L$6,'Emission factors'!$K$2:$V$2,0)))</f>
        <v/>
      </c>
      <c r="M68" s="287" t="str">
        <f>IF(OR(J68="",L68=""),"",SUM(BuildingsTable[[#This Row],[Direct]:[Indirect WTT]]))</f>
        <v/>
      </c>
      <c r="N68" s="150"/>
      <c r="O68" s="429"/>
      <c r="P68" s="288" t="str" cm="1">
        <f t="array" ref="P68">IF(OR($D68="",$H68=""),"",(INDEX('Emission factors'!$K$3:$V$201,MATCH('Buildings &amp; stationary assets'!$D68&amp;$E68,'Emission factors'!$J$3:$J$201&amp;'Emission factors'!$K$3:$K$201,0),MATCH('Buildings &amp; stationary assets'!P$6,'Emission factors'!$K$2:$V$2,0)))*$J68)</f>
        <v/>
      </c>
      <c r="Q68" s="288" t="str" cm="1">
        <f t="array" ref="Q68">IF(OR($D68="",$H68=""),"",(INDEX('Emission factors'!$K$3:$V$201,MATCH('Buildings &amp; stationary assets'!$D68&amp;$E68,'Emission factors'!$J$3:$J$201&amp;'Emission factors'!$K$3:$K$201,0),MATCH('Buildings &amp; stationary assets'!Q$6,'Emission factors'!$K$2:$V$2,0)))*$J68)</f>
        <v/>
      </c>
      <c r="R68" s="288" t="str" cm="1">
        <f t="array" ref="R68">IF(OR($D68="",$H68=""),"",(INDEX('Emission factors'!$K$3:$V$201,MATCH('Buildings &amp; stationary assets'!$D68&amp;$E68,'Emission factors'!$J$3:$J$201&amp;'Emission factors'!$K$3:$K$201,0),MATCH('Buildings &amp; stationary assets'!R$6,'Emission factors'!$K$2:$V$2,0)))*$J68)</f>
        <v/>
      </c>
      <c r="S68" s="288" t="str" cm="1">
        <f t="array" ref="S68">IF(OR($D68="",$H68=""),"",(INDEX('Emission factors'!$K$3:$V$201,MATCH('Buildings &amp; stationary assets'!$D68&amp;$E68,'Emission factors'!$J$3:$J$201&amp;'Emission factors'!$K$3:$K$201,0),MATCH('Buildings &amp; stationary assets'!S$6,'Emission factors'!$K$2:$V$2,0)))*$J68)</f>
        <v/>
      </c>
      <c r="T68" s="288" t="str" cm="1">
        <f t="array" ref="T68">IF(OR($D68="",$H68=""),"",(INDEX('Emission factors'!$K$3:$V$201,MATCH('Buildings &amp; stationary assets'!$D68&amp;$E68,'Emission factors'!$J$3:$J$201&amp;'Emission factors'!$K$3:$K$201,0),MATCH('Buildings &amp; stationary assets'!T$6,'Emission factors'!$K$2:$V$2,0)))*$J68)</f>
        <v/>
      </c>
      <c r="U68" s="289" t="str">
        <f>IF(OR($M68="",BuildingsTable[[#This Row],[RSD]]=""),"",BuildingsTable[[#This Row],[Total emissions (kgCO2e)]]*(1+BuildingsTable[[#This Row],[RSD]]))</f>
        <v/>
      </c>
      <c r="V68" s="290" t="str">
        <f>IF(OR($M68="",BuildingsTable[[#This Row],[RSD]]=""),"",BuildingsTable[[#This Row],[Total emissions (kgCO2e)]]*(1-BuildingsTable[[#This Row],[RSD]]))</f>
        <v/>
      </c>
      <c r="W68" s="430" t="str" cm="1">
        <f t="array" ref="W68">IF(OR($D68="",$H68=""),"",(INDEX('Emission factors'!$K$3:$V$201,MATCH('Buildings &amp; stationary assets'!$D68&amp;$E68,'Emission factors'!$J$3:$J$201&amp;'Emission factors'!$K$3:$K$201,0),MATCH('Buildings &amp; stationary assets'!W$6,'Emission factors'!$K$2:$V$2,0)))*$J68)</f>
        <v/>
      </c>
      <c r="X68" s="66"/>
      <c r="Y68" s="1" cm="1">
        <f t="array" ref="Y68">IF(OR(ISERROR(B68:W68)),1,0)</f>
        <v>0</v>
      </c>
      <c r="Z68" s="1">
        <f t="shared" si="0"/>
        <v>0</v>
      </c>
    </row>
    <row r="69" spans="1:26" s="1" customFormat="1" ht="15" outlineLevel="1" thickBot="1" x14ac:dyDescent="0.4">
      <c r="A69" s="189"/>
      <c r="B69" s="461"/>
      <c r="C69" s="155"/>
      <c r="D69" s="151"/>
      <c r="E69" s="151"/>
      <c r="F69" s="151"/>
      <c r="G69" s="187" t="str">
        <f>IF(F69="","",INDEX(Lists!$BA$4:$BC$31,MATCH(D69,Lists!$AZ$4:$AZ$31,0),MATCH(F69,Lists!$BA$3:$BC$3,0)))</f>
        <v/>
      </c>
      <c r="H69" s="148"/>
      <c r="I69" s="151"/>
      <c r="J69" s="154" t="str" cm="1">
        <f t="array" ref="J69">IF(OR($D69="",$C69="",$H69="",$I69=""),"",IF(I69=K69,H69,(INDEX('Emission factors'!$K$3:$V$201,MATCH(D69&amp;E69,'Emission factors'!$J$3:$J$201&amp;'Emission factors'!$K$3:$K$201,0),MATCH(J$6,'Emission factors'!$K$2:$V$2,0)))*H69))</f>
        <v/>
      </c>
      <c r="K69" s="192" t="str">
        <f>IF(OR($D69="",$C69="",$H69="",$I69=""),"",INDEX('Emission factors'!$K$3:$V$201,MATCH('Buildings &amp; stationary assets'!$D69,'Emission factors'!$J$3:$J$201,0),MATCH($K$6,'Emission factors'!$K$2:$V$2,0)))</f>
        <v/>
      </c>
      <c r="L69" s="193" t="str" cm="1">
        <f t="array" ref="L69">IF(OR(D69="",H69="",BuildingsTable[[#This Row],[Units]]=""),"",INDEX('Emission factors'!$K$3:$V$201,MATCH('Buildings &amp; stationary assets'!$D69&amp;E69,'Emission factors'!$J$3:$J$201&amp;'Emission factors'!$K$3:$K$201,0),MATCH('Buildings &amp; stationary assets'!$L$6,'Emission factors'!$K$2:$V$2,0)))</f>
        <v/>
      </c>
      <c r="M69" s="287" t="str">
        <f>IF(OR(J69="",L69=""),"",SUM(BuildingsTable[[#This Row],[Direct]:[Indirect WTT]]))</f>
        <v/>
      </c>
      <c r="N69" s="150"/>
      <c r="O69" s="429"/>
      <c r="P69" s="288" t="str" cm="1">
        <f t="array" ref="P69">IF(OR($D69="",$H69=""),"",(INDEX('Emission factors'!$K$3:$V$201,MATCH('Buildings &amp; stationary assets'!$D69&amp;$E69,'Emission factors'!$J$3:$J$201&amp;'Emission factors'!$K$3:$K$201,0),MATCH('Buildings &amp; stationary assets'!P$6,'Emission factors'!$K$2:$V$2,0)))*$J69)</f>
        <v/>
      </c>
      <c r="Q69" s="288" t="str" cm="1">
        <f t="array" ref="Q69">IF(OR($D69="",$H69=""),"",(INDEX('Emission factors'!$K$3:$V$201,MATCH('Buildings &amp; stationary assets'!$D69&amp;$E69,'Emission factors'!$J$3:$J$201&amp;'Emission factors'!$K$3:$K$201,0),MATCH('Buildings &amp; stationary assets'!Q$6,'Emission factors'!$K$2:$V$2,0)))*$J69)</f>
        <v/>
      </c>
      <c r="R69" s="288" t="str" cm="1">
        <f t="array" ref="R69">IF(OR($D69="",$H69=""),"",(INDEX('Emission factors'!$K$3:$V$201,MATCH('Buildings &amp; stationary assets'!$D69&amp;$E69,'Emission factors'!$J$3:$J$201&amp;'Emission factors'!$K$3:$K$201,0),MATCH('Buildings &amp; stationary assets'!R$6,'Emission factors'!$K$2:$V$2,0)))*$J69)</f>
        <v/>
      </c>
      <c r="S69" s="288" t="str" cm="1">
        <f t="array" ref="S69">IF(OR($D69="",$H69=""),"",(INDEX('Emission factors'!$K$3:$V$201,MATCH('Buildings &amp; stationary assets'!$D69&amp;$E69,'Emission factors'!$J$3:$J$201&amp;'Emission factors'!$K$3:$K$201,0),MATCH('Buildings &amp; stationary assets'!S$6,'Emission factors'!$K$2:$V$2,0)))*$J69)</f>
        <v/>
      </c>
      <c r="T69" s="288" t="str" cm="1">
        <f t="array" ref="T69">IF(OR($D69="",$H69=""),"",(INDEX('Emission factors'!$K$3:$V$201,MATCH('Buildings &amp; stationary assets'!$D69&amp;$E69,'Emission factors'!$J$3:$J$201&amp;'Emission factors'!$K$3:$K$201,0),MATCH('Buildings &amp; stationary assets'!T$6,'Emission factors'!$K$2:$V$2,0)))*$J69)</f>
        <v/>
      </c>
      <c r="U69" s="289" t="str">
        <f>IF(OR($M69="",BuildingsTable[[#This Row],[RSD]]=""),"",BuildingsTable[[#This Row],[Total emissions (kgCO2e)]]*(1+BuildingsTable[[#This Row],[RSD]]))</f>
        <v/>
      </c>
      <c r="V69" s="290" t="str">
        <f>IF(OR($M69="",BuildingsTable[[#This Row],[RSD]]=""),"",BuildingsTable[[#This Row],[Total emissions (kgCO2e)]]*(1-BuildingsTable[[#This Row],[RSD]]))</f>
        <v/>
      </c>
      <c r="W69" s="430" t="str" cm="1">
        <f t="array" ref="W69">IF(OR($D69="",$H69=""),"",(INDEX('Emission factors'!$K$3:$V$201,MATCH('Buildings &amp; stationary assets'!$D69&amp;$E69,'Emission factors'!$J$3:$J$201&amp;'Emission factors'!$K$3:$K$201,0),MATCH('Buildings &amp; stationary assets'!W$6,'Emission factors'!$K$2:$V$2,0)))*$J69)</f>
        <v/>
      </c>
      <c r="X69" s="66"/>
      <c r="Y69" s="1" cm="1">
        <f t="array" ref="Y69">IF(OR(ISERROR(B69:W69)),1,0)</f>
        <v>0</v>
      </c>
      <c r="Z69" s="1">
        <f t="shared" si="0"/>
        <v>0</v>
      </c>
    </row>
    <row r="70" spans="1:26" s="1" customFormat="1" ht="15" outlineLevel="1" thickBot="1" x14ac:dyDescent="0.4">
      <c r="A70" s="189"/>
      <c r="B70" s="461"/>
      <c r="C70" s="155"/>
      <c r="D70" s="151"/>
      <c r="E70" s="151"/>
      <c r="F70" s="151"/>
      <c r="G70" s="187" t="str">
        <f>IF(F70="","",INDEX(Lists!$BA$4:$BC$31,MATCH(D70,Lists!$AZ$4:$AZ$31,0),MATCH(F70,Lists!$BA$3:$BC$3,0)))</f>
        <v/>
      </c>
      <c r="H70" s="148"/>
      <c r="I70" s="151"/>
      <c r="J70" s="154" t="str" cm="1">
        <f t="array" ref="J70">IF(OR($D70="",$C70="",$H70="",$I70=""),"",IF(I70=K70,H70,(INDEX('Emission factors'!$K$3:$V$201,MATCH(D70&amp;E70,'Emission factors'!$J$3:$J$201&amp;'Emission factors'!$K$3:$K$201,0),MATCH(J$6,'Emission factors'!$K$2:$V$2,0)))*H70))</f>
        <v/>
      </c>
      <c r="K70" s="192" t="str">
        <f>IF(OR($D70="",$C70="",$H70="",$I70=""),"",INDEX('Emission factors'!$K$3:$V$201,MATCH('Buildings &amp; stationary assets'!$D70,'Emission factors'!$J$3:$J$201,0),MATCH($K$6,'Emission factors'!$K$2:$V$2,0)))</f>
        <v/>
      </c>
      <c r="L70" s="193" t="str" cm="1">
        <f t="array" ref="L70">IF(OR(D70="",H70="",BuildingsTable[[#This Row],[Units]]=""),"",INDEX('Emission factors'!$K$3:$V$201,MATCH('Buildings &amp; stationary assets'!$D70&amp;E70,'Emission factors'!$J$3:$J$201&amp;'Emission factors'!$K$3:$K$201,0),MATCH('Buildings &amp; stationary assets'!$L$6,'Emission factors'!$K$2:$V$2,0)))</f>
        <v/>
      </c>
      <c r="M70" s="287" t="str">
        <f>IF(OR(J70="",L70=""),"",SUM(BuildingsTable[[#This Row],[Direct]:[Indirect WTT]]))</f>
        <v/>
      </c>
      <c r="N70" s="150"/>
      <c r="O70" s="429"/>
      <c r="P70" s="288" t="str" cm="1">
        <f t="array" ref="P70">IF(OR($D70="",$H70=""),"",(INDEX('Emission factors'!$K$3:$V$201,MATCH('Buildings &amp; stationary assets'!$D70&amp;$E70,'Emission factors'!$J$3:$J$201&amp;'Emission factors'!$K$3:$K$201,0),MATCH('Buildings &amp; stationary assets'!P$6,'Emission factors'!$K$2:$V$2,0)))*$J70)</f>
        <v/>
      </c>
      <c r="Q70" s="288" t="str" cm="1">
        <f t="array" ref="Q70">IF(OR($D70="",$H70=""),"",(INDEX('Emission factors'!$K$3:$V$201,MATCH('Buildings &amp; stationary assets'!$D70&amp;$E70,'Emission factors'!$J$3:$J$201&amp;'Emission factors'!$K$3:$K$201,0),MATCH('Buildings &amp; stationary assets'!Q$6,'Emission factors'!$K$2:$V$2,0)))*$J70)</f>
        <v/>
      </c>
      <c r="R70" s="288" t="str" cm="1">
        <f t="array" ref="R70">IF(OR($D70="",$H70=""),"",(INDEX('Emission factors'!$K$3:$V$201,MATCH('Buildings &amp; stationary assets'!$D70&amp;$E70,'Emission factors'!$J$3:$J$201&amp;'Emission factors'!$K$3:$K$201,0),MATCH('Buildings &amp; stationary assets'!R$6,'Emission factors'!$K$2:$V$2,0)))*$J70)</f>
        <v/>
      </c>
      <c r="S70" s="288" t="str" cm="1">
        <f t="array" ref="S70">IF(OR($D70="",$H70=""),"",(INDEX('Emission factors'!$K$3:$V$201,MATCH('Buildings &amp; stationary assets'!$D70&amp;$E70,'Emission factors'!$J$3:$J$201&amp;'Emission factors'!$K$3:$K$201,0),MATCH('Buildings &amp; stationary assets'!S$6,'Emission factors'!$K$2:$V$2,0)))*$J70)</f>
        <v/>
      </c>
      <c r="T70" s="288" t="str" cm="1">
        <f t="array" ref="T70">IF(OR($D70="",$H70=""),"",(INDEX('Emission factors'!$K$3:$V$201,MATCH('Buildings &amp; stationary assets'!$D70&amp;$E70,'Emission factors'!$J$3:$J$201&amp;'Emission factors'!$K$3:$K$201,0),MATCH('Buildings &amp; stationary assets'!T$6,'Emission factors'!$K$2:$V$2,0)))*$J70)</f>
        <v/>
      </c>
      <c r="U70" s="289" t="str">
        <f>IF(OR($M70="",BuildingsTable[[#This Row],[RSD]]=""),"",BuildingsTable[[#This Row],[Total emissions (kgCO2e)]]*(1+BuildingsTable[[#This Row],[RSD]]))</f>
        <v/>
      </c>
      <c r="V70" s="290" t="str">
        <f>IF(OR($M70="",BuildingsTable[[#This Row],[RSD]]=""),"",BuildingsTable[[#This Row],[Total emissions (kgCO2e)]]*(1-BuildingsTable[[#This Row],[RSD]]))</f>
        <v/>
      </c>
      <c r="W70" s="430" t="str" cm="1">
        <f t="array" ref="W70">IF(OR($D70="",$H70=""),"",(INDEX('Emission factors'!$K$3:$V$201,MATCH('Buildings &amp; stationary assets'!$D70&amp;$E70,'Emission factors'!$J$3:$J$201&amp;'Emission factors'!$K$3:$K$201,0),MATCH('Buildings &amp; stationary assets'!W$6,'Emission factors'!$K$2:$V$2,0)))*$J70)</f>
        <v/>
      </c>
      <c r="X70" s="66"/>
      <c r="Y70" s="1" cm="1">
        <f t="array" ref="Y70">IF(OR(ISERROR(B70:W70)),1,0)</f>
        <v>0</v>
      </c>
      <c r="Z70" s="1">
        <f t="shared" si="0"/>
        <v>0</v>
      </c>
    </row>
    <row r="71" spans="1:26" s="1" customFormat="1" ht="15" outlineLevel="1" thickBot="1" x14ac:dyDescent="0.4">
      <c r="A71" s="189"/>
      <c r="B71" s="461"/>
      <c r="C71" s="155"/>
      <c r="D71" s="151"/>
      <c r="E71" s="151"/>
      <c r="F71" s="151"/>
      <c r="G71" s="187" t="str">
        <f>IF(F71="","",INDEX(Lists!$BA$4:$BC$31,MATCH(D71,Lists!$AZ$4:$AZ$31,0),MATCH(F71,Lists!$BA$3:$BC$3,0)))</f>
        <v/>
      </c>
      <c r="H71" s="148"/>
      <c r="I71" s="151"/>
      <c r="J71" s="154" t="str" cm="1">
        <f t="array" ref="J71">IF(OR($D71="",$C71="",$H71="",$I71=""),"",IF(I71=K71,H71,(INDEX('Emission factors'!$K$3:$V$201,MATCH(D71&amp;E71,'Emission factors'!$J$3:$J$201&amp;'Emission factors'!$K$3:$K$201,0),MATCH(J$6,'Emission factors'!$K$2:$V$2,0)))*H71))</f>
        <v/>
      </c>
      <c r="K71" s="192" t="str">
        <f>IF(OR($D71="",$C71="",$H71="",$I71=""),"",INDEX('Emission factors'!$K$3:$V$201,MATCH('Buildings &amp; stationary assets'!$D71,'Emission factors'!$J$3:$J$201,0),MATCH($K$6,'Emission factors'!$K$2:$V$2,0)))</f>
        <v/>
      </c>
      <c r="L71" s="193" t="str" cm="1">
        <f t="array" ref="L71">IF(OR(D71="",H71="",BuildingsTable[[#This Row],[Units]]=""),"",INDEX('Emission factors'!$K$3:$V$201,MATCH('Buildings &amp; stationary assets'!$D71&amp;E71,'Emission factors'!$J$3:$J$201&amp;'Emission factors'!$K$3:$K$201,0),MATCH('Buildings &amp; stationary assets'!$L$6,'Emission factors'!$K$2:$V$2,0)))</f>
        <v/>
      </c>
      <c r="M71" s="287" t="str">
        <f>IF(OR(J71="",L71=""),"",SUM(BuildingsTable[[#This Row],[Direct]:[Indirect WTT]]))</f>
        <v/>
      </c>
      <c r="N71" s="150"/>
      <c r="O71" s="429"/>
      <c r="P71" s="288" t="str" cm="1">
        <f t="array" ref="P71">IF(OR($D71="",$H71=""),"",(INDEX('Emission factors'!$K$3:$V$201,MATCH('Buildings &amp; stationary assets'!$D71&amp;$E71,'Emission factors'!$J$3:$J$201&amp;'Emission factors'!$K$3:$K$201,0),MATCH('Buildings &amp; stationary assets'!P$6,'Emission factors'!$K$2:$V$2,0)))*$J71)</f>
        <v/>
      </c>
      <c r="Q71" s="288" t="str" cm="1">
        <f t="array" ref="Q71">IF(OR($D71="",$H71=""),"",(INDEX('Emission factors'!$K$3:$V$201,MATCH('Buildings &amp; stationary assets'!$D71&amp;$E71,'Emission factors'!$J$3:$J$201&amp;'Emission factors'!$K$3:$K$201,0),MATCH('Buildings &amp; stationary assets'!Q$6,'Emission factors'!$K$2:$V$2,0)))*$J71)</f>
        <v/>
      </c>
      <c r="R71" s="288" t="str" cm="1">
        <f t="array" ref="R71">IF(OR($D71="",$H71=""),"",(INDEX('Emission factors'!$K$3:$V$201,MATCH('Buildings &amp; stationary assets'!$D71&amp;$E71,'Emission factors'!$J$3:$J$201&amp;'Emission factors'!$K$3:$K$201,0),MATCH('Buildings &amp; stationary assets'!R$6,'Emission factors'!$K$2:$V$2,0)))*$J71)</f>
        <v/>
      </c>
      <c r="S71" s="288" t="str" cm="1">
        <f t="array" ref="S71">IF(OR($D71="",$H71=""),"",(INDEX('Emission factors'!$K$3:$V$201,MATCH('Buildings &amp; stationary assets'!$D71&amp;$E71,'Emission factors'!$J$3:$J$201&amp;'Emission factors'!$K$3:$K$201,0),MATCH('Buildings &amp; stationary assets'!S$6,'Emission factors'!$K$2:$V$2,0)))*$J71)</f>
        <v/>
      </c>
      <c r="T71" s="288" t="str" cm="1">
        <f t="array" ref="T71">IF(OR($D71="",$H71=""),"",(INDEX('Emission factors'!$K$3:$V$201,MATCH('Buildings &amp; stationary assets'!$D71&amp;$E71,'Emission factors'!$J$3:$J$201&amp;'Emission factors'!$K$3:$K$201,0),MATCH('Buildings &amp; stationary assets'!T$6,'Emission factors'!$K$2:$V$2,0)))*$J71)</f>
        <v/>
      </c>
      <c r="U71" s="289" t="str">
        <f>IF(OR($M71="",BuildingsTable[[#This Row],[RSD]]=""),"",BuildingsTable[[#This Row],[Total emissions (kgCO2e)]]*(1+BuildingsTable[[#This Row],[RSD]]))</f>
        <v/>
      </c>
      <c r="V71" s="290" t="str">
        <f>IF(OR($M71="",BuildingsTable[[#This Row],[RSD]]=""),"",BuildingsTable[[#This Row],[Total emissions (kgCO2e)]]*(1-BuildingsTable[[#This Row],[RSD]]))</f>
        <v/>
      </c>
      <c r="W71" s="430" t="str" cm="1">
        <f t="array" ref="W71">IF(OR($D71="",$H71=""),"",(INDEX('Emission factors'!$K$3:$V$201,MATCH('Buildings &amp; stationary assets'!$D71&amp;$E71,'Emission factors'!$J$3:$J$201&amp;'Emission factors'!$K$3:$K$201,0),MATCH('Buildings &amp; stationary assets'!W$6,'Emission factors'!$K$2:$V$2,0)))*$J71)</f>
        <v/>
      </c>
      <c r="X71" s="66"/>
      <c r="Y71" s="1" cm="1">
        <f t="array" ref="Y71">IF(OR(ISERROR(B71:W71)),1,0)</f>
        <v>0</v>
      </c>
      <c r="Z71" s="1">
        <f t="shared" si="0"/>
        <v>0</v>
      </c>
    </row>
    <row r="72" spans="1:26" s="1" customFormat="1" ht="15" outlineLevel="1" thickBot="1" x14ac:dyDescent="0.4">
      <c r="A72" s="189"/>
      <c r="B72" s="461"/>
      <c r="C72" s="155"/>
      <c r="D72" s="151"/>
      <c r="E72" s="151"/>
      <c r="F72" s="151"/>
      <c r="G72" s="187" t="str">
        <f>IF(F72="","",INDEX(Lists!$BA$4:$BC$31,MATCH(D72,Lists!$AZ$4:$AZ$31,0),MATCH(F72,Lists!$BA$3:$BC$3,0)))</f>
        <v/>
      </c>
      <c r="H72" s="148"/>
      <c r="I72" s="151"/>
      <c r="J72" s="154" t="str" cm="1">
        <f t="array" ref="J72">IF(OR($D72="",$C72="",$H72="",$I72=""),"",IF(I72=K72,H72,(INDEX('Emission factors'!$K$3:$V$201,MATCH(D72&amp;E72,'Emission factors'!$J$3:$J$201&amp;'Emission factors'!$K$3:$K$201,0),MATCH(J$6,'Emission factors'!$K$2:$V$2,0)))*H72))</f>
        <v/>
      </c>
      <c r="K72" s="192" t="str">
        <f>IF(OR($D72="",$C72="",$H72="",$I72=""),"",INDEX('Emission factors'!$K$3:$V$201,MATCH('Buildings &amp; stationary assets'!$D72,'Emission factors'!$J$3:$J$201,0),MATCH($K$6,'Emission factors'!$K$2:$V$2,0)))</f>
        <v/>
      </c>
      <c r="L72" s="193" t="str" cm="1">
        <f t="array" ref="L72">IF(OR(D72="",H72="",BuildingsTable[[#This Row],[Units]]=""),"",INDEX('Emission factors'!$K$3:$V$201,MATCH('Buildings &amp; stationary assets'!$D72&amp;E72,'Emission factors'!$J$3:$J$201&amp;'Emission factors'!$K$3:$K$201,0),MATCH('Buildings &amp; stationary assets'!$L$6,'Emission factors'!$K$2:$V$2,0)))</f>
        <v/>
      </c>
      <c r="M72" s="287" t="str">
        <f>IF(OR(J72="",L72=""),"",SUM(BuildingsTable[[#This Row],[Direct]:[Indirect WTT]]))</f>
        <v/>
      </c>
      <c r="N72" s="150"/>
      <c r="O72" s="429"/>
      <c r="P72" s="288" t="str" cm="1">
        <f t="array" ref="P72">IF(OR($D72="",$H72=""),"",(INDEX('Emission factors'!$K$3:$V$201,MATCH('Buildings &amp; stationary assets'!$D72&amp;$E72,'Emission factors'!$J$3:$J$201&amp;'Emission factors'!$K$3:$K$201,0),MATCH('Buildings &amp; stationary assets'!P$6,'Emission factors'!$K$2:$V$2,0)))*$J72)</f>
        <v/>
      </c>
      <c r="Q72" s="288" t="str" cm="1">
        <f t="array" ref="Q72">IF(OR($D72="",$H72=""),"",(INDEX('Emission factors'!$K$3:$V$201,MATCH('Buildings &amp; stationary assets'!$D72&amp;$E72,'Emission factors'!$J$3:$J$201&amp;'Emission factors'!$K$3:$K$201,0),MATCH('Buildings &amp; stationary assets'!Q$6,'Emission factors'!$K$2:$V$2,0)))*$J72)</f>
        <v/>
      </c>
      <c r="R72" s="288" t="str" cm="1">
        <f t="array" ref="R72">IF(OR($D72="",$H72=""),"",(INDEX('Emission factors'!$K$3:$V$201,MATCH('Buildings &amp; stationary assets'!$D72&amp;$E72,'Emission factors'!$J$3:$J$201&amp;'Emission factors'!$K$3:$K$201,0),MATCH('Buildings &amp; stationary assets'!R$6,'Emission factors'!$K$2:$V$2,0)))*$J72)</f>
        <v/>
      </c>
      <c r="S72" s="288" t="str" cm="1">
        <f t="array" ref="S72">IF(OR($D72="",$H72=""),"",(INDEX('Emission factors'!$K$3:$V$201,MATCH('Buildings &amp; stationary assets'!$D72&amp;$E72,'Emission factors'!$J$3:$J$201&amp;'Emission factors'!$K$3:$K$201,0),MATCH('Buildings &amp; stationary assets'!S$6,'Emission factors'!$K$2:$V$2,0)))*$J72)</f>
        <v/>
      </c>
      <c r="T72" s="288" t="str" cm="1">
        <f t="array" ref="T72">IF(OR($D72="",$H72=""),"",(INDEX('Emission factors'!$K$3:$V$201,MATCH('Buildings &amp; stationary assets'!$D72&amp;$E72,'Emission factors'!$J$3:$J$201&amp;'Emission factors'!$K$3:$K$201,0),MATCH('Buildings &amp; stationary assets'!T$6,'Emission factors'!$K$2:$V$2,0)))*$J72)</f>
        <v/>
      </c>
      <c r="U72" s="289" t="str">
        <f>IF(OR($M72="",BuildingsTable[[#This Row],[RSD]]=""),"",BuildingsTable[[#This Row],[Total emissions (kgCO2e)]]*(1+BuildingsTable[[#This Row],[RSD]]))</f>
        <v/>
      </c>
      <c r="V72" s="290" t="str">
        <f>IF(OR($M72="",BuildingsTable[[#This Row],[RSD]]=""),"",BuildingsTable[[#This Row],[Total emissions (kgCO2e)]]*(1-BuildingsTable[[#This Row],[RSD]]))</f>
        <v/>
      </c>
      <c r="W72" s="430" t="str" cm="1">
        <f t="array" ref="W72">IF(OR($D72="",$H72=""),"",(INDEX('Emission factors'!$K$3:$V$201,MATCH('Buildings &amp; stationary assets'!$D72&amp;$E72,'Emission factors'!$J$3:$J$201&amp;'Emission factors'!$K$3:$K$201,0),MATCH('Buildings &amp; stationary assets'!W$6,'Emission factors'!$K$2:$V$2,0)))*$J72)</f>
        <v/>
      </c>
      <c r="X72" s="66"/>
      <c r="Y72" s="1" cm="1">
        <f t="array" ref="Y72">IF(OR(ISERROR(B72:W72)),1,0)</f>
        <v>0</v>
      </c>
      <c r="Z72" s="1">
        <f t="shared" ref="Z72:Z117" si="1">IF(AND(D72="",H72="",I72=""),0,1)</f>
        <v>0</v>
      </c>
    </row>
    <row r="73" spans="1:26" s="1" customFormat="1" ht="15" outlineLevel="1" thickBot="1" x14ac:dyDescent="0.4">
      <c r="A73" s="189"/>
      <c r="B73" s="461"/>
      <c r="C73" s="155"/>
      <c r="D73" s="151"/>
      <c r="E73" s="151"/>
      <c r="F73" s="151"/>
      <c r="G73" s="187" t="str">
        <f>IF(F73="","",INDEX(Lists!$BA$4:$BC$31,MATCH(D73,Lists!$AZ$4:$AZ$31,0),MATCH(F73,Lists!$BA$3:$BC$3,0)))</f>
        <v/>
      </c>
      <c r="H73" s="148"/>
      <c r="I73" s="151"/>
      <c r="J73" s="154" t="str" cm="1">
        <f t="array" ref="J73">IF(OR($D73="",$C73="",$H73="",$I73=""),"",IF(I73=K73,H73,(INDEX('Emission factors'!$K$3:$V$201,MATCH(D73&amp;E73,'Emission factors'!$J$3:$J$201&amp;'Emission factors'!$K$3:$K$201,0),MATCH(J$6,'Emission factors'!$K$2:$V$2,0)))*H73))</f>
        <v/>
      </c>
      <c r="K73" s="192" t="str">
        <f>IF(OR($D73="",$C73="",$H73="",$I73=""),"",INDEX('Emission factors'!$K$3:$V$201,MATCH('Buildings &amp; stationary assets'!$D73,'Emission factors'!$J$3:$J$201,0),MATCH($K$6,'Emission factors'!$K$2:$V$2,0)))</f>
        <v/>
      </c>
      <c r="L73" s="193" t="str" cm="1">
        <f t="array" ref="L73">IF(OR(D73="",H73="",BuildingsTable[[#This Row],[Units]]=""),"",INDEX('Emission factors'!$K$3:$V$201,MATCH('Buildings &amp; stationary assets'!$D73&amp;E73,'Emission factors'!$J$3:$J$201&amp;'Emission factors'!$K$3:$K$201,0),MATCH('Buildings &amp; stationary assets'!$L$6,'Emission factors'!$K$2:$V$2,0)))</f>
        <v/>
      </c>
      <c r="M73" s="287" t="str">
        <f>IF(OR(J73="",L73=""),"",SUM(BuildingsTable[[#This Row],[Direct]:[Indirect WTT]]))</f>
        <v/>
      </c>
      <c r="N73" s="150"/>
      <c r="O73" s="429"/>
      <c r="P73" s="288" t="str" cm="1">
        <f t="array" ref="P73">IF(OR($D73="",$H73=""),"",(INDEX('Emission factors'!$K$3:$V$201,MATCH('Buildings &amp; stationary assets'!$D73&amp;$E73,'Emission factors'!$J$3:$J$201&amp;'Emission factors'!$K$3:$K$201,0),MATCH('Buildings &amp; stationary assets'!P$6,'Emission factors'!$K$2:$V$2,0)))*$J73)</f>
        <v/>
      </c>
      <c r="Q73" s="288" t="str" cm="1">
        <f t="array" ref="Q73">IF(OR($D73="",$H73=""),"",(INDEX('Emission factors'!$K$3:$V$201,MATCH('Buildings &amp; stationary assets'!$D73&amp;$E73,'Emission factors'!$J$3:$J$201&amp;'Emission factors'!$K$3:$K$201,0),MATCH('Buildings &amp; stationary assets'!Q$6,'Emission factors'!$K$2:$V$2,0)))*$J73)</f>
        <v/>
      </c>
      <c r="R73" s="288" t="str" cm="1">
        <f t="array" ref="R73">IF(OR($D73="",$H73=""),"",(INDEX('Emission factors'!$K$3:$V$201,MATCH('Buildings &amp; stationary assets'!$D73&amp;$E73,'Emission factors'!$J$3:$J$201&amp;'Emission factors'!$K$3:$K$201,0),MATCH('Buildings &amp; stationary assets'!R$6,'Emission factors'!$K$2:$V$2,0)))*$J73)</f>
        <v/>
      </c>
      <c r="S73" s="288" t="str" cm="1">
        <f t="array" ref="S73">IF(OR($D73="",$H73=""),"",(INDEX('Emission factors'!$K$3:$V$201,MATCH('Buildings &amp; stationary assets'!$D73&amp;$E73,'Emission factors'!$J$3:$J$201&amp;'Emission factors'!$K$3:$K$201,0),MATCH('Buildings &amp; stationary assets'!S$6,'Emission factors'!$K$2:$V$2,0)))*$J73)</f>
        <v/>
      </c>
      <c r="T73" s="288" t="str" cm="1">
        <f t="array" ref="T73">IF(OR($D73="",$H73=""),"",(INDEX('Emission factors'!$K$3:$V$201,MATCH('Buildings &amp; stationary assets'!$D73&amp;$E73,'Emission factors'!$J$3:$J$201&amp;'Emission factors'!$K$3:$K$201,0),MATCH('Buildings &amp; stationary assets'!T$6,'Emission factors'!$K$2:$V$2,0)))*$J73)</f>
        <v/>
      </c>
      <c r="U73" s="289" t="str">
        <f>IF(OR($M73="",BuildingsTable[[#This Row],[RSD]]=""),"",BuildingsTable[[#This Row],[Total emissions (kgCO2e)]]*(1+BuildingsTable[[#This Row],[RSD]]))</f>
        <v/>
      </c>
      <c r="V73" s="290" t="str">
        <f>IF(OR($M73="",BuildingsTable[[#This Row],[RSD]]=""),"",BuildingsTable[[#This Row],[Total emissions (kgCO2e)]]*(1-BuildingsTable[[#This Row],[RSD]]))</f>
        <v/>
      </c>
      <c r="W73" s="430" t="str" cm="1">
        <f t="array" ref="W73">IF(OR($D73="",$H73=""),"",(INDEX('Emission factors'!$K$3:$V$201,MATCH('Buildings &amp; stationary assets'!$D73&amp;$E73,'Emission factors'!$J$3:$J$201&amp;'Emission factors'!$K$3:$K$201,0),MATCH('Buildings &amp; stationary assets'!W$6,'Emission factors'!$K$2:$V$2,0)))*$J73)</f>
        <v/>
      </c>
      <c r="X73" s="66"/>
      <c r="Y73" s="1" cm="1">
        <f t="array" ref="Y73">IF(OR(ISERROR(B73:W73)),1,0)</f>
        <v>0</v>
      </c>
      <c r="Z73" s="1">
        <f t="shared" si="1"/>
        <v>0</v>
      </c>
    </row>
    <row r="74" spans="1:26" s="1" customFormat="1" ht="15" outlineLevel="1" thickBot="1" x14ac:dyDescent="0.4">
      <c r="A74" s="189"/>
      <c r="B74" s="461"/>
      <c r="C74" s="155"/>
      <c r="D74" s="151"/>
      <c r="E74" s="151"/>
      <c r="F74" s="151"/>
      <c r="G74" s="187" t="str">
        <f>IF(F74="","",INDEX(Lists!$BA$4:$BC$31,MATCH(D74,Lists!$AZ$4:$AZ$31,0),MATCH(F74,Lists!$BA$3:$BC$3,0)))</f>
        <v/>
      </c>
      <c r="H74" s="148"/>
      <c r="I74" s="151"/>
      <c r="J74" s="154" t="str" cm="1">
        <f t="array" ref="J74">IF(OR($D74="",$C74="",$H74="",$I74=""),"",IF(I74=K74,H74,(INDEX('Emission factors'!$K$3:$V$201,MATCH(D74&amp;E74,'Emission factors'!$J$3:$J$201&amp;'Emission factors'!$K$3:$K$201,0),MATCH(J$6,'Emission factors'!$K$2:$V$2,0)))*H74))</f>
        <v/>
      </c>
      <c r="K74" s="192" t="str">
        <f>IF(OR($D74="",$C74="",$H74="",$I74=""),"",INDEX('Emission factors'!$K$3:$V$201,MATCH('Buildings &amp; stationary assets'!$D74,'Emission factors'!$J$3:$J$201,0),MATCH($K$6,'Emission factors'!$K$2:$V$2,0)))</f>
        <v/>
      </c>
      <c r="L74" s="193" t="str" cm="1">
        <f t="array" ref="L74">IF(OR(D74="",H74="",BuildingsTable[[#This Row],[Units]]=""),"",INDEX('Emission factors'!$K$3:$V$201,MATCH('Buildings &amp; stationary assets'!$D74&amp;E74,'Emission factors'!$J$3:$J$201&amp;'Emission factors'!$K$3:$K$201,0),MATCH('Buildings &amp; stationary assets'!$L$6,'Emission factors'!$K$2:$V$2,0)))</f>
        <v/>
      </c>
      <c r="M74" s="287" t="str">
        <f>IF(OR(J74="",L74=""),"",SUM(BuildingsTable[[#This Row],[Direct]:[Indirect WTT]]))</f>
        <v/>
      </c>
      <c r="N74" s="150"/>
      <c r="O74" s="429"/>
      <c r="P74" s="288" t="str" cm="1">
        <f t="array" ref="P74">IF(OR($D74="",$H74=""),"",(INDEX('Emission factors'!$K$3:$V$201,MATCH('Buildings &amp; stationary assets'!$D74&amp;$E74,'Emission factors'!$J$3:$J$201&amp;'Emission factors'!$K$3:$K$201,0),MATCH('Buildings &amp; stationary assets'!P$6,'Emission factors'!$K$2:$V$2,0)))*$J74)</f>
        <v/>
      </c>
      <c r="Q74" s="288" t="str" cm="1">
        <f t="array" ref="Q74">IF(OR($D74="",$H74=""),"",(INDEX('Emission factors'!$K$3:$V$201,MATCH('Buildings &amp; stationary assets'!$D74&amp;$E74,'Emission factors'!$J$3:$J$201&amp;'Emission factors'!$K$3:$K$201,0),MATCH('Buildings &amp; stationary assets'!Q$6,'Emission factors'!$K$2:$V$2,0)))*$J74)</f>
        <v/>
      </c>
      <c r="R74" s="288" t="str" cm="1">
        <f t="array" ref="R74">IF(OR($D74="",$H74=""),"",(INDEX('Emission factors'!$K$3:$V$201,MATCH('Buildings &amp; stationary assets'!$D74&amp;$E74,'Emission factors'!$J$3:$J$201&amp;'Emission factors'!$K$3:$K$201,0),MATCH('Buildings &amp; stationary assets'!R$6,'Emission factors'!$K$2:$V$2,0)))*$J74)</f>
        <v/>
      </c>
      <c r="S74" s="288" t="str" cm="1">
        <f t="array" ref="S74">IF(OR($D74="",$H74=""),"",(INDEX('Emission factors'!$K$3:$V$201,MATCH('Buildings &amp; stationary assets'!$D74&amp;$E74,'Emission factors'!$J$3:$J$201&amp;'Emission factors'!$K$3:$K$201,0),MATCH('Buildings &amp; stationary assets'!S$6,'Emission factors'!$K$2:$V$2,0)))*$J74)</f>
        <v/>
      </c>
      <c r="T74" s="288" t="str" cm="1">
        <f t="array" ref="T74">IF(OR($D74="",$H74=""),"",(INDEX('Emission factors'!$K$3:$V$201,MATCH('Buildings &amp; stationary assets'!$D74&amp;$E74,'Emission factors'!$J$3:$J$201&amp;'Emission factors'!$K$3:$K$201,0),MATCH('Buildings &amp; stationary assets'!T$6,'Emission factors'!$K$2:$V$2,0)))*$J74)</f>
        <v/>
      </c>
      <c r="U74" s="289" t="str">
        <f>IF(OR($M74="",BuildingsTable[[#This Row],[RSD]]=""),"",BuildingsTable[[#This Row],[Total emissions (kgCO2e)]]*(1+BuildingsTable[[#This Row],[RSD]]))</f>
        <v/>
      </c>
      <c r="V74" s="290" t="str">
        <f>IF(OR($M74="",BuildingsTable[[#This Row],[RSD]]=""),"",BuildingsTable[[#This Row],[Total emissions (kgCO2e)]]*(1-BuildingsTable[[#This Row],[RSD]]))</f>
        <v/>
      </c>
      <c r="W74" s="430" t="str" cm="1">
        <f t="array" ref="W74">IF(OR($D74="",$H74=""),"",(INDEX('Emission factors'!$K$3:$V$201,MATCH('Buildings &amp; stationary assets'!$D74&amp;$E74,'Emission factors'!$J$3:$J$201&amp;'Emission factors'!$K$3:$K$201,0),MATCH('Buildings &amp; stationary assets'!W$6,'Emission factors'!$K$2:$V$2,0)))*$J74)</f>
        <v/>
      </c>
      <c r="X74" s="66"/>
      <c r="Y74" s="1" cm="1">
        <f t="array" ref="Y74">IF(OR(ISERROR(B74:W74)),1,0)</f>
        <v>0</v>
      </c>
      <c r="Z74" s="1">
        <f t="shared" si="1"/>
        <v>0</v>
      </c>
    </row>
    <row r="75" spans="1:26" s="1" customFormat="1" ht="15" outlineLevel="1" thickBot="1" x14ac:dyDescent="0.4">
      <c r="A75" s="189"/>
      <c r="B75" s="461"/>
      <c r="C75" s="155"/>
      <c r="D75" s="151"/>
      <c r="E75" s="151"/>
      <c r="F75" s="151"/>
      <c r="G75" s="187" t="str">
        <f>IF(F75="","",INDEX(Lists!$BA$4:$BC$31,MATCH(D75,Lists!$AZ$4:$AZ$31,0),MATCH(F75,Lists!$BA$3:$BC$3,0)))</f>
        <v/>
      </c>
      <c r="H75" s="148"/>
      <c r="I75" s="151"/>
      <c r="J75" s="154" t="str" cm="1">
        <f t="array" ref="J75">IF(OR($D75="",$C75="",$H75="",$I75=""),"",IF(I75=K75,H75,(INDEX('Emission factors'!$K$3:$V$201,MATCH(D75&amp;E75,'Emission factors'!$J$3:$J$201&amp;'Emission factors'!$K$3:$K$201,0),MATCH(J$6,'Emission factors'!$K$2:$V$2,0)))*H75))</f>
        <v/>
      </c>
      <c r="K75" s="192" t="str">
        <f>IF(OR($D75="",$C75="",$H75="",$I75=""),"",INDEX('Emission factors'!$K$3:$V$201,MATCH('Buildings &amp; stationary assets'!$D75,'Emission factors'!$J$3:$J$201,0),MATCH($K$6,'Emission factors'!$K$2:$V$2,0)))</f>
        <v/>
      </c>
      <c r="L75" s="193" t="str" cm="1">
        <f t="array" ref="L75">IF(OR(D75="",H75="",BuildingsTable[[#This Row],[Units]]=""),"",INDEX('Emission factors'!$K$3:$V$201,MATCH('Buildings &amp; stationary assets'!$D75&amp;E75,'Emission factors'!$J$3:$J$201&amp;'Emission factors'!$K$3:$K$201,0),MATCH('Buildings &amp; stationary assets'!$L$6,'Emission factors'!$K$2:$V$2,0)))</f>
        <v/>
      </c>
      <c r="M75" s="287" t="str">
        <f>IF(OR(J75="",L75=""),"",SUM(BuildingsTable[[#This Row],[Direct]:[Indirect WTT]]))</f>
        <v/>
      </c>
      <c r="N75" s="150"/>
      <c r="O75" s="429"/>
      <c r="P75" s="288" t="str" cm="1">
        <f t="array" ref="P75">IF(OR($D75="",$H75=""),"",(INDEX('Emission factors'!$K$3:$V$201,MATCH('Buildings &amp; stationary assets'!$D75&amp;$E75,'Emission factors'!$J$3:$J$201&amp;'Emission factors'!$K$3:$K$201,0),MATCH('Buildings &amp; stationary assets'!P$6,'Emission factors'!$K$2:$V$2,0)))*$J75)</f>
        <v/>
      </c>
      <c r="Q75" s="288" t="str" cm="1">
        <f t="array" ref="Q75">IF(OR($D75="",$H75=""),"",(INDEX('Emission factors'!$K$3:$V$201,MATCH('Buildings &amp; stationary assets'!$D75&amp;$E75,'Emission factors'!$J$3:$J$201&amp;'Emission factors'!$K$3:$K$201,0),MATCH('Buildings &amp; stationary assets'!Q$6,'Emission factors'!$K$2:$V$2,0)))*$J75)</f>
        <v/>
      </c>
      <c r="R75" s="288" t="str" cm="1">
        <f t="array" ref="R75">IF(OR($D75="",$H75=""),"",(INDEX('Emission factors'!$K$3:$V$201,MATCH('Buildings &amp; stationary assets'!$D75&amp;$E75,'Emission factors'!$J$3:$J$201&amp;'Emission factors'!$K$3:$K$201,0),MATCH('Buildings &amp; stationary assets'!R$6,'Emission factors'!$K$2:$V$2,0)))*$J75)</f>
        <v/>
      </c>
      <c r="S75" s="288" t="str" cm="1">
        <f t="array" ref="S75">IF(OR($D75="",$H75=""),"",(INDEX('Emission factors'!$K$3:$V$201,MATCH('Buildings &amp; stationary assets'!$D75&amp;$E75,'Emission factors'!$J$3:$J$201&amp;'Emission factors'!$K$3:$K$201,0),MATCH('Buildings &amp; stationary assets'!S$6,'Emission factors'!$K$2:$V$2,0)))*$J75)</f>
        <v/>
      </c>
      <c r="T75" s="288" t="str" cm="1">
        <f t="array" ref="T75">IF(OR($D75="",$H75=""),"",(INDEX('Emission factors'!$K$3:$V$201,MATCH('Buildings &amp; stationary assets'!$D75&amp;$E75,'Emission factors'!$J$3:$J$201&amp;'Emission factors'!$K$3:$K$201,0),MATCH('Buildings &amp; stationary assets'!T$6,'Emission factors'!$K$2:$V$2,0)))*$J75)</f>
        <v/>
      </c>
      <c r="U75" s="289" t="str">
        <f>IF(OR($M75="",BuildingsTable[[#This Row],[RSD]]=""),"",BuildingsTable[[#This Row],[Total emissions (kgCO2e)]]*(1+BuildingsTable[[#This Row],[RSD]]))</f>
        <v/>
      </c>
      <c r="V75" s="290" t="str">
        <f>IF(OR($M75="",BuildingsTable[[#This Row],[RSD]]=""),"",BuildingsTable[[#This Row],[Total emissions (kgCO2e)]]*(1-BuildingsTable[[#This Row],[RSD]]))</f>
        <v/>
      </c>
      <c r="W75" s="430" t="str" cm="1">
        <f t="array" ref="W75">IF(OR($D75="",$H75=""),"",(INDEX('Emission factors'!$K$3:$V$201,MATCH('Buildings &amp; stationary assets'!$D75&amp;$E75,'Emission factors'!$J$3:$J$201&amp;'Emission factors'!$K$3:$K$201,0),MATCH('Buildings &amp; stationary assets'!W$6,'Emission factors'!$K$2:$V$2,0)))*$J75)</f>
        <v/>
      </c>
      <c r="X75" s="66"/>
      <c r="Y75" s="1" cm="1">
        <f t="array" ref="Y75">IF(OR(ISERROR(B75:W75)),1,0)</f>
        <v>0</v>
      </c>
      <c r="Z75" s="1">
        <f t="shared" si="1"/>
        <v>0</v>
      </c>
    </row>
    <row r="76" spans="1:26" s="1" customFormat="1" ht="15" outlineLevel="1" thickBot="1" x14ac:dyDescent="0.4">
      <c r="A76" s="189"/>
      <c r="B76" s="461"/>
      <c r="C76" s="155"/>
      <c r="D76" s="151"/>
      <c r="E76" s="151"/>
      <c r="F76" s="151"/>
      <c r="G76" s="187" t="str">
        <f>IF(F76="","",INDEX(Lists!$BA$4:$BC$31,MATCH(D76,Lists!$AZ$4:$AZ$31,0),MATCH(F76,Lists!$BA$3:$BC$3,0)))</f>
        <v/>
      </c>
      <c r="H76" s="148"/>
      <c r="I76" s="151"/>
      <c r="J76" s="154" t="str" cm="1">
        <f t="array" ref="J76">IF(OR($D76="",$C76="",$H76="",$I76=""),"",IF(I76=K76,H76,(INDEX('Emission factors'!$K$3:$V$201,MATCH(D76&amp;E76,'Emission factors'!$J$3:$J$201&amp;'Emission factors'!$K$3:$K$201,0),MATCH(J$6,'Emission factors'!$K$2:$V$2,0)))*H76))</f>
        <v/>
      </c>
      <c r="K76" s="192" t="str">
        <f>IF(OR($D76="",$C76="",$H76="",$I76=""),"",INDEX('Emission factors'!$K$3:$V$201,MATCH('Buildings &amp; stationary assets'!$D76,'Emission factors'!$J$3:$J$201,0),MATCH($K$6,'Emission factors'!$K$2:$V$2,0)))</f>
        <v/>
      </c>
      <c r="L76" s="193" t="str" cm="1">
        <f t="array" ref="L76">IF(OR(D76="",H76="",BuildingsTable[[#This Row],[Units]]=""),"",INDEX('Emission factors'!$K$3:$V$201,MATCH('Buildings &amp; stationary assets'!$D76&amp;E76,'Emission factors'!$J$3:$J$201&amp;'Emission factors'!$K$3:$K$201,0),MATCH('Buildings &amp; stationary assets'!$L$6,'Emission factors'!$K$2:$V$2,0)))</f>
        <v/>
      </c>
      <c r="M76" s="287" t="str">
        <f>IF(OR(J76="",L76=""),"",SUM(BuildingsTable[[#This Row],[Direct]:[Indirect WTT]]))</f>
        <v/>
      </c>
      <c r="N76" s="150"/>
      <c r="O76" s="429"/>
      <c r="P76" s="288" t="str" cm="1">
        <f t="array" ref="P76">IF(OR($D76="",$H76=""),"",(INDEX('Emission factors'!$K$3:$V$201,MATCH('Buildings &amp; stationary assets'!$D76&amp;$E76,'Emission factors'!$J$3:$J$201&amp;'Emission factors'!$K$3:$K$201,0),MATCH('Buildings &amp; stationary assets'!P$6,'Emission factors'!$K$2:$V$2,0)))*$J76)</f>
        <v/>
      </c>
      <c r="Q76" s="288" t="str" cm="1">
        <f t="array" ref="Q76">IF(OR($D76="",$H76=""),"",(INDEX('Emission factors'!$K$3:$V$201,MATCH('Buildings &amp; stationary assets'!$D76&amp;$E76,'Emission factors'!$J$3:$J$201&amp;'Emission factors'!$K$3:$K$201,0),MATCH('Buildings &amp; stationary assets'!Q$6,'Emission factors'!$K$2:$V$2,0)))*$J76)</f>
        <v/>
      </c>
      <c r="R76" s="288" t="str" cm="1">
        <f t="array" ref="R76">IF(OR($D76="",$H76=""),"",(INDEX('Emission factors'!$K$3:$V$201,MATCH('Buildings &amp; stationary assets'!$D76&amp;$E76,'Emission factors'!$J$3:$J$201&amp;'Emission factors'!$K$3:$K$201,0),MATCH('Buildings &amp; stationary assets'!R$6,'Emission factors'!$K$2:$V$2,0)))*$J76)</f>
        <v/>
      </c>
      <c r="S76" s="288" t="str" cm="1">
        <f t="array" ref="S76">IF(OR($D76="",$H76=""),"",(INDEX('Emission factors'!$K$3:$V$201,MATCH('Buildings &amp; stationary assets'!$D76&amp;$E76,'Emission factors'!$J$3:$J$201&amp;'Emission factors'!$K$3:$K$201,0),MATCH('Buildings &amp; stationary assets'!S$6,'Emission factors'!$K$2:$V$2,0)))*$J76)</f>
        <v/>
      </c>
      <c r="T76" s="288" t="str" cm="1">
        <f t="array" ref="T76">IF(OR($D76="",$H76=""),"",(INDEX('Emission factors'!$K$3:$V$201,MATCH('Buildings &amp; stationary assets'!$D76&amp;$E76,'Emission factors'!$J$3:$J$201&amp;'Emission factors'!$K$3:$K$201,0),MATCH('Buildings &amp; stationary assets'!T$6,'Emission factors'!$K$2:$V$2,0)))*$J76)</f>
        <v/>
      </c>
      <c r="U76" s="289" t="str">
        <f>IF(OR($M76="",BuildingsTable[[#This Row],[RSD]]=""),"",BuildingsTable[[#This Row],[Total emissions (kgCO2e)]]*(1+BuildingsTable[[#This Row],[RSD]]))</f>
        <v/>
      </c>
      <c r="V76" s="290" t="str">
        <f>IF(OR($M76="",BuildingsTable[[#This Row],[RSD]]=""),"",BuildingsTable[[#This Row],[Total emissions (kgCO2e)]]*(1-BuildingsTable[[#This Row],[RSD]]))</f>
        <v/>
      </c>
      <c r="W76" s="430" t="str" cm="1">
        <f t="array" ref="W76">IF(OR($D76="",$H76=""),"",(INDEX('Emission factors'!$K$3:$V$201,MATCH('Buildings &amp; stationary assets'!$D76&amp;$E76,'Emission factors'!$J$3:$J$201&amp;'Emission factors'!$K$3:$K$201,0),MATCH('Buildings &amp; stationary assets'!W$6,'Emission factors'!$K$2:$V$2,0)))*$J76)</f>
        <v/>
      </c>
      <c r="X76" s="66"/>
      <c r="Y76" s="1" cm="1">
        <f t="array" ref="Y76">IF(OR(ISERROR(B76:W76)),1,0)</f>
        <v>0</v>
      </c>
      <c r="Z76" s="1">
        <f t="shared" si="1"/>
        <v>0</v>
      </c>
    </row>
    <row r="77" spans="1:26" s="1" customFormat="1" ht="15" outlineLevel="1" thickBot="1" x14ac:dyDescent="0.4">
      <c r="A77" s="189"/>
      <c r="B77" s="461"/>
      <c r="C77" s="155"/>
      <c r="D77" s="151"/>
      <c r="E77" s="151"/>
      <c r="F77" s="151"/>
      <c r="G77" s="187" t="str">
        <f>IF(F77="","",INDEX(Lists!$BA$4:$BC$31,MATCH(D77,Lists!$AZ$4:$AZ$31,0),MATCH(F77,Lists!$BA$3:$BC$3,0)))</f>
        <v/>
      </c>
      <c r="H77" s="148"/>
      <c r="I77" s="151"/>
      <c r="J77" s="154" t="str" cm="1">
        <f t="array" ref="J77">IF(OR($D77="",$C77="",$H77="",$I77=""),"",IF(I77=K77,H77,(INDEX('Emission factors'!$K$3:$V$201,MATCH(D77&amp;E77,'Emission factors'!$J$3:$J$201&amp;'Emission factors'!$K$3:$K$201,0),MATCH(J$6,'Emission factors'!$K$2:$V$2,0)))*H77))</f>
        <v/>
      </c>
      <c r="K77" s="192" t="str">
        <f>IF(OR($D77="",$C77="",$H77="",$I77=""),"",INDEX('Emission factors'!$K$3:$V$201,MATCH('Buildings &amp; stationary assets'!$D77,'Emission factors'!$J$3:$J$201,0),MATCH($K$6,'Emission factors'!$K$2:$V$2,0)))</f>
        <v/>
      </c>
      <c r="L77" s="193" t="str" cm="1">
        <f t="array" ref="L77">IF(OR(D77="",H77="",BuildingsTable[[#This Row],[Units]]=""),"",INDEX('Emission factors'!$K$3:$V$201,MATCH('Buildings &amp; stationary assets'!$D77&amp;E77,'Emission factors'!$J$3:$J$201&amp;'Emission factors'!$K$3:$K$201,0),MATCH('Buildings &amp; stationary assets'!$L$6,'Emission factors'!$K$2:$V$2,0)))</f>
        <v/>
      </c>
      <c r="M77" s="287" t="str">
        <f>IF(OR(J77="",L77=""),"",SUM(BuildingsTable[[#This Row],[Direct]:[Indirect WTT]]))</f>
        <v/>
      </c>
      <c r="N77" s="150"/>
      <c r="O77" s="429"/>
      <c r="P77" s="288" t="str" cm="1">
        <f t="array" ref="P77">IF(OR($D77="",$H77=""),"",(INDEX('Emission factors'!$K$3:$V$201,MATCH('Buildings &amp; stationary assets'!$D77&amp;$E77,'Emission factors'!$J$3:$J$201&amp;'Emission factors'!$K$3:$K$201,0),MATCH('Buildings &amp; stationary assets'!P$6,'Emission factors'!$K$2:$V$2,0)))*$J77)</f>
        <v/>
      </c>
      <c r="Q77" s="288" t="str" cm="1">
        <f t="array" ref="Q77">IF(OR($D77="",$H77=""),"",(INDEX('Emission factors'!$K$3:$V$201,MATCH('Buildings &amp; stationary assets'!$D77&amp;$E77,'Emission factors'!$J$3:$J$201&amp;'Emission factors'!$K$3:$K$201,0),MATCH('Buildings &amp; stationary assets'!Q$6,'Emission factors'!$K$2:$V$2,0)))*$J77)</f>
        <v/>
      </c>
      <c r="R77" s="288" t="str" cm="1">
        <f t="array" ref="R77">IF(OR($D77="",$H77=""),"",(INDEX('Emission factors'!$K$3:$V$201,MATCH('Buildings &amp; stationary assets'!$D77&amp;$E77,'Emission factors'!$J$3:$J$201&amp;'Emission factors'!$K$3:$K$201,0),MATCH('Buildings &amp; stationary assets'!R$6,'Emission factors'!$K$2:$V$2,0)))*$J77)</f>
        <v/>
      </c>
      <c r="S77" s="288" t="str" cm="1">
        <f t="array" ref="S77">IF(OR($D77="",$H77=""),"",(INDEX('Emission factors'!$K$3:$V$201,MATCH('Buildings &amp; stationary assets'!$D77&amp;$E77,'Emission factors'!$J$3:$J$201&amp;'Emission factors'!$K$3:$K$201,0),MATCH('Buildings &amp; stationary assets'!S$6,'Emission factors'!$K$2:$V$2,0)))*$J77)</f>
        <v/>
      </c>
      <c r="T77" s="288" t="str" cm="1">
        <f t="array" ref="T77">IF(OR($D77="",$H77=""),"",(INDEX('Emission factors'!$K$3:$V$201,MATCH('Buildings &amp; stationary assets'!$D77&amp;$E77,'Emission factors'!$J$3:$J$201&amp;'Emission factors'!$K$3:$K$201,0),MATCH('Buildings &amp; stationary assets'!T$6,'Emission factors'!$K$2:$V$2,0)))*$J77)</f>
        <v/>
      </c>
      <c r="U77" s="289" t="str">
        <f>IF(OR($M77="",BuildingsTable[[#This Row],[RSD]]=""),"",BuildingsTable[[#This Row],[Total emissions (kgCO2e)]]*(1+BuildingsTable[[#This Row],[RSD]]))</f>
        <v/>
      </c>
      <c r="V77" s="290" t="str">
        <f>IF(OR($M77="",BuildingsTable[[#This Row],[RSD]]=""),"",BuildingsTable[[#This Row],[Total emissions (kgCO2e)]]*(1-BuildingsTable[[#This Row],[RSD]]))</f>
        <v/>
      </c>
      <c r="W77" s="430" t="str" cm="1">
        <f t="array" ref="W77">IF(OR($D77="",$H77=""),"",(INDEX('Emission factors'!$K$3:$V$201,MATCH('Buildings &amp; stationary assets'!$D77&amp;$E77,'Emission factors'!$J$3:$J$201&amp;'Emission factors'!$K$3:$K$201,0),MATCH('Buildings &amp; stationary assets'!W$6,'Emission factors'!$K$2:$V$2,0)))*$J77)</f>
        <v/>
      </c>
      <c r="X77" s="66"/>
      <c r="Y77" s="1" cm="1">
        <f t="array" ref="Y77">IF(OR(ISERROR(B77:W77)),1,0)</f>
        <v>0</v>
      </c>
      <c r="Z77" s="1">
        <f t="shared" si="1"/>
        <v>0</v>
      </c>
    </row>
    <row r="78" spans="1:26" s="1" customFormat="1" ht="15" outlineLevel="1" thickBot="1" x14ac:dyDescent="0.4">
      <c r="A78" s="189"/>
      <c r="B78" s="461"/>
      <c r="C78" s="155"/>
      <c r="D78" s="151"/>
      <c r="E78" s="151"/>
      <c r="F78" s="151"/>
      <c r="G78" s="187" t="str">
        <f>IF(F78="","",INDEX(Lists!$BA$4:$BC$31,MATCH(D78,Lists!$AZ$4:$AZ$31,0),MATCH(F78,Lists!$BA$3:$BC$3,0)))</f>
        <v/>
      </c>
      <c r="H78" s="148"/>
      <c r="I78" s="151"/>
      <c r="J78" s="154" t="str" cm="1">
        <f t="array" ref="J78">IF(OR($D78="",$C78="",$H78="",$I78=""),"",IF(I78=K78,H78,(INDEX('Emission factors'!$K$3:$V$201,MATCH(D78&amp;E78,'Emission factors'!$J$3:$J$201&amp;'Emission factors'!$K$3:$K$201,0),MATCH(J$6,'Emission factors'!$K$2:$V$2,0)))*H78))</f>
        <v/>
      </c>
      <c r="K78" s="192" t="str">
        <f>IF(OR($D78="",$C78="",$H78="",$I78=""),"",INDEX('Emission factors'!$K$3:$V$201,MATCH('Buildings &amp; stationary assets'!$D78,'Emission factors'!$J$3:$J$201,0),MATCH($K$6,'Emission factors'!$K$2:$V$2,0)))</f>
        <v/>
      </c>
      <c r="L78" s="193" t="str" cm="1">
        <f t="array" ref="L78">IF(OR(D78="",H78="",BuildingsTable[[#This Row],[Units]]=""),"",INDEX('Emission factors'!$K$3:$V$201,MATCH('Buildings &amp; stationary assets'!$D78&amp;E78,'Emission factors'!$J$3:$J$201&amp;'Emission factors'!$K$3:$K$201,0),MATCH('Buildings &amp; stationary assets'!$L$6,'Emission factors'!$K$2:$V$2,0)))</f>
        <v/>
      </c>
      <c r="M78" s="287" t="str">
        <f>IF(OR(J78="",L78=""),"",SUM(BuildingsTable[[#This Row],[Direct]:[Indirect WTT]]))</f>
        <v/>
      </c>
      <c r="N78" s="150"/>
      <c r="O78" s="429"/>
      <c r="P78" s="288" t="str" cm="1">
        <f t="array" ref="P78">IF(OR($D78="",$H78=""),"",(INDEX('Emission factors'!$K$3:$V$201,MATCH('Buildings &amp; stationary assets'!$D78&amp;$E78,'Emission factors'!$J$3:$J$201&amp;'Emission factors'!$K$3:$K$201,0),MATCH('Buildings &amp; stationary assets'!P$6,'Emission factors'!$K$2:$V$2,0)))*$J78)</f>
        <v/>
      </c>
      <c r="Q78" s="288" t="str" cm="1">
        <f t="array" ref="Q78">IF(OR($D78="",$H78=""),"",(INDEX('Emission factors'!$K$3:$V$201,MATCH('Buildings &amp; stationary assets'!$D78&amp;$E78,'Emission factors'!$J$3:$J$201&amp;'Emission factors'!$K$3:$K$201,0),MATCH('Buildings &amp; stationary assets'!Q$6,'Emission factors'!$K$2:$V$2,0)))*$J78)</f>
        <v/>
      </c>
      <c r="R78" s="288" t="str" cm="1">
        <f t="array" ref="R78">IF(OR($D78="",$H78=""),"",(INDEX('Emission factors'!$K$3:$V$201,MATCH('Buildings &amp; stationary assets'!$D78&amp;$E78,'Emission factors'!$J$3:$J$201&amp;'Emission factors'!$K$3:$K$201,0),MATCH('Buildings &amp; stationary assets'!R$6,'Emission factors'!$K$2:$V$2,0)))*$J78)</f>
        <v/>
      </c>
      <c r="S78" s="288" t="str" cm="1">
        <f t="array" ref="S78">IF(OR($D78="",$H78=""),"",(INDEX('Emission factors'!$K$3:$V$201,MATCH('Buildings &amp; stationary assets'!$D78&amp;$E78,'Emission factors'!$J$3:$J$201&amp;'Emission factors'!$K$3:$K$201,0),MATCH('Buildings &amp; stationary assets'!S$6,'Emission factors'!$K$2:$V$2,0)))*$J78)</f>
        <v/>
      </c>
      <c r="T78" s="288" t="str" cm="1">
        <f t="array" ref="T78">IF(OR($D78="",$H78=""),"",(INDEX('Emission factors'!$K$3:$V$201,MATCH('Buildings &amp; stationary assets'!$D78&amp;$E78,'Emission factors'!$J$3:$J$201&amp;'Emission factors'!$K$3:$K$201,0),MATCH('Buildings &amp; stationary assets'!T$6,'Emission factors'!$K$2:$V$2,0)))*$J78)</f>
        <v/>
      </c>
      <c r="U78" s="289" t="str">
        <f>IF(OR($M78="",BuildingsTable[[#This Row],[RSD]]=""),"",BuildingsTable[[#This Row],[Total emissions (kgCO2e)]]*(1+BuildingsTable[[#This Row],[RSD]]))</f>
        <v/>
      </c>
      <c r="V78" s="290" t="str">
        <f>IF(OR($M78="",BuildingsTable[[#This Row],[RSD]]=""),"",BuildingsTable[[#This Row],[Total emissions (kgCO2e)]]*(1-BuildingsTable[[#This Row],[RSD]]))</f>
        <v/>
      </c>
      <c r="W78" s="430" t="str" cm="1">
        <f t="array" ref="W78">IF(OR($D78="",$H78=""),"",(INDEX('Emission factors'!$K$3:$V$201,MATCH('Buildings &amp; stationary assets'!$D78&amp;$E78,'Emission factors'!$J$3:$J$201&amp;'Emission factors'!$K$3:$K$201,0),MATCH('Buildings &amp; stationary assets'!W$6,'Emission factors'!$K$2:$V$2,0)))*$J78)</f>
        <v/>
      </c>
      <c r="X78" s="66"/>
      <c r="Y78" s="1" cm="1">
        <f t="array" ref="Y78">IF(OR(ISERROR(B78:W78)),1,0)</f>
        <v>0</v>
      </c>
      <c r="Z78" s="1">
        <f t="shared" si="1"/>
        <v>0</v>
      </c>
    </row>
    <row r="79" spans="1:26" s="1" customFormat="1" ht="15" outlineLevel="1" thickBot="1" x14ac:dyDescent="0.4">
      <c r="A79" s="189"/>
      <c r="B79" s="461"/>
      <c r="C79" s="155"/>
      <c r="D79" s="151"/>
      <c r="E79" s="151"/>
      <c r="F79" s="151"/>
      <c r="G79" s="187" t="str">
        <f>IF(F79="","",INDEX(Lists!$BA$4:$BC$31,MATCH(D79,Lists!$AZ$4:$AZ$31,0),MATCH(F79,Lists!$BA$3:$BC$3,0)))</f>
        <v/>
      </c>
      <c r="H79" s="148"/>
      <c r="I79" s="151"/>
      <c r="J79" s="154" t="str" cm="1">
        <f t="array" ref="J79">IF(OR($D79="",$C79="",$H79="",$I79=""),"",IF(I79=K79,H79,(INDEX('Emission factors'!$K$3:$V$201,MATCH(D79&amp;E79,'Emission factors'!$J$3:$J$201&amp;'Emission factors'!$K$3:$K$201,0),MATCH(J$6,'Emission factors'!$K$2:$V$2,0)))*H79))</f>
        <v/>
      </c>
      <c r="K79" s="192" t="str">
        <f>IF(OR($D79="",$C79="",$H79="",$I79=""),"",INDEX('Emission factors'!$K$3:$V$201,MATCH('Buildings &amp; stationary assets'!$D79,'Emission factors'!$J$3:$J$201,0),MATCH($K$6,'Emission factors'!$K$2:$V$2,0)))</f>
        <v/>
      </c>
      <c r="L79" s="193" t="str" cm="1">
        <f t="array" ref="L79">IF(OR(D79="",H79="",BuildingsTable[[#This Row],[Units]]=""),"",INDEX('Emission factors'!$K$3:$V$201,MATCH('Buildings &amp; stationary assets'!$D79&amp;E79,'Emission factors'!$J$3:$J$201&amp;'Emission factors'!$K$3:$K$201,0),MATCH('Buildings &amp; stationary assets'!$L$6,'Emission factors'!$K$2:$V$2,0)))</f>
        <v/>
      </c>
      <c r="M79" s="287" t="str">
        <f>IF(OR(J79="",L79=""),"",SUM(BuildingsTable[[#This Row],[Direct]:[Indirect WTT]]))</f>
        <v/>
      </c>
      <c r="N79" s="150"/>
      <c r="O79" s="429"/>
      <c r="P79" s="288" t="str" cm="1">
        <f t="array" ref="P79">IF(OR($D79="",$H79=""),"",(INDEX('Emission factors'!$K$3:$V$201,MATCH('Buildings &amp; stationary assets'!$D79&amp;$E79,'Emission factors'!$J$3:$J$201&amp;'Emission factors'!$K$3:$K$201,0),MATCH('Buildings &amp; stationary assets'!P$6,'Emission factors'!$K$2:$V$2,0)))*$J79)</f>
        <v/>
      </c>
      <c r="Q79" s="288" t="str" cm="1">
        <f t="array" ref="Q79">IF(OR($D79="",$H79=""),"",(INDEX('Emission factors'!$K$3:$V$201,MATCH('Buildings &amp; stationary assets'!$D79&amp;$E79,'Emission factors'!$J$3:$J$201&amp;'Emission factors'!$K$3:$K$201,0),MATCH('Buildings &amp; stationary assets'!Q$6,'Emission factors'!$K$2:$V$2,0)))*$J79)</f>
        <v/>
      </c>
      <c r="R79" s="288" t="str" cm="1">
        <f t="array" ref="R79">IF(OR($D79="",$H79=""),"",(INDEX('Emission factors'!$K$3:$V$201,MATCH('Buildings &amp; stationary assets'!$D79&amp;$E79,'Emission factors'!$J$3:$J$201&amp;'Emission factors'!$K$3:$K$201,0),MATCH('Buildings &amp; stationary assets'!R$6,'Emission factors'!$K$2:$V$2,0)))*$J79)</f>
        <v/>
      </c>
      <c r="S79" s="288" t="str" cm="1">
        <f t="array" ref="S79">IF(OR($D79="",$H79=""),"",(INDEX('Emission factors'!$K$3:$V$201,MATCH('Buildings &amp; stationary assets'!$D79&amp;$E79,'Emission factors'!$J$3:$J$201&amp;'Emission factors'!$K$3:$K$201,0),MATCH('Buildings &amp; stationary assets'!S$6,'Emission factors'!$K$2:$V$2,0)))*$J79)</f>
        <v/>
      </c>
      <c r="T79" s="288" t="str" cm="1">
        <f t="array" ref="T79">IF(OR($D79="",$H79=""),"",(INDEX('Emission factors'!$K$3:$V$201,MATCH('Buildings &amp; stationary assets'!$D79&amp;$E79,'Emission factors'!$J$3:$J$201&amp;'Emission factors'!$K$3:$K$201,0),MATCH('Buildings &amp; stationary assets'!T$6,'Emission factors'!$K$2:$V$2,0)))*$J79)</f>
        <v/>
      </c>
      <c r="U79" s="289" t="str">
        <f>IF(OR($M79="",BuildingsTable[[#This Row],[RSD]]=""),"",BuildingsTable[[#This Row],[Total emissions (kgCO2e)]]*(1+BuildingsTable[[#This Row],[RSD]]))</f>
        <v/>
      </c>
      <c r="V79" s="290" t="str">
        <f>IF(OR($M79="",BuildingsTable[[#This Row],[RSD]]=""),"",BuildingsTable[[#This Row],[Total emissions (kgCO2e)]]*(1-BuildingsTable[[#This Row],[RSD]]))</f>
        <v/>
      </c>
      <c r="W79" s="430" t="str" cm="1">
        <f t="array" ref="W79">IF(OR($D79="",$H79=""),"",(INDEX('Emission factors'!$K$3:$V$201,MATCH('Buildings &amp; stationary assets'!$D79&amp;$E79,'Emission factors'!$J$3:$J$201&amp;'Emission factors'!$K$3:$K$201,0),MATCH('Buildings &amp; stationary assets'!W$6,'Emission factors'!$K$2:$V$2,0)))*$J79)</f>
        <v/>
      </c>
      <c r="X79" s="66"/>
      <c r="Y79" s="1" cm="1">
        <f t="array" ref="Y79">IF(OR(ISERROR(B79:W79)),1,0)</f>
        <v>0</v>
      </c>
      <c r="Z79" s="1">
        <f t="shared" si="1"/>
        <v>0</v>
      </c>
    </row>
    <row r="80" spans="1:26" s="1" customFormat="1" ht="15" outlineLevel="1" thickBot="1" x14ac:dyDescent="0.4">
      <c r="A80" s="189"/>
      <c r="B80" s="461"/>
      <c r="C80" s="155"/>
      <c r="D80" s="151"/>
      <c r="E80" s="151"/>
      <c r="F80" s="151"/>
      <c r="G80" s="187" t="str">
        <f>IF(F80="","",INDEX(Lists!$BA$4:$BC$31,MATCH(D80,Lists!$AZ$4:$AZ$31,0),MATCH(F80,Lists!$BA$3:$BC$3,0)))</f>
        <v/>
      </c>
      <c r="H80" s="148"/>
      <c r="I80" s="151"/>
      <c r="J80" s="154" t="str" cm="1">
        <f t="array" ref="J80">IF(OR($D80="",$C80="",$H80="",$I80=""),"",IF(I80=K80,H80,(INDEX('Emission factors'!$K$3:$V$201,MATCH(D80&amp;E80,'Emission factors'!$J$3:$J$201&amp;'Emission factors'!$K$3:$K$201,0),MATCH(J$6,'Emission factors'!$K$2:$V$2,0)))*H80))</f>
        <v/>
      </c>
      <c r="K80" s="192" t="str">
        <f>IF(OR($D80="",$C80="",$H80="",$I80=""),"",INDEX('Emission factors'!$K$3:$V$201,MATCH('Buildings &amp; stationary assets'!$D80,'Emission factors'!$J$3:$J$201,0),MATCH($K$6,'Emission factors'!$K$2:$V$2,0)))</f>
        <v/>
      </c>
      <c r="L80" s="193" t="str" cm="1">
        <f t="array" ref="L80">IF(OR(D80="",H80="",BuildingsTable[[#This Row],[Units]]=""),"",INDEX('Emission factors'!$K$3:$V$201,MATCH('Buildings &amp; stationary assets'!$D80&amp;E80,'Emission factors'!$J$3:$J$201&amp;'Emission factors'!$K$3:$K$201,0),MATCH('Buildings &amp; stationary assets'!$L$6,'Emission factors'!$K$2:$V$2,0)))</f>
        <v/>
      </c>
      <c r="M80" s="287" t="str">
        <f>IF(OR(J80="",L80=""),"",SUM(BuildingsTable[[#This Row],[Direct]:[Indirect WTT]]))</f>
        <v/>
      </c>
      <c r="N80" s="150"/>
      <c r="O80" s="429"/>
      <c r="P80" s="288" t="str" cm="1">
        <f t="array" ref="P80">IF(OR($D80="",$H80=""),"",(INDEX('Emission factors'!$K$3:$V$201,MATCH('Buildings &amp; stationary assets'!$D80&amp;$E80,'Emission factors'!$J$3:$J$201&amp;'Emission factors'!$K$3:$K$201,0),MATCH('Buildings &amp; stationary assets'!P$6,'Emission factors'!$K$2:$V$2,0)))*$J80)</f>
        <v/>
      </c>
      <c r="Q80" s="288" t="str" cm="1">
        <f t="array" ref="Q80">IF(OR($D80="",$H80=""),"",(INDEX('Emission factors'!$K$3:$V$201,MATCH('Buildings &amp; stationary assets'!$D80&amp;$E80,'Emission factors'!$J$3:$J$201&amp;'Emission factors'!$K$3:$K$201,0),MATCH('Buildings &amp; stationary assets'!Q$6,'Emission factors'!$K$2:$V$2,0)))*$J80)</f>
        <v/>
      </c>
      <c r="R80" s="288" t="str" cm="1">
        <f t="array" ref="R80">IF(OR($D80="",$H80=""),"",(INDEX('Emission factors'!$K$3:$V$201,MATCH('Buildings &amp; stationary assets'!$D80&amp;$E80,'Emission factors'!$J$3:$J$201&amp;'Emission factors'!$K$3:$K$201,0),MATCH('Buildings &amp; stationary assets'!R$6,'Emission factors'!$K$2:$V$2,0)))*$J80)</f>
        <v/>
      </c>
      <c r="S80" s="288" t="str" cm="1">
        <f t="array" ref="S80">IF(OR($D80="",$H80=""),"",(INDEX('Emission factors'!$K$3:$V$201,MATCH('Buildings &amp; stationary assets'!$D80&amp;$E80,'Emission factors'!$J$3:$J$201&amp;'Emission factors'!$K$3:$K$201,0),MATCH('Buildings &amp; stationary assets'!S$6,'Emission factors'!$K$2:$V$2,0)))*$J80)</f>
        <v/>
      </c>
      <c r="T80" s="288" t="str" cm="1">
        <f t="array" ref="T80">IF(OR($D80="",$H80=""),"",(INDEX('Emission factors'!$K$3:$V$201,MATCH('Buildings &amp; stationary assets'!$D80&amp;$E80,'Emission factors'!$J$3:$J$201&amp;'Emission factors'!$K$3:$K$201,0),MATCH('Buildings &amp; stationary assets'!T$6,'Emission factors'!$K$2:$V$2,0)))*$J80)</f>
        <v/>
      </c>
      <c r="U80" s="289" t="str">
        <f>IF(OR($M80="",BuildingsTable[[#This Row],[RSD]]=""),"",BuildingsTable[[#This Row],[Total emissions (kgCO2e)]]*(1+BuildingsTable[[#This Row],[RSD]]))</f>
        <v/>
      </c>
      <c r="V80" s="290" t="str">
        <f>IF(OR($M80="",BuildingsTable[[#This Row],[RSD]]=""),"",BuildingsTable[[#This Row],[Total emissions (kgCO2e)]]*(1-BuildingsTable[[#This Row],[RSD]]))</f>
        <v/>
      </c>
      <c r="W80" s="430" t="str" cm="1">
        <f t="array" ref="W80">IF(OR($D80="",$H80=""),"",(INDEX('Emission factors'!$K$3:$V$201,MATCH('Buildings &amp; stationary assets'!$D80&amp;$E80,'Emission factors'!$J$3:$J$201&amp;'Emission factors'!$K$3:$K$201,0),MATCH('Buildings &amp; stationary assets'!W$6,'Emission factors'!$K$2:$V$2,0)))*$J80)</f>
        <v/>
      </c>
      <c r="X80" s="66"/>
      <c r="Y80" s="1" cm="1">
        <f t="array" ref="Y80">IF(OR(ISERROR(B80:W80)),1,0)</f>
        <v>0</v>
      </c>
      <c r="Z80" s="1">
        <f t="shared" si="1"/>
        <v>0</v>
      </c>
    </row>
    <row r="81" spans="1:26" s="1" customFormat="1" ht="15" outlineLevel="1" thickBot="1" x14ac:dyDescent="0.4">
      <c r="A81" s="189"/>
      <c r="B81" s="461"/>
      <c r="C81" s="155"/>
      <c r="D81" s="151"/>
      <c r="E81" s="151"/>
      <c r="F81" s="151"/>
      <c r="G81" s="187" t="str">
        <f>IF(F81="","",INDEX(Lists!$BA$4:$BC$31,MATCH(D81,Lists!$AZ$4:$AZ$31,0),MATCH(F81,Lists!$BA$3:$BC$3,0)))</f>
        <v/>
      </c>
      <c r="H81" s="148"/>
      <c r="I81" s="151"/>
      <c r="J81" s="154" t="str" cm="1">
        <f t="array" ref="J81">IF(OR($D81="",$C81="",$H81="",$I81=""),"",IF(I81=K81,H81,(INDEX('Emission factors'!$K$3:$V$201,MATCH(D81&amp;E81,'Emission factors'!$J$3:$J$201&amp;'Emission factors'!$K$3:$K$201,0),MATCH(J$6,'Emission factors'!$K$2:$V$2,0)))*H81))</f>
        <v/>
      </c>
      <c r="K81" s="192" t="str">
        <f>IF(OR($D81="",$C81="",$H81="",$I81=""),"",INDEX('Emission factors'!$K$3:$V$201,MATCH('Buildings &amp; stationary assets'!$D81,'Emission factors'!$J$3:$J$201,0),MATCH($K$6,'Emission factors'!$K$2:$V$2,0)))</f>
        <v/>
      </c>
      <c r="L81" s="193" t="str" cm="1">
        <f t="array" ref="L81">IF(OR(D81="",H81="",BuildingsTable[[#This Row],[Units]]=""),"",INDEX('Emission factors'!$K$3:$V$201,MATCH('Buildings &amp; stationary assets'!$D81&amp;E81,'Emission factors'!$J$3:$J$201&amp;'Emission factors'!$K$3:$K$201,0),MATCH('Buildings &amp; stationary assets'!$L$6,'Emission factors'!$K$2:$V$2,0)))</f>
        <v/>
      </c>
      <c r="M81" s="287" t="str">
        <f>IF(OR(J81="",L81=""),"",SUM(BuildingsTable[[#This Row],[Direct]:[Indirect WTT]]))</f>
        <v/>
      </c>
      <c r="N81" s="150"/>
      <c r="O81" s="429"/>
      <c r="P81" s="288" t="str" cm="1">
        <f t="array" ref="P81">IF(OR($D81="",$H81=""),"",(INDEX('Emission factors'!$K$3:$V$201,MATCH('Buildings &amp; stationary assets'!$D81&amp;$E81,'Emission factors'!$J$3:$J$201&amp;'Emission factors'!$K$3:$K$201,0),MATCH('Buildings &amp; stationary assets'!P$6,'Emission factors'!$K$2:$V$2,0)))*$J81)</f>
        <v/>
      </c>
      <c r="Q81" s="288" t="str" cm="1">
        <f t="array" ref="Q81">IF(OR($D81="",$H81=""),"",(INDEX('Emission factors'!$K$3:$V$201,MATCH('Buildings &amp; stationary assets'!$D81&amp;$E81,'Emission factors'!$J$3:$J$201&amp;'Emission factors'!$K$3:$K$201,0),MATCH('Buildings &amp; stationary assets'!Q$6,'Emission factors'!$K$2:$V$2,0)))*$J81)</f>
        <v/>
      </c>
      <c r="R81" s="288" t="str" cm="1">
        <f t="array" ref="R81">IF(OR($D81="",$H81=""),"",(INDEX('Emission factors'!$K$3:$V$201,MATCH('Buildings &amp; stationary assets'!$D81&amp;$E81,'Emission factors'!$J$3:$J$201&amp;'Emission factors'!$K$3:$K$201,0),MATCH('Buildings &amp; stationary assets'!R$6,'Emission factors'!$K$2:$V$2,0)))*$J81)</f>
        <v/>
      </c>
      <c r="S81" s="288" t="str" cm="1">
        <f t="array" ref="S81">IF(OR($D81="",$H81=""),"",(INDEX('Emission factors'!$K$3:$V$201,MATCH('Buildings &amp; stationary assets'!$D81&amp;$E81,'Emission factors'!$J$3:$J$201&amp;'Emission factors'!$K$3:$K$201,0),MATCH('Buildings &amp; stationary assets'!S$6,'Emission factors'!$K$2:$V$2,0)))*$J81)</f>
        <v/>
      </c>
      <c r="T81" s="288" t="str" cm="1">
        <f t="array" ref="T81">IF(OR($D81="",$H81=""),"",(INDEX('Emission factors'!$K$3:$V$201,MATCH('Buildings &amp; stationary assets'!$D81&amp;$E81,'Emission factors'!$J$3:$J$201&amp;'Emission factors'!$K$3:$K$201,0),MATCH('Buildings &amp; stationary assets'!T$6,'Emission factors'!$K$2:$V$2,0)))*$J81)</f>
        <v/>
      </c>
      <c r="U81" s="289" t="str">
        <f>IF(OR($M81="",BuildingsTable[[#This Row],[RSD]]=""),"",BuildingsTable[[#This Row],[Total emissions (kgCO2e)]]*(1+BuildingsTable[[#This Row],[RSD]]))</f>
        <v/>
      </c>
      <c r="V81" s="290" t="str">
        <f>IF(OR($M81="",BuildingsTable[[#This Row],[RSD]]=""),"",BuildingsTable[[#This Row],[Total emissions (kgCO2e)]]*(1-BuildingsTable[[#This Row],[RSD]]))</f>
        <v/>
      </c>
      <c r="W81" s="430" t="str" cm="1">
        <f t="array" ref="W81">IF(OR($D81="",$H81=""),"",(INDEX('Emission factors'!$K$3:$V$201,MATCH('Buildings &amp; stationary assets'!$D81&amp;$E81,'Emission factors'!$J$3:$J$201&amp;'Emission factors'!$K$3:$K$201,0),MATCH('Buildings &amp; stationary assets'!W$6,'Emission factors'!$K$2:$V$2,0)))*$J81)</f>
        <v/>
      </c>
      <c r="X81" s="66"/>
      <c r="Y81" s="1" cm="1">
        <f t="array" ref="Y81">IF(OR(ISERROR(B81:W81)),1,0)</f>
        <v>0</v>
      </c>
      <c r="Z81" s="1">
        <f t="shared" si="1"/>
        <v>0</v>
      </c>
    </row>
    <row r="82" spans="1:26" s="1" customFormat="1" ht="15" outlineLevel="1" thickBot="1" x14ac:dyDescent="0.4">
      <c r="A82" s="189"/>
      <c r="B82" s="461"/>
      <c r="C82" s="155"/>
      <c r="D82" s="151"/>
      <c r="E82" s="151"/>
      <c r="F82" s="151"/>
      <c r="G82" s="187" t="str">
        <f>IF(F82="","",INDEX(Lists!$BA$4:$BC$31,MATCH(D82,Lists!$AZ$4:$AZ$31,0),MATCH(F82,Lists!$BA$3:$BC$3,0)))</f>
        <v/>
      </c>
      <c r="H82" s="148"/>
      <c r="I82" s="151"/>
      <c r="J82" s="154" t="str" cm="1">
        <f t="array" ref="J82">IF(OR($D82="",$C82="",$H82="",$I82=""),"",IF(I82=K82,H82,(INDEX('Emission factors'!$K$3:$V$201,MATCH(D82&amp;E82,'Emission factors'!$J$3:$J$201&amp;'Emission factors'!$K$3:$K$201,0),MATCH(J$6,'Emission factors'!$K$2:$V$2,0)))*H82))</f>
        <v/>
      </c>
      <c r="K82" s="192" t="str">
        <f>IF(OR($D82="",$C82="",$H82="",$I82=""),"",INDEX('Emission factors'!$K$3:$V$201,MATCH('Buildings &amp; stationary assets'!$D82,'Emission factors'!$J$3:$J$201,0),MATCH($K$6,'Emission factors'!$K$2:$V$2,0)))</f>
        <v/>
      </c>
      <c r="L82" s="193" t="str" cm="1">
        <f t="array" ref="L82">IF(OR(D82="",H82="",BuildingsTable[[#This Row],[Units]]=""),"",INDEX('Emission factors'!$K$3:$V$201,MATCH('Buildings &amp; stationary assets'!$D82&amp;E82,'Emission factors'!$J$3:$J$201&amp;'Emission factors'!$K$3:$K$201,0),MATCH('Buildings &amp; stationary assets'!$L$6,'Emission factors'!$K$2:$V$2,0)))</f>
        <v/>
      </c>
      <c r="M82" s="287" t="str">
        <f>IF(OR(J82="",L82=""),"",SUM(BuildingsTable[[#This Row],[Direct]:[Indirect WTT]]))</f>
        <v/>
      </c>
      <c r="N82" s="150"/>
      <c r="O82" s="429"/>
      <c r="P82" s="288" t="str" cm="1">
        <f t="array" ref="P82">IF(OR($D82="",$H82=""),"",(INDEX('Emission factors'!$K$3:$V$201,MATCH('Buildings &amp; stationary assets'!$D82&amp;$E82,'Emission factors'!$J$3:$J$201&amp;'Emission factors'!$K$3:$K$201,0),MATCH('Buildings &amp; stationary assets'!P$6,'Emission factors'!$K$2:$V$2,0)))*$J82)</f>
        <v/>
      </c>
      <c r="Q82" s="288" t="str" cm="1">
        <f t="array" ref="Q82">IF(OR($D82="",$H82=""),"",(INDEX('Emission factors'!$K$3:$V$201,MATCH('Buildings &amp; stationary assets'!$D82&amp;$E82,'Emission factors'!$J$3:$J$201&amp;'Emission factors'!$K$3:$K$201,0),MATCH('Buildings &amp; stationary assets'!Q$6,'Emission factors'!$K$2:$V$2,0)))*$J82)</f>
        <v/>
      </c>
      <c r="R82" s="288" t="str" cm="1">
        <f t="array" ref="R82">IF(OR($D82="",$H82=""),"",(INDEX('Emission factors'!$K$3:$V$201,MATCH('Buildings &amp; stationary assets'!$D82&amp;$E82,'Emission factors'!$J$3:$J$201&amp;'Emission factors'!$K$3:$K$201,0),MATCH('Buildings &amp; stationary assets'!R$6,'Emission factors'!$K$2:$V$2,0)))*$J82)</f>
        <v/>
      </c>
      <c r="S82" s="288" t="str" cm="1">
        <f t="array" ref="S82">IF(OR($D82="",$H82=""),"",(INDEX('Emission factors'!$K$3:$V$201,MATCH('Buildings &amp; stationary assets'!$D82&amp;$E82,'Emission factors'!$J$3:$J$201&amp;'Emission factors'!$K$3:$K$201,0),MATCH('Buildings &amp; stationary assets'!S$6,'Emission factors'!$K$2:$V$2,0)))*$J82)</f>
        <v/>
      </c>
      <c r="T82" s="288" t="str" cm="1">
        <f t="array" ref="T82">IF(OR($D82="",$H82=""),"",(INDEX('Emission factors'!$K$3:$V$201,MATCH('Buildings &amp; stationary assets'!$D82&amp;$E82,'Emission factors'!$J$3:$J$201&amp;'Emission factors'!$K$3:$K$201,0),MATCH('Buildings &amp; stationary assets'!T$6,'Emission factors'!$K$2:$V$2,0)))*$J82)</f>
        <v/>
      </c>
      <c r="U82" s="289" t="str">
        <f>IF(OR($M82="",BuildingsTable[[#This Row],[RSD]]=""),"",BuildingsTable[[#This Row],[Total emissions (kgCO2e)]]*(1+BuildingsTable[[#This Row],[RSD]]))</f>
        <v/>
      </c>
      <c r="V82" s="290" t="str">
        <f>IF(OR($M82="",BuildingsTable[[#This Row],[RSD]]=""),"",BuildingsTable[[#This Row],[Total emissions (kgCO2e)]]*(1-BuildingsTable[[#This Row],[RSD]]))</f>
        <v/>
      </c>
      <c r="W82" s="430" t="str" cm="1">
        <f t="array" ref="W82">IF(OR($D82="",$H82=""),"",(INDEX('Emission factors'!$K$3:$V$201,MATCH('Buildings &amp; stationary assets'!$D82&amp;$E82,'Emission factors'!$J$3:$J$201&amp;'Emission factors'!$K$3:$K$201,0),MATCH('Buildings &amp; stationary assets'!W$6,'Emission factors'!$K$2:$V$2,0)))*$J82)</f>
        <v/>
      </c>
      <c r="X82" s="66"/>
      <c r="Y82" s="1" cm="1">
        <f t="array" ref="Y82">IF(OR(ISERROR(B82:W82)),1,0)</f>
        <v>0</v>
      </c>
      <c r="Z82" s="1">
        <f t="shared" si="1"/>
        <v>0</v>
      </c>
    </row>
    <row r="83" spans="1:26" s="1" customFormat="1" ht="15" outlineLevel="1" thickBot="1" x14ac:dyDescent="0.4">
      <c r="A83" s="189"/>
      <c r="B83" s="461"/>
      <c r="C83" s="155"/>
      <c r="D83" s="151"/>
      <c r="E83" s="151"/>
      <c r="F83" s="151"/>
      <c r="G83" s="187" t="str">
        <f>IF(F83="","",INDEX(Lists!$BA$4:$BC$31,MATCH(D83,Lists!$AZ$4:$AZ$31,0),MATCH(F83,Lists!$BA$3:$BC$3,0)))</f>
        <v/>
      </c>
      <c r="H83" s="148"/>
      <c r="I83" s="151"/>
      <c r="J83" s="154" t="str" cm="1">
        <f t="array" ref="J83">IF(OR($D83="",$C83="",$H83="",$I83=""),"",IF(I83=K83,H83,(INDEX('Emission factors'!$K$3:$V$201,MATCH(D83&amp;E83,'Emission factors'!$J$3:$J$201&amp;'Emission factors'!$K$3:$K$201,0),MATCH(J$6,'Emission factors'!$K$2:$V$2,0)))*H83))</f>
        <v/>
      </c>
      <c r="K83" s="192" t="str">
        <f>IF(OR($D83="",$C83="",$H83="",$I83=""),"",INDEX('Emission factors'!$K$3:$V$201,MATCH('Buildings &amp; stationary assets'!$D83,'Emission factors'!$J$3:$J$201,0),MATCH($K$6,'Emission factors'!$K$2:$V$2,0)))</f>
        <v/>
      </c>
      <c r="L83" s="193" t="str" cm="1">
        <f t="array" ref="L83">IF(OR(D83="",H83="",BuildingsTable[[#This Row],[Units]]=""),"",INDEX('Emission factors'!$K$3:$V$201,MATCH('Buildings &amp; stationary assets'!$D83&amp;E83,'Emission factors'!$J$3:$J$201&amp;'Emission factors'!$K$3:$K$201,0),MATCH('Buildings &amp; stationary assets'!$L$6,'Emission factors'!$K$2:$V$2,0)))</f>
        <v/>
      </c>
      <c r="M83" s="287" t="str">
        <f>IF(OR(J83="",L83=""),"",SUM(BuildingsTable[[#This Row],[Direct]:[Indirect WTT]]))</f>
        <v/>
      </c>
      <c r="N83" s="150"/>
      <c r="O83" s="429"/>
      <c r="P83" s="288" t="str" cm="1">
        <f t="array" ref="P83">IF(OR($D83="",$H83=""),"",(INDEX('Emission factors'!$K$3:$V$201,MATCH('Buildings &amp; stationary assets'!$D83&amp;$E83,'Emission factors'!$J$3:$J$201&amp;'Emission factors'!$K$3:$K$201,0),MATCH('Buildings &amp; stationary assets'!P$6,'Emission factors'!$K$2:$V$2,0)))*$J83)</f>
        <v/>
      </c>
      <c r="Q83" s="288" t="str" cm="1">
        <f t="array" ref="Q83">IF(OR($D83="",$H83=""),"",(INDEX('Emission factors'!$K$3:$V$201,MATCH('Buildings &amp; stationary assets'!$D83&amp;$E83,'Emission factors'!$J$3:$J$201&amp;'Emission factors'!$K$3:$K$201,0),MATCH('Buildings &amp; stationary assets'!Q$6,'Emission factors'!$K$2:$V$2,0)))*$J83)</f>
        <v/>
      </c>
      <c r="R83" s="288" t="str" cm="1">
        <f t="array" ref="R83">IF(OR($D83="",$H83=""),"",(INDEX('Emission factors'!$K$3:$V$201,MATCH('Buildings &amp; stationary assets'!$D83&amp;$E83,'Emission factors'!$J$3:$J$201&amp;'Emission factors'!$K$3:$K$201,0),MATCH('Buildings &amp; stationary assets'!R$6,'Emission factors'!$K$2:$V$2,0)))*$J83)</f>
        <v/>
      </c>
      <c r="S83" s="288" t="str" cm="1">
        <f t="array" ref="S83">IF(OR($D83="",$H83=""),"",(INDEX('Emission factors'!$K$3:$V$201,MATCH('Buildings &amp; stationary assets'!$D83&amp;$E83,'Emission factors'!$J$3:$J$201&amp;'Emission factors'!$K$3:$K$201,0),MATCH('Buildings &amp; stationary assets'!S$6,'Emission factors'!$K$2:$V$2,0)))*$J83)</f>
        <v/>
      </c>
      <c r="T83" s="288" t="str" cm="1">
        <f t="array" ref="T83">IF(OR($D83="",$H83=""),"",(INDEX('Emission factors'!$K$3:$V$201,MATCH('Buildings &amp; stationary assets'!$D83&amp;$E83,'Emission factors'!$J$3:$J$201&amp;'Emission factors'!$K$3:$K$201,0),MATCH('Buildings &amp; stationary assets'!T$6,'Emission factors'!$K$2:$V$2,0)))*$J83)</f>
        <v/>
      </c>
      <c r="U83" s="289" t="str">
        <f>IF(OR($M83="",BuildingsTable[[#This Row],[RSD]]=""),"",BuildingsTable[[#This Row],[Total emissions (kgCO2e)]]*(1+BuildingsTable[[#This Row],[RSD]]))</f>
        <v/>
      </c>
      <c r="V83" s="290" t="str">
        <f>IF(OR($M83="",BuildingsTable[[#This Row],[RSD]]=""),"",BuildingsTable[[#This Row],[Total emissions (kgCO2e)]]*(1-BuildingsTable[[#This Row],[RSD]]))</f>
        <v/>
      </c>
      <c r="W83" s="430" t="str" cm="1">
        <f t="array" ref="W83">IF(OR($D83="",$H83=""),"",(INDEX('Emission factors'!$K$3:$V$201,MATCH('Buildings &amp; stationary assets'!$D83&amp;$E83,'Emission factors'!$J$3:$J$201&amp;'Emission factors'!$K$3:$K$201,0),MATCH('Buildings &amp; stationary assets'!W$6,'Emission factors'!$K$2:$V$2,0)))*$J83)</f>
        <v/>
      </c>
      <c r="X83" s="66"/>
      <c r="Y83" s="1" cm="1">
        <f t="array" ref="Y83">IF(OR(ISERROR(B83:W83)),1,0)</f>
        <v>0</v>
      </c>
      <c r="Z83" s="1">
        <f t="shared" si="1"/>
        <v>0</v>
      </c>
    </row>
    <row r="84" spans="1:26" s="1" customFormat="1" ht="15" outlineLevel="1" thickBot="1" x14ac:dyDescent="0.4">
      <c r="A84" s="189"/>
      <c r="B84" s="461"/>
      <c r="C84" s="155"/>
      <c r="D84" s="151"/>
      <c r="E84" s="151"/>
      <c r="F84" s="151"/>
      <c r="G84" s="187" t="str">
        <f>IF(F84="","",INDEX(Lists!$BA$4:$BC$31,MATCH(D84,Lists!$AZ$4:$AZ$31,0),MATCH(F84,Lists!$BA$3:$BC$3,0)))</f>
        <v/>
      </c>
      <c r="H84" s="148"/>
      <c r="I84" s="151"/>
      <c r="J84" s="154" t="str" cm="1">
        <f t="array" ref="J84">IF(OR($D84="",$C84="",$H84="",$I84=""),"",IF(I84=K84,H84,(INDEX('Emission factors'!$K$3:$V$201,MATCH(D84&amp;E84,'Emission factors'!$J$3:$J$201&amp;'Emission factors'!$K$3:$K$201,0),MATCH(J$6,'Emission factors'!$K$2:$V$2,0)))*H84))</f>
        <v/>
      </c>
      <c r="K84" s="192" t="str">
        <f>IF(OR($D84="",$C84="",$H84="",$I84=""),"",INDEX('Emission factors'!$K$3:$V$201,MATCH('Buildings &amp; stationary assets'!$D84,'Emission factors'!$J$3:$J$201,0),MATCH($K$6,'Emission factors'!$K$2:$V$2,0)))</f>
        <v/>
      </c>
      <c r="L84" s="193" t="str" cm="1">
        <f t="array" ref="L84">IF(OR(D84="",H84="",BuildingsTable[[#This Row],[Units]]=""),"",INDEX('Emission factors'!$K$3:$V$201,MATCH('Buildings &amp; stationary assets'!$D84&amp;E84,'Emission factors'!$J$3:$J$201&amp;'Emission factors'!$K$3:$K$201,0),MATCH('Buildings &amp; stationary assets'!$L$6,'Emission factors'!$K$2:$V$2,0)))</f>
        <v/>
      </c>
      <c r="M84" s="287" t="str">
        <f>IF(OR(J84="",L84=""),"",SUM(BuildingsTable[[#This Row],[Direct]:[Indirect WTT]]))</f>
        <v/>
      </c>
      <c r="N84" s="150"/>
      <c r="O84" s="429"/>
      <c r="P84" s="288" t="str" cm="1">
        <f t="array" ref="P84">IF(OR($D84="",$H84=""),"",(INDEX('Emission factors'!$K$3:$V$201,MATCH('Buildings &amp; stationary assets'!$D84&amp;$E84,'Emission factors'!$J$3:$J$201&amp;'Emission factors'!$K$3:$K$201,0),MATCH('Buildings &amp; stationary assets'!P$6,'Emission factors'!$K$2:$V$2,0)))*$J84)</f>
        <v/>
      </c>
      <c r="Q84" s="288" t="str" cm="1">
        <f t="array" ref="Q84">IF(OR($D84="",$H84=""),"",(INDEX('Emission factors'!$K$3:$V$201,MATCH('Buildings &amp; stationary assets'!$D84&amp;$E84,'Emission factors'!$J$3:$J$201&amp;'Emission factors'!$K$3:$K$201,0),MATCH('Buildings &amp; stationary assets'!Q$6,'Emission factors'!$K$2:$V$2,0)))*$J84)</f>
        <v/>
      </c>
      <c r="R84" s="288" t="str" cm="1">
        <f t="array" ref="R84">IF(OR($D84="",$H84=""),"",(INDEX('Emission factors'!$K$3:$V$201,MATCH('Buildings &amp; stationary assets'!$D84&amp;$E84,'Emission factors'!$J$3:$J$201&amp;'Emission factors'!$K$3:$K$201,0),MATCH('Buildings &amp; stationary assets'!R$6,'Emission factors'!$K$2:$V$2,0)))*$J84)</f>
        <v/>
      </c>
      <c r="S84" s="288" t="str" cm="1">
        <f t="array" ref="S84">IF(OR($D84="",$H84=""),"",(INDEX('Emission factors'!$K$3:$V$201,MATCH('Buildings &amp; stationary assets'!$D84&amp;$E84,'Emission factors'!$J$3:$J$201&amp;'Emission factors'!$K$3:$K$201,0),MATCH('Buildings &amp; stationary assets'!S$6,'Emission factors'!$K$2:$V$2,0)))*$J84)</f>
        <v/>
      </c>
      <c r="T84" s="288" t="str" cm="1">
        <f t="array" ref="T84">IF(OR($D84="",$H84=""),"",(INDEX('Emission factors'!$K$3:$V$201,MATCH('Buildings &amp; stationary assets'!$D84&amp;$E84,'Emission factors'!$J$3:$J$201&amp;'Emission factors'!$K$3:$K$201,0),MATCH('Buildings &amp; stationary assets'!T$6,'Emission factors'!$K$2:$V$2,0)))*$J84)</f>
        <v/>
      </c>
      <c r="U84" s="289" t="str">
        <f>IF(OR($M84="",BuildingsTable[[#This Row],[RSD]]=""),"",BuildingsTable[[#This Row],[Total emissions (kgCO2e)]]*(1+BuildingsTable[[#This Row],[RSD]]))</f>
        <v/>
      </c>
      <c r="V84" s="290" t="str">
        <f>IF(OR($M84="",BuildingsTable[[#This Row],[RSD]]=""),"",BuildingsTable[[#This Row],[Total emissions (kgCO2e)]]*(1-BuildingsTable[[#This Row],[RSD]]))</f>
        <v/>
      </c>
      <c r="W84" s="430" t="str" cm="1">
        <f t="array" ref="W84">IF(OR($D84="",$H84=""),"",(INDEX('Emission factors'!$K$3:$V$201,MATCH('Buildings &amp; stationary assets'!$D84&amp;$E84,'Emission factors'!$J$3:$J$201&amp;'Emission factors'!$K$3:$K$201,0),MATCH('Buildings &amp; stationary assets'!W$6,'Emission factors'!$K$2:$V$2,0)))*$J84)</f>
        <v/>
      </c>
      <c r="X84" s="66"/>
      <c r="Y84" s="1" cm="1">
        <f t="array" ref="Y84">IF(OR(ISERROR(B84:W84)),1,0)</f>
        <v>0</v>
      </c>
      <c r="Z84" s="1">
        <f t="shared" si="1"/>
        <v>0</v>
      </c>
    </row>
    <row r="85" spans="1:26" s="1" customFormat="1" ht="15" outlineLevel="1" thickBot="1" x14ac:dyDescent="0.4">
      <c r="A85" s="189"/>
      <c r="B85" s="461"/>
      <c r="C85" s="155"/>
      <c r="D85" s="151"/>
      <c r="E85" s="151"/>
      <c r="F85" s="151"/>
      <c r="G85" s="187" t="str">
        <f>IF(F85="","",INDEX(Lists!$BA$4:$BC$31,MATCH(D85,Lists!$AZ$4:$AZ$31,0),MATCH(F85,Lists!$BA$3:$BC$3,0)))</f>
        <v/>
      </c>
      <c r="H85" s="148"/>
      <c r="I85" s="151"/>
      <c r="J85" s="154" t="str" cm="1">
        <f t="array" ref="J85">IF(OR($D85="",$C85="",$H85="",$I85=""),"",IF(I85=K85,H85,(INDEX('Emission factors'!$K$3:$V$201,MATCH(D85&amp;E85,'Emission factors'!$J$3:$J$201&amp;'Emission factors'!$K$3:$K$201,0),MATCH(J$6,'Emission factors'!$K$2:$V$2,0)))*H85))</f>
        <v/>
      </c>
      <c r="K85" s="192" t="str">
        <f>IF(OR($D85="",$C85="",$H85="",$I85=""),"",INDEX('Emission factors'!$K$3:$V$201,MATCH('Buildings &amp; stationary assets'!$D85,'Emission factors'!$J$3:$J$201,0),MATCH($K$6,'Emission factors'!$K$2:$V$2,0)))</f>
        <v/>
      </c>
      <c r="L85" s="193" t="str" cm="1">
        <f t="array" ref="L85">IF(OR(D85="",H85="",BuildingsTable[[#This Row],[Units]]=""),"",INDEX('Emission factors'!$K$3:$V$201,MATCH('Buildings &amp; stationary assets'!$D85&amp;E85,'Emission factors'!$J$3:$J$201&amp;'Emission factors'!$K$3:$K$201,0),MATCH('Buildings &amp; stationary assets'!$L$6,'Emission factors'!$K$2:$V$2,0)))</f>
        <v/>
      </c>
      <c r="M85" s="287" t="str">
        <f>IF(OR(J85="",L85=""),"",SUM(BuildingsTable[[#This Row],[Direct]:[Indirect WTT]]))</f>
        <v/>
      </c>
      <c r="N85" s="150"/>
      <c r="O85" s="151"/>
      <c r="P85" s="288" t="str" cm="1">
        <f t="array" ref="P85">IF(OR($D85="",$H85=""),"",(INDEX('Emission factors'!$K$3:$V$201,MATCH('Buildings &amp; stationary assets'!$D85&amp;$E85,'Emission factors'!$J$3:$J$201&amp;'Emission factors'!$K$3:$K$201,0),MATCH('Buildings &amp; stationary assets'!P$6,'Emission factors'!$K$2:$V$2,0)))*$J85)</f>
        <v/>
      </c>
      <c r="Q85" s="288" t="str" cm="1">
        <f t="array" ref="Q85">IF(OR($D85="",$H85=""),"",(INDEX('Emission factors'!$K$3:$V$201,MATCH('Buildings &amp; stationary assets'!$D85&amp;$E85,'Emission factors'!$J$3:$J$201&amp;'Emission factors'!$K$3:$K$201,0),MATCH('Buildings &amp; stationary assets'!Q$6,'Emission factors'!$K$2:$V$2,0)))*$J85)</f>
        <v/>
      </c>
      <c r="R85" s="288" t="str" cm="1">
        <f t="array" ref="R85">IF(OR($D85="",$H85=""),"",(INDEX('Emission factors'!$K$3:$V$201,MATCH('Buildings &amp; stationary assets'!$D85&amp;$E85,'Emission factors'!$J$3:$J$201&amp;'Emission factors'!$K$3:$K$201,0),MATCH('Buildings &amp; stationary assets'!R$6,'Emission factors'!$K$2:$V$2,0)))*$J85)</f>
        <v/>
      </c>
      <c r="S85" s="288" t="str" cm="1">
        <f t="array" ref="S85">IF(OR($D85="",$H85=""),"",(INDEX('Emission factors'!$K$3:$V$201,MATCH('Buildings &amp; stationary assets'!$D85&amp;$E85,'Emission factors'!$J$3:$J$201&amp;'Emission factors'!$K$3:$K$201,0),MATCH('Buildings &amp; stationary assets'!S$6,'Emission factors'!$K$2:$V$2,0)))*$J85)</f>
        <v/>
      </c>
      <c r="T85" s="288" t="str" cm="1">
        <f t="array" ref="T85">IF(OR($D85="",$H85=""),"",(INDEX('Emission factors'!$K$3:$V$201,MATCH('Buildings &amp; stationary assets'!$D85&amp;$E85,'Emission factors'!$J$3:$J$201&amp;'Emission factors'!$K$3:$K$201,0),MATCH('Buildings &amp; stationary assets'!T$6,'Emission factors'!$K$2:$V$2,0)))*$J85)</f>
        <v/>
      </c>
      <c r="U85" s="289" t="str">
        <f>IF(OR($M85="",BuildingsTable[[#This Row],[RSD]]=""),"",BuildingsTable[[#This Row],[Total emissions (kgCO2e)]]*(1+BuildingsTable[[#This Row],[RSD]]))</f>
        <v/>
      </c>
      <c r="V85" s="290" t="str">
        <f>IF(OR($M85="",BuildingsTable[[#This Row],[RSD]]=""),"",BuildingsTable[[#This Row],[Total emissions (kgCO2e)]]*(1-BuildingsTable[[#This Row],[RSD]]))</f>
        <v/>
      </c>
      <c r="W85" s="320" t="str" cm="1">
        <f t="array" ref="W85">IF(OR($D85="",$H85=""),"",(INDEX('Emission factors'!$K$3:$V$201,MATCH('Buildings &amp; stationary assets'!$D85&amp;$E85,'Emission factors'!$J$3:$J$201&amp;'Emission factors'!$K$3:$K$201,0),MATCH('Buildings &amp; stationary assets'!W$6,'Emission factors'!$K$2:$V$2,0)))*$J85)</f>
        <v/>
      </c>
      <c r="X85" s="66"/>
      <c r="Y85" s="1" cm="1">
        <f t="array" ref="Y85">IF(OR(ISERROR(B85:W85)),1,0)</f>
        <v>0</v>
      </c>
      <c r="Z85" s="1">
        <f t="shared" si="1"/>
        <v>0</v>
      </c>
    </row>
    <row r="86" spans="1:26" s="1" customFormat="1" ht="15" outlineLevel="1" thickBot="1" x14ac:dyDescent="0.4">
      <c r="A86" s="189"/>
      <c r="B86" s="461"/>
      <c r="C86" s="155"/>
      <c r="D86" s="151"/>
      <c r="E86" s="151"/>
      <c r="F86" s="151"/>
      <c r="G86" s="187" t="str">
        <f>IF(F86="","",INDEX(Lists!$BA$4:$BC$31,MATCH(D86,Lists!$AZ$4:$AZ$31,0),MATCH(F86,Lists!$BA$3:$BC$3,0)))</f>
        <v/>
      </c>
      <c r="H86" s="148"/>
      <c r="I86" s="151"/>
      <c r="J86" s="154" t="str" cm="1">
        <f t="array" ref="J86">IF(OR($D86="",$C86="",$H86="",$I86=""),"",IF(I86=K86,H86,(INDEX('Emission factors'!$K$3:$V$201,MATCH(D86&amp;E86,'Emission factors'!$J$3:$J$201&amp;'Emission factors'!$K$3:$K$201,0),MATCH(J$6,'Emission factors'!$K$2:$V$2,0)))*H86))</f>
        <v/>
      </c>
      <c r="K86" s="192" t="str">
        <f>IF(OR($D86="",$C86="",$H86="",$I86=""),"",INDEX('Emission factors'!$K$3:$V$201,MATCH('Buildings &amp; stationary assets'!$D86,'Emission factors'!$J$3:$J$201,0),MATCH($K$6,'Emission factors'!$K$2:$V$2,0)))</f>
        <v/>
      </c>
      <c r="L86" s="193" t="str" cm="1">
        <f t="array" ref="L86">IF(OR(D86="",H86="",BuildingsTable[[#This Row],[Units]]=""),"",INDEX('Emission factors'!$K$3:$V$201,MATCH('Buildings &amp; stationary assets'!$D86&amp;E86,'Emission factors'!$J$3:$J$201&amp;'Emission factors'!$K$3:$K$201,0),MATCH('Buildings &amp; stationary assets'!$L$6,'Emission factors'!$K$2:$V$2,0)))</f>
        <v/>
      </c>
      <c r="M86" s="287" t="str">
        <f>IF(OR(J86="",L86=""),"",SUM(BuildingsTable[[#This Row],[Direct]:[Indirect WTT]]))</f>
        <v/>
      </c>
      <c r="N86" s="150"/>
      <c r="O86" s="151"/>
      <c r="P86" s="288" t="str" cm="1">
        <f t="array" ref="P86">IF(OR($D86="",$H86=""),"",(INDEX('Emission factors'!$K$3:$V$201,MATCH('Buildings &amp; stationary assets'!$D86&amp;$E86,'Emission factors'!$J$3:$J$201&amp;'Emission factors'!$K$3:$K$201,0),MATCH('Buildings &amp; stationary assets'!P$6,'Emission factors'!$K$2:$V$2,0)))*$J86)</f>
        <v/>
      </c>
      <c r="Q86" s="288" t="str" cm="1">
        <f t="array" ref="Q86">IF(OR($D86="",$H86=""),"",(INDEX('Emission factors'!$K$3:$V$201,MATCH('Buildings &amp; stationary assets'!$D86&amp;$E86,'Emission factors'!$J$3:$J$201&amp;'Emission factors'!$K$3:$K$201,0),MATCH('Buildings &amp; stationary assets'!Q$6,'Emission factors'!$K$2:$V$2,0)))*$J86)</f>
        <v/>
      </c>
      <c r="R86" s="288" t="str" cm="1">
        <f t="array" ref="R86">IF(OR($D86="",$H86=""),"",(INDEX('Emission factors'!$K$3:$V$201,MATCH('Buildings &amp; stationary assets'!$D86&amp;$E86,'Emission factors'!$J$3:$J$201&amp;'Emission factors'!$K$3:$K$201,0),MATCH('Buildings &amp; stationary assets'!R$6,'Emission factors'!$K$2:$V$2,0)))*$J86)</f>
        <v/>
      </c>
      <c r="S86" s="288" t="str" cm="1">
        <f t="array" ref="S86">IF(OR($D86="",$H86=""),"",(INDEX('Emission factors'!$K$3:$V$201,MATCH('Buildings &amp; stationary assets'!$D86&amp;$E86,'Emission factors'!$J$3:$J$201&amp;'Emission factors'!$K$3:$K$201,0),MATCH('Buildings &amp; stationary assets'!S$6,'Emission factors'!$K$2:$V$2,0)))*$J86)</f>
        <v/>
      </c>
      <c r="T86" s="288" t="str" cm="1">
        <f t="array" ref="T86">IF(OR($D86="",$H86=""),"",(INDEX('Emission factors'!$K$3:$V$201,MATCH('Buildings &amp; stationary assets'!$D86&amp;$E86,'Emission factors'!$J$3:$J$201&amp;'Emission factors'!$K$3:$K$201,0),MATCH('Buildings &amp; stationary assets'!T$6,'Emission factors'!$K$2:$V$2,0)))*$J86)</f>
        <v/>
      </c>
      <c r="U86" s="289" t="str">
        <f>IF(OR($M86="",BuildingsTable[[#This Row],[RSD]]=""),"",BuildingsTable[[#This Row],[Total emissions (kgCO2e)]]*(1+BuildingsTable[[#This Row],[RSD]]))</f>
        <v/>
      </c>
      <c r="V86" s="290" t="str">
        <f>IF(OR($M86="",BuildingsTable[[#This Row],[RSD]]=""),"",BuildingsTable[[#This Row],[Total emissions (kgCO2e)]]*(1-BuildingsTable[[#This Row],[RSD]]))</f>
        <v/>
      </c>
      <c r="W86" s="320" t="str" cm="1">
        <f t="array" ref="W86">IF(OR($D86="",$H86=""),"",(INDEX('Emission factors'!$K$3:$V$201,MATCH('Buildings &amp; stationary assets'!$D86&amp;$E86,'Emission factors'!$J$3:$J$201&amp;'Emission factors'!$K$3:$K$201,0),MATCH('Buildings &amp; stationary assets'!W$6,'Emission factors'!$K$2:$V$2,0)))*$J86)</f>
        <v/>
      </c>
      <c r="X86" s="66"/>
      <c r="Y86" s="1" cm="1">
        <f t="array" ref="Y86">IF(OR(ISERROR(B86:W86)),1,0)</f>
        <v>0</v>
      </c>
      <c r="Z86" s="1">
        <f t="shared" si="1"/>
        <v>0</v>
      </c>
    </row>
    <row r="87" spans="1:26" s="1" customFormat="1" ht="15" outlineLevel="1" thickBot="1" x14ac:dyDescent="0.4">
      <c r="A87" s="189"/>
      <c r="B87" s="461"/>
      <c r="C87" s="155"/>
      <c r="D87" s="151"/>
      <c r="E87" s="151"/>
      <c r="F87" s="151"/>
      <c r="G87" s="187" t="str">
        <f>IF(F87="","",INDEX(Lists!$BA$4:$BC$31,MATCH(D87,Lists!$AZ$4:$AZ$31,0),MATCH(F87,Lists!$BA$3:$BC$3,0)))</f>
        <v/>
      </c>
      <c r="H87" s="148"/>
      <c r="I87" s="151"/>
      <c r="J87" s="154" t="str" cm="1">
        <f t="array" ref="J87">IF(OR($D87="",$C87="",$H87="",$I87=""),"",IF(I87=K87,H87,(INDEX('Emission factors'!$K$3:$V$201,MATCH(D87&amp;E87,'Emission factors'!$J$3:$J$201&amp;'Emission factors'!$K$3:$K$201,0),MATCH(J$6,'Emission factors'!$K$2:$V$2,0)))*H87))</f>
        <v/>
      </c>
      <c r="K87" s="192" t="str">
        <f>IF(OR($D87="",$C87="",$H87="",$I87=""),"",INDEX('Emission factors'!$K$3:$V$201,MATCH('Buildings &amp; stationary assets'!$D87,'Emission factors'!$J$3:$J$201,0),MATCH($K$6,'Emission factors'!$K$2:$V$2,0)))</f>
        <v/>
      </c>
      <c r="L87" s="193" t="str" cm="1">
        <f t="array" ref="L87">IF(OR(D87="",H87="",BuildingsTable[[#This Row],[Units]]=""),"",INDEX('Emission factors'!$K$3:$V$201,MATCH('Buildings &amp; stationary assets'!$D87&amp;E87,'Emission factors'!$J$3:$J$201&amp;'Emission factors'!$K$3:$K$201,0),MATCH('Buildings &amp; stationary assets'!$L$6,'Emission factors'!$K$2:$V$2,0)))</f>
        <v/>
      </c>
      <c r="M87" s="287" t="str">
        <f>IF(OR(J87="",L87=""),"",SUM(BuildingsTable[[#This Row],[Direct]:[Indirect WTT]]))</f>
        <v/>
      </c>
      <c r="N87" s="150"/>
      <c r="O87" s="151"/>
      <c r="P87" s="288" t="str" cm="1">
        <f t="array" ref="P87">IF(OR($D87="",$H87=""),"",(INDEX('Emission factors'!$K$3:$V$201,MATCH('Buildings &amp; stationary assets'!$D87&amp;$E87,'Emission factors'!$J$3:$J$201&amp;'Emission factors'!$K$3:$K$201,0),MATCH('Buildings &amp; stationary assets'!P$6,'Emission factors'!$K$2:$V$2,0)))*$J87)</f>
        <v/>
      </c>
      <c r="Q87" s="288" t="str" cm="1">
        <f t="array" ref="Q87">IF(OR($D87="",$H87=""),"",(INDEX('Emission factors'!$K$3:$V$201,MATCH('Buildings &amp; stationary assets'!$D87&amp;$E87,'Emission factors'!$J$3:$J$201&amp;'Emission factors'!$K$3:$K$201,0),MATCH('Buildings &amp; stationary assets'!Q$6,'Emission factors'!$K$2:$V$2,0)))*$J87)</f>
        <v/>
      </c>
      <c r="R87" s="288" t="str" cm="1">
        <f t="array" ref="R87">IF(OR($D87="",$H87=""),"",(INDEX('Emission factors'!$K$3:$V$201,MATCH('Buildings &amp; stationary assets'!$D87&amp;$E87,'Emission factors'!$J$3:$J$201&amp;'Emission factors'!$K$3:$K$201,0),MATCH('Buildings &amp; stationary assets'!R$6,'Emission factors'!$K$2:$V$2,0)))*$J87)</f>
        <v/>
      </c>
      <c r="S87" s="288" t="str" cm="1">
        <f t="array" ref="S87">IF(OR($D87="",$H87=""),"",(INDEX('Emission factors'!$K$3:$V$201,MATCH('Buildings &amp; stationary assets'!$D87&amp;$E87,'Emission factors'!$J$3:$J$201&amp;'Emission factors'!$K$3:$K$201,0),MATCH('Buildings &amp; stationary assets'!S$6,'Emission factors'!$K$2:$V$2,0)))*$J87)</f>
        <v/>
      </c>
      <c r="T87" s="288" t="str" cm="1">
        <f t="array" ref="T87">IF(OR($D87="",$H87=""),"",(INDEX('Emission factors'!$K$3:$V$201,MATCH('Buildings &amp; stationary assets'!$D87&amp;$E87,'Emission factors'!$J$3:$J$201&amp;'Emission factors'!$K$3:$K$201,0),MATCH('Buildings &amp; stationary assets'!T$6,'Emission factors'!$K$2:$V$2,0)))*$J87)</f>
        <v/>
      </c>
      <c r="U87" s="289" t="str">
        <f>IF(OR($M87="",BuildingsTable[[#This Row],[RSD]]=""),"",BuildingsTable[[#This Row],[Total emissions (kgCO2e)]]*(1+BuildingsTable[[#This Row],[RSD]]))</f>
        <v/>
      </c>
      <c r="V87" s="290" t="str">
        <f>IF(OR($M87="",BuildingsTable[[#This Row],[RSD]]=""),"",BuildingsTable[[#This Row],[Total emissions (kgCO2e)]]*(1-BuildingsTable[[#This Row],[RSD]]))</f>
        <v/>
      </c>
      <c r="W87" s="320" t="str" cm="1">
        <f t="array" ref="W87">IF(OR($D87="",$H87=""),"",(INDEX('Emission factors'!$K$3:$V$201,MATCH('Buildings &amp; stationary assets'!$D87&amp;$E87,'Emission factors'!$J$3:$J$201&amp;'Emission factors'!$K$3:$K$201,0),MATCH('Buildings &amp; stationary assets'!W$6,'Emission factors'!$K$2:$V$2,0)))*$J87)</f>
        <v/>
      </c>
      <c r="X87" s="66"/>
      <c r="Y87" s="1" cm="1">
        <f t="array" ref="Y87">IF(OR(ISERROR(B87:W87)),1,0)</f>
        <v>0</v>
      </c>
      <c r="Z87" s="1">
        <f t="shared" si="1"/>
        <v>0</v>
      </c>
    </row>
    <row r="88" spans="1:26" s="1" customFormat="1" ht="15" outlineLevel="1" thickBot="1" x14ac:dyDescent="0.4">
      <c r="A88" s="189"/>
      <c r="B88" s="461"/>
      <c r="C88" s="155"/>
      <c r="D88" s="151"/>
      <c r="E88" s="151"/>
      <c r="F88" s="151"/>
      <c r="G88" s="187" t="str">
        <f>IF(F88="","",INDEX(Lists!$BA$4:$BC$31,MATCH(D88,Lists!$AZ$4:$AZ$31,0),MATCH(F88,Lists!$BA$3:$BC$3,0)))</f>
        <v/>
      </c>
      <c r="H88" s="148"/>
      <c r="I88" s="151"/>
      <c r="J88" s="154" t="str" cm="1">
        <f t="array" ref="J88">IF(OR($D88="",$C88="",$H88="",$I88=""),"",IF(I88=K88,H88,(INDEX('Emission factors'!$K$3:$V$201,MATCH(D88&amp;E88,'Emission factors'!$J$3:$J$201&amp;'Emission factors'!$K$3:$K$201,0),MATCH(J$6,'Emission factors'!$K$2:$V$2,0)))*H88))</f>
        <v/>
      </c>
      <c r="K88" s="192" t="str">
        <f>IF(OR($D88="",$C88="",$H88="",$I88=""),"",INDEX('Emission factors'!$K$3:$V$201,MATCH('Buildings &amp; stationary assets'!$D88,'Emission factors'!$J$3:$J$201,0),MATCH($K$6,'Emission factors'!$K$2:$V$2,0)))</f>
        <v/>
      </c>
      <c r="L88" s="193" t="str" cm="1">
        <f t="array" ref="L88">IF(OR(D88="",H88="",BuildingsTable[[#This Row],[Units]]=""),"",INDEX('Emission factors'!$K$3:$V$201,MATCH('Buildings &amp; stationary assets'!$D88&amp;E88,'Emission factors'!$J$3:$J$201&amp;'Emission factors'!$K$3:$K$201,0),MATCH('Buildings &amp; stationary assets'!$L$6,'Emission factors'!$K$2:$V$2,0)))</f>
        <v/>
      </c>
      <c r="M88" s="287" t="str">
        <f>IF(OR(J88="",L88=""),"",SUM(BuildingsTable[[#This Row],[Direct]:[Indirect WTT]]))</f>
        <v/>
      </c>
      <c r="N88" s="150"/>
      <c r="O88" s="151"/>
      <c r="P88" s="288" t="str" cm="1">
        <f t="array" ref="P88">IF(OR($D88="",$H88=""),"",(INDEX('Emission factors'!$K$3:$V$201,MATCH('Buildings &amp; stationary assets'!$D88&amp;$E88,'Emission factors'!$J$3:$J$201&amp;'Emission factors'!$K$3:$K$201,0),MATCH('Buildings &amp; stationary assets'!P$6,'Emission factors'!$K$2:$V$2,0)))*$J88)</f>
        <v/>
      </c>
      <c r="Q88" s="288" t="str" cm="1">
        <f t="array" ref="Q88">IF(OR($D88="",$H88=""),"",(INDEX('Emission factors'!$K$3:$V$201,MATCH('Buildings &amp; stationary assets'!$D88&amp;$E88,'Emission factors'!$J$3:$J$201&amp;'Emission factors'!$K$3:$K$201,0),MATCH('Buildings &amp; stationary assets'!Q$6,'Emission factors'!$K$2:$V$2,0)))*$J88)</f>
        <v/>
      </c>
      <c r="R88" s="288" t="str" cm="1">
        <f t="array" ref="R88">IF(OR($D88="",$H88=""),"",(INDEX('Emission factors'!$K$3:$V$201,MATCH('Buildings &amp; stationary assets'!$D88&amp;$E88,'Emission factors'!$J$3:$J$201&amp;'Emission factors'!$K$3:$K$201,0),MATCH('Buildings &amp; stationary assets'!R$6,'Emission factors'!$K$2:$V$2,0)))*$J88)</f>
        <v/>
      </c>
      <c r="S88" s="288" t="str" cm="1">
        <f t="array" ref="S88">IF(OR($D88="",$H88=""),"",(INDEX('Emission factors'!$K$3:$V$201,MATCH('Buildings &amp; stationary assets'!$D88&amp;$E88,'Emission factors'!$J$3:$J$201&amp;'Emission factors'!$K$3:$K$201,0),MATCH('Buildings &amp; stationary assets'!S$6,'Emission factors'!$K$2:$V$2,0)))*$J88)</f>
        <v/>
      </c>
      <c r="T88" s="288" t="str" cm="1">
        <f t="array" ref="T88">IF(OR($D88="",$H88=""),"",(INDEX('Emission factors'!$K$3:$V$201,MATCH('Buildings &amp; stationary assets'!$D88&amp;$E88,'Emission factors'!$J$3:$J$201&amp;'Emission factors'!$K$3:$K$201,0),MATCH('Buildings &amp; stationary assets'!T$6,'Emission factors'!$K$2:$V$2,0)))*$J88)</f>
        <v/>
      </c>
      <c r="U88" s="289" t="str">
        <f>IF(OR($M88="",BuildingsTable[[#This Row],[RSD]]=""),"",BuildingsTable[[#This Row],[Total emissions (kgCO2e)]]*(1+BuildingsTable[[#This Row],[RSD]]))</f>
        <v/>
      </c>
      <c r="V88" s="290" t="str">
        <f>IF(OR($M88="",BuildingsTable[[#This Row],[RSD]]=""),"",BuildingsTable[[#This Row],[Total emissions (kgCO2e)]]*(1-BuildingsTable[[#This Row],[RSD]]))</f>
        <v/>
      </c>
      <c r="W88" s="320" t="str" cm="1">
        <f t="array" ref="W88">IF(OR($D88="",$H88=""),"",(INDEX('Emission factors'!$K$3:$V$201,MATCH('Buildings &amp; stationary assets'!$D88&amp;$E88,'Emission factors'!$J$3:$J$201&amp;'Emission factors'!$K$3:$K$201,0),MATCH('Buildings &amp; stationary assets'!W$6,'Emission factors'!$K$2:$V$2,0)))*$J88)</f>
        <v/>
      </c>
      <c r="X88" s="66"/>
      <c r="Y88" s="1" cm="1">
        <f t="array" ref="Y88">IF(OR(ISERROR(B88:W88)),1,0)</f>
        <v>0</v>
      </c>
      <c r="Z88" s="1">
        <f t="shared" si="1"/>
        <v>0</v>
      </c>
    </row>
    <row r="89" spans="1:26" s="1" customFormat="1" ht="15" outlineLevel="1" thickBot="1" x14ac:dyDescent="0.4">
      <c r="A89" s="189"/>
      <c r="B89" s="461"/>
      <c r="C89" s="155"/>
      <c r="D89" s="151"/>
      <c r="E89" s="151"/>
      <c r="F89" s="151"/>
      <c r="G89" s="187" t="str">
        <f>IF(F89="","",INDEX(Lists!$BA$4:$BC$31,MATCH(D89,Lists!$AZ$4:$AZ$31,0),MATCH(F89,Lists!$BA$3:$BC$3,0)))</f>
        <v/>
      </c>
      <c r="H89" s="148"/>
      <c r="I89" s="151"/>
      <c r="J89" s="154" t="str" cm="1">
        <f t="array" ref="J89">IF(OR($D89="",$C89="",$H89="",$I89=""),"",IF(I89=K89,H89,(INDEX('Emission factors'!$K$3:$V$201,MATCH(D89&amp;E89,'Emission factors'!$J$3:$J$201&amp;'Emission factors'!$K$3:$K$201,0),MATCH(J$6,'Emission factors'!$K$2:$V$2,0)))*H89))</f>
        <v/>
      </c>
      <c r="K89" s="192" t="str">
        <f>IF(OR($D89="",$C89="",$H89="",$I89=""),"",INDEX('Emission factors'!$K$3:$V$201,MATCH('Buildings &amp; stationary assets'!$D89,'Emission factors'!$J$3:$J$201,0),MATCH($K$6,'Emission factors'!$K$2:$V$2,0)))</f>
        <v/>
      </c>
      <c r="L89" s="193" t="str" cm="1">
        <f t="array" ref="L89">IF(OR(D89="",H89="",BuildingsTable[[#This Row],[Units]]=""),"",INDEX('Emission factors'!$K$3:$V$201,MATCH('Buildings &amp; stationary assets'!$D89&amp;E89,'Emission factors'!$J$3:$J$201&amp;'Emission factors'!$K$3:$K$201,0),MATCH('Buildings &amp; stationary assets'!$L$6,'Emission factors'!$K$2:$V$2,0)))</f>
        <v/>
      </c>
      <c r="M89" s="287" t="str">
        <f>IF(OR(J89="",L89=""),"",SUM(BuildingsTable[[#This Row],[Direct]:[Indirect WTT]]))</f>
        <v/>
      </c>
      <c r="N89" s="150"/>
      <c r="O89" s="151"/>
      <c r="P89" s="288" t="str" cm="1">
        <f t="array" ref="P89">IF(OR($D89="",$H89=""),"",(INDEX('Emission factors'!$K$3:$V$201,MATCH('Buildings &amp; stationary assets'!$D89&amp;$E89,'Emission factors'!$J$3:$J$201&amp;'Emission factors'!$K$3:$K$201,0),MATCH('Buildings &amp; stationary assets'!P$6,'Emission factors'!$K$2:$V$2,0)))*$J89)</f>
        <v/>
      </c>
      <c r="Q89" s="288" t="str" cm="1">
        <f t="array" ref="Q89">IF(OR($D89="",$H89=""),"",(INDEX('Emission factors'!$K$3:$V$201,MATCH('Buildings &amp; stationary assets'!$D89&amp;$E89,'Emission factors'!$J$3:$J$201&amp;'Emission factors'!$K$3:$K$201,0),MATCH('Buildings &amp; stationary assets'!Q$6,'Emission factors'!$K$2:$V$2,0)))*$J89)</f>
        <v/>
      </c>
      <c r="R89" s="288" t="str" cm="1">
        <f t="array" ref="R89">IF(OR($D89="",$H89=""),"",(INDEX('Emission factors'!$K$3:$V$201,MATCH('Buildings &amp; stationary assets'!$D89&amp;$E89,'Emission factors'!$J$3:$J$201&amp;'Emission factors'!$K$3:$K$201,0),MATCH('Buildings &amp; stationary assets'!R$6,'Emission factors'!$K$2:$V$2,0)))*$J89)</f>
        <v/>
      </c>
      <c r="S89" s="288" t="str" cm="1">
        <f t="array" ref="S89">IF(OR($D89="",$H89=""),"",(INDEX('Emission factors'!$K$3:$V$201,MATCH('Buildings &amp; stationary assets'!$D89&amp;$E89,'Emission factors'!$J$3:$J$201&amp;'Emission factors'!$K$3:$K$201,0),MATCH('Buildings &amp; stationary assets'!S$6,'Emission factors'!$K$2:$V$2,0)))*$J89)</f>
        <v/>
      </c>
      <c r="T89" s="288" t="str" cm="1">
        <f t="array" ref="T89">IF(OR($D89="",$H89=""),"",(INDEX('Emission factors'!$K$3:$V$201,MATCH('Buildings &amp; stationary assets'!$D89&amp;$E89,'Emission factors'!$J$3:$J$201&amp;'Emission factors'!$K$3:$K$201,0),MATCH('Buildings &amp; stationary assets'!T$6,'Emission factors'!$K$2:$V$2,0)))*$J89)</f>
        <v/>
      </c>
      <c r="U89" s="289" t="str">
        <f>IF(OR($M89="",BuildingsTable[[#This Row],[RSD]]=""),"",BuildingsTable[[#This Row],[Total emissions (kgCO2e)]]*(1+BuildingsTable[[#This Row],[RSD]]))</f>
        <v/>
      </c>
      <c r="V89" s="290" t="str">
        <f>IF(OR($M89="",BuildingsTable[[#This Row],[RSD]]=""),"",BuildingsTable[[#This Row],[Total emissions (kgCO2e)]]*(1-BuildingsTable[[#This Row],[RSD]]))</f>
        <v/>
      </c>
      <c r="W89" s="320" t="str" cm="1">
        <f t="array" ref="W89">IF(OR($D89="",$H89=""),"",(INDEX('Emission factors'!$K$3:$V$201,MATCH('Buildings &amp; stationary assets'!$D89&amp;$E89,'Emission factors'!$J$3:$J$201&amp;'Emission factors'!$K$3:$K$201,0),MATCH('Buildings &amp; stationary assets'!W$6,'Emission factors'!$K$2:$V$2,0)))*$J89)</f>
        <v/>
      </c>
      <c r="X89" s="66"/>
      <c r="Y89" s="1" cm="1">
        <f t="array" ref="Y89">IF(OR(ISERROR(B89:W89)),1,0)</f>
        <v>0</v>
      </c>
      <c r="Z89" s="1">
        <f t="shared" si="1"/>
        <v>0</v>
      </c>
    </row>
    <row r="90" spans="1:26" s="1" customFormat="1" ht="15" outlineLevel="1" thickBot="1" x14ac:dyDescent="0.4">
      <c r="A90" s="189"/>
      <c r="B90" s="461"/>
      <c r="C90" s="155"/>
      <c r="D90" s="151"/>
      <c r="E90" s="151"/>
      <c r="F90" s="151"/>
      <c r="G90" s="187" t="str">
        <f>IF(F90="","",INDEX(Lists!$BA$4:$BC$31,MATCH(D90,Lists!$AZ$4:$AZ$31,0),MATCH(F90,Lists!$BA$3:$BC$3,0)))</f>
        <v/>
      </c>
      <c r="H90" s="148"/>
      <c r="I90" s="151"/>
      <c r="J90" s="154" t="str" cm="1">
        <f t="array" ref="J90">IF(OR($D90="",$C90="",$H90="",$I90=""),"",IF(I90=K90,H90,(INDEX('Emission factors'!$K$3:$V$201,MATCH(D90&amp;E90,'Emission factors'!$J$3:$J$201&amp;'Emission factors'!$K$3:$K$201,0),MATCH(J$6,'Emission factors'!$K$2:$V$2,0)))*H90))</f>
        <v/>
      </c>
      <c r="K90" s="192" t="str">
        <f>IF(OR($D90="",$C90="",$H90="",$I90=""),"",INDEX('Emission factors'!$K$3:$V$201,MATCH('Buildings &amp; stationary assets'!$D90,'Emission factors'!$J$3:$J$201,0),MATCH($K$6,'Emission factors'!$K$2:$V$2,0)))</f>
        <v/>
      </c>
      <c r="L90" s="193" t="str" cm="1">
        <f t="array" ref="L90">IF(OR(D90="",H90="",BuildingsTable[[#This Row],[Units]]=""),"",INDEX('Emission factors'!$K$3:$V$201,MATCH('Buildings &amp; stationary assets'!$D90&amp;E90,'Emission factors'!$J$3:$J$201&amp;'Emission factors'!$K$3:$K$201,0),MATCH('Buildings &amp; stationary assets'!$L$6,'Emission factors'!$K$2:$V$2,0)))</f>
        <v/>
      </c>
      <c r="M90" s="287" t="str">
        <f>IF(OR(J90="",L90=""),"",SUM(BuildingsTable[[#This Row],[Direct]:[Indirect WTT]]))</f>
        <v/>
      </c>
      <c r="N90" s="150"/>
      <c r="O90" s="151"/>
      <c r="P90" s="288" t="str" cm="1">
        <f t="array" ref="P90">IF(OR($D90="",$H90=""),"",(INDEX('Emission factors'!$K$3:$V$201,MATCH('Buildings &amp; stationary assets'!$D90&amp;$E90,'Emission factors'!$J$3:$J$201&amp;'Emission factors'!$K$3:$K$201,0),MATCH('Buildings &amp; stationary assets'!P$6,'Emission factors'!$K$2:$V$2,0)))*$J90)</f>
        <v/>
      </c>
      <c r="Q90" s="288" t="str" cm="1">
        <f t="array" ref="Q90">IF(OR($D90="",$H90=""),"",(INDEX('Emission factors'!$K$3:$V$201,MATCH('Buildings &amp; stationary assets'!$D90&amp;$E90,'Emission factors'!$J$3:$J$201&amp;'Emission factors'!$K$3:$K$201,0),MATCH('Buildings &amp; stationary assets'!Q$6,'Emission factors'!$K$2:$V$2,0)))*$J90)</f>
        <v/>
      </c>
      <c r="R90" s="288" t="str" cm="1">
        <f t="array" ref="R90">IF(OR($D90="",$H90=""),"",(INDEX('Emission factors'!$K$3:$V$201,MATCH('Buildings &amp; stationary assets'!$D90&amp;$E90,'Emission factors'!$J$3:$J$201&amp;'Emission factors'!$K$3:$K$201,0),MATCH('Buildings &amp; stationary assets'!R$6,'Emission factors'!$K$2:$V$2,0)))*$J90)</f>
        <v/>
      </c>
      <c r="S90" s="288" t="str" cm="1">
        <f t="array" ref="S90">IF(OR($D90="",$H90=""),"",(INDEX('Emission factors'!$K$3:$V$201,MATCH('Buildings &amp; stationary assets'!$D90&amp;$E90,'Emission factors'!$J$3:$J$201&amp;'Emission factors'!$K$3:$K$201,0),MATCH('Buildings &amp; stationary assets'!S$6,'Emission factors'!$K$2:$V$2,0)))*$J90)</f>
        <v/>
      </c>
      <c r="T90" s="288" t="str" cm="1">
        <f t="array" ref="T90">IF(OR($D90="",$H90=""),"",(INDEX('Emission factors'!$K$3:$V$201,MATCH('Buildings &amp; stationary assets'!$D90&amp;$E90,'Emission factors'!$J$3:$J$201&amp;'Emission factors'!$K$3:$K$201,0),MATCH('Buildings &amp; stationary assets'!T$6,'Emission factors'!$K$2:$V$2,0)))*$J90)</f>
        <v/>
      </c>
      <c r="U90" s="289" t="str">
        <f>IF(OR($M90="",BuildingsTable[[#This Row],[RSD]]=""),"",BuildingsTable[[#This Row],[Total emissions (kgCO2e)]]*(1+BuildingsTable[[#This Row],[RSD]]))</f>
        <v/>
      </c>
      <c r="V90" s="290" t="str">
        <f>IF(OR($M90="",BuildingsTable[[#This Row],[RSD]]=""),"",BuildingsTable[[#This Row],[Total emissions (kgCO2e)]]*(1-BuildingsTable[[#This Row],[RSD]]))</f>
        <v/>
      </c>
      <c r="W90" s="320" t="str" cm="1">
        <f t="array" ref="W90">IF(OR($D90="",$H90=""),"",(INDEX('Emission factors'!$K$3:$V$201,MATCH('Buildings &amp; stationary assets'!$D90&amp;$E90,'Emission factors'!$J$3:$J$201&amp;'Emission factors'!$K$3:$K$201,0),MATCH('Buildings &amp; stationary assets'!W$6,'Emission factors'!$K$2:$V$2,0)))*$J90)</f>
        <v/>
      </c>
      <c r="X90" s="66"/>
      <c r="Y90" s="1" cm="1">
        <f t="array" ref="Y90">IF(OR(ISERROR(B90:W90)),1,0)</f>
        <v>0</v>
      </c>
      <c r="Z90" s="1">
        <f t="shared" si="1"/>
        <v>0</v>
      </c>
    </row>
    <row r="91" spans="1:26" s="1" customFormat="1" ht="15" outlineLevel="1" thickBot="1" x14ac:dyDescent="0.4">
      <c r="A91" s="189"/>
      <c r="B91" s="461"/>
      <c r="C91" s="155"/>
      <c r="D91" s="151"/>
      <c r="E91" s="151"/>
      <c r="F91" s="151"/>
      <c r="G91" s="187" t="str">
        <f>IF(F91="","",INDEX(Lists!$BA$4:$BC$31,MATCH(D91,Lists!$AZ$4:$AZ$31,0),MATCH(F91,Lists!$BA$3:$BC$3,0)))</f>
        <v/>
      </c>
      <c r="H91" s="148"/>
      <c r="I91" s="151"/>
      <c r="J91" s="154" t="str" cm="1">
        <f t="array" ref="J91">IF(OR($D91="",$C91="",$H91="",$I91=""),"",IF(I91=K91,H91,(INDEX('Emission factors'!$K$3:$V$201,MATCH(D91&amp;E91,'Emission factors'!$J$3:$J$201&amp;'Emission factors'!$K$3:$K$201,0),MATCH(J$6,'Emission factors'!$K$2:$V$2,0)))*H91))</f>
        <v/>
      </c>
      <c r="K91" s="192" t="str">
        <f>IF(OR($D91="",$C91="",$H91="",$I91=""),"",INDEX('Emission factors'!$K$3:$V$201,MATCH('Buildings &amp; stationary assets'!$D91,'Emission factors'!$J$3:$J$201,0),MATCH($K$6,'Emission factors'!$K$2:$V$2,0)))</f>
        <v/>
      </c>
      <c r="L91" s="193" t="str" cm="1">
        <f t="array" ref="L91">IF(OR(D91="",H91="",BuildingsTable[[#This Row],[Units]]=""),"",INDEX('Emission factors'!$K$3:$V$201,MATCH('Buildings &amp; stationary assets'!$D91&amp;E91,'Emission factors'!$J$3:$J$201&amp;'Emission factors'!$K$3:$K$201,0),MATCH('Buildings &amp; stationary assets'!$L$6,'Emission factors'!$K$2:$V$2,0)))</f>
        <v/>
      </c>
      <c r="M91" s="287" t="str">
        <f>IF(OR(J91="",L91=""),"",SUM(BuildingsTable[[#This Row],[Direct]:[Indirect WTT]]))</f>
        <v/>
      </c>
      <c r="N91" s="150"/>
      <c r="O91" s="151"/>
      <c r="P91" s="288" t="str" cm="1">
        <f t="array" ref="P91">IF(OR($D91="",$H91=""),"",(INDEX('Emission factors'!$K$3:$V$201,MATCH('Buildings &amp; stationary assets'!$D91&amp;$E91,'Emission factors'!$J$3:$J$201&amp;'Emission factors'!$K$3:$K$201,0),MATCH('Buildings &amp; stationary assets'!P$6,'Emission factors'!$K$2:$V$2,0)))*$J91)</f>
        <v/>
      </c>
      <c r="Q91" s="288" t="str" cm="1">
        <f t="array" ref="Q91">IF(OR($D91="",$H91=""),"",(INDEX('Emission factors'!$K$3:$V$201,MATCH('Buildings &amp; stationary assets'!$D91&amp;$E91,'Emission factors'!$J$3:$J$201&amp;'Emission factors'!$K$3:$K$201,0),MATCH('Buildings &amp; stationary assets'!Q$6,'Emission factors'!$K$2:$V$2,0)))*$J91)</f>
        <v/>
      </c>
      <c r="R91" s="288" t="str" cm="1">
        <f t="array" ref="R91">IF(OR($D91="",$H91=""),"",(INDEX('Emission factors'!$K$3:$V$201,MATCH('Buildings &amp; stationary assets'!$D91&amp;$E91,'Emission factors'!$J$3:$J$201&amp;'Emission factors'!$K$3:$K$201,0),MATCH('Buildings &amp; stationary assets'!R$6,'Emission factors'!$K$2:$V$2,0)))*$J91)</f>
        <v/>
      </c>
      <c r="S91" s="288" t="str" cm="1">
        <f t="array" ref="S91">IF(OR($D91="",$H91=""),"",(INDEX('Emission factors'!$K$3:$V$201,MATCH('Buildings &amp; stationary assets'!$D91&amp;$E91,'Emission factors'!$J$3:$J$201&amp;'Emission factors'!$K$3:$K$201,0),MATCH('Buildings &amp; stationary assets'!S$6,'Emission factors'!$K$2:$V$2,0)))*$J91)</f>
        <v/>
      </c>
      <c r="T91" s="288" t="str" cm="1">
        <f t="array" ref="T91">IF(OR($D91="",$H91=""),"",(INDEX('Emission factors'!$K$3:$V$201,MATCH('Buildings &amp; stationary assets'!$D91&amp;$E91,'Emission factors'!$J$3:$J$201&amp;'Emission factors'!$K$3:$K$201,0),MATCH('Buildings &amp; stationary assets'!T$6,'Emission factors'!$K$2:$V$2,0)))*$J91)</f>
        <v/>
      </c>
      <c r="U91" s="289" t="str">
        <f>IF(OR($M91="",BuildingsTable[[#This Row],[RSD]]=""),"",BuildingsTable[[#This Row],[Total emissions (kgCO2e)]]*(1+BuildingsTable[[#This Row],[RSD]]))</f>
        <v/>
      </c>
      <c r="V91" s="290" t="str">
        <f>IF(OR($M91="",BuildingsTable[[#This Row],[RSD]]=""),"",BuildingsTable[[#This Row],[Total emissions (kgCO2e)]]*(1-BuildingsTable[[#This Row],[RSD]]))</f>
        <v/>
      </c>
      <c r="W91" s="320" t="str" cm="1">
        <f t="array" ref="W91">IF(OR($D91="",$H91=""),"",(INDEX('Emission factors'!$K$3:$V$201,MATCH('Buildings &amp; stationary assets'!$D91&amp;$E91,'Emission factors'!$J$3:$J$201&amp;'Emission factors'!$K$3:$K$201,0),MATCH('Buildings &amp; stationary assets'!W$6,'Emission factors'!$K$2:$V$2,0)))*$J91)</f>
        <v/>
      </c>
      <c r="X91" s="66"/>
      <c r="Y91" s="1" cm="1">
        <f t="array" ref="Y91">IF(OR(ISERROR(B91:W91)),1,0)</f>
        <v>0</v>
      </c>
      <c r="Z91" s="1">
        <f t="shared" si="1"/>
        <v>0</v>
      </c>
    </row>
    <row r="92" spans="1:26" s="1" customFormat="1" ht="15" outlineLevel="1" thickBot="1" x14ac:dyDescent="0.4">
      <c r="A92" s="189"/>
      <c r="B92" s="461"/>
      <c r="C92" s="155"/>
      <c r="D92" s="151"/>
      <c r="E92" s="151"/>
      <c r="F92" s="151"/>
      <c r="G92" s="187" t="str">
        <f>IF(F92="","",INDEX(Lists!$BA$4:$BC$31,MATCH(D92,Lists!$AZ$4:$AZ$31,0),MATCH(F92,Lists!$BA$3:$BC$3,0)))</f>
        <v/>
      </c>
      <c r="H92" s="148"/>
      <c r="I92" s="151"/>
      <c r="J92" s="154" t="str" cm="1">
        <f t="array" ref="J92">IF(OR($D92="",$C92="",$H92="",$I92=""),"",IF(I92=K92,H92,(INDEX('Emission factors'!$K$3:$V$201,MATCH(D92&amp;E92,'Emission factors'!$J$3:$J$201&amp;'Emission factors'!$K$3:$K$201,0),MATCH(J$6,'Emission factors'!$K$2:$V$2,0)))*H92))</f>
        <v/>
      </c>
      <c r="K92" s="192" t="str">
        <f>IF(OR($D92="",$C92="",$H92="",$I92=""),"",INDEX('Emission factors'!$K$3:$V$201,MATCH('Buildings &amp; stationary assets'!$D92,'Emission factors'!$J$3:$J$201,0),MATCH($K$6,'Emission factors'!$K$2:$V$2,0)))</f>
        <v/>
      </c>
      <c r="L92" s="193" t="str" cm="1">
        <f t="array" ref="L92">IF(OR(D92="",H92="",BuildingsTable[[#This Row],[Units]]=""),"",INDEX('Emission factors'!$K$3:$V$201,MATCH('Buildings &amp; stationary assets'!$D92&amp;E92,'Emission factors'!$J$3:$J$201&amp;'Emission factors'!$K$3:$K$201,0),MATCH('Buildings &amp; stationary assets'!$L$6,'Emission factors'!$K$2:$V$2,0)))</f>
        <v/>
      </c>
      <c r="M92" s="287" t="str">
        <f>IF(OR(J92="",L92=""),"",SUM(BuildingsTable[[#This Row],[Direct]:[Indirect WTT]]))</f>
        <v/>
      </c>
      <c r="N92" s="150"/>
      <c r="O92" s="151"/>
      <c r="P92" s="288" t="str" cm="1">
        <f t="array" ref="P92">IF(OR($D92="",$H92=""),"",(INDEX('Emission factors'!$K$3:$V$201,MATCH('Buildings &amp; stationary assets'!$D92&amp;$E92,'Emission factors'!$J$3:$J$201&amp;'Emission factors'!$K$3:$K$201,0),MATCH('Buildings &amp; stationary assets'!P$6,'Emission factors'!$K$2:$V$2,0)))*$J92)</f>
        <v/>
      </c>
      <c r="Q92" s="288" t="str" cm="1">
        <f t="array" ref="Q92">IF(OR($D92="",$H92=""),"",(INDEX('Emission factors'!$K$3:$V$201,MATCH('Buildings &amp; stationary assets'!$D92&amp;$E92,'Emission factors'!$J$3:$J$201&amp;'Emission factors'!$K$3:$K$201,0),MATCH('Buildings &amp; stationary assets'!Q$6,'Emission factors'!$K$2:$V$2,0)))*$J92)</f>
        <v/>
      </c>
      <c r="R92" s="288" t="str" cm="1">
        <f t="array" ref="R92">IF(OR($D92="",$H92=""),"",(INDEX('Emission factors'!$K$3:$V$201,MATCH('Buildings &amp; stationary assets'!$D92&amp;$E92,'Emission factors'!$J$3:$J$201&amp;'Emission factors'!$K$3:$K$201,0),MATCH('Buildings &amp; stationary assets'!R$6,'Emission factors'!$K$2:$V$2,0)))*$J92)</f>
        <v/>
      </c>
      <c r="S92" s="288" t="str" cm="1">
        <f t="array" ref="S92">IF(OR($D92="",$H92=""),"",(INDEX('Emission factors'!$K$3:$V$201,MATCH('Buildings &amp; stationary assets'!$D92&amp;$E92,'Emission factors'!$J$3:$J$201&amp;'Emission factors'!$K$3:$K$201,0),MATCH('Buildings &amp; stationary assets'!S$6,'Emission factors'!$K$2:$V$2,0)))*$J92)</f>
        <v/>
      </c>
      <c r="T92" s="288" t="str" cm="1">
        <f t="array" ref="T92">IF(OR($D92="",$H92=""),"",(INDEX('Emission factors'!$K$3:$V$201,MATCH('Buildings &amp; stationary assets'!$D92&amp;$E92,'Emission factors'!$J$3:$J$201&amp;'Emission factors'!$K$3:$K$201,0),MATCH('Buildings &amp; stationary assets'!T$6,'Emission factors'!$K$2:$V$2,0)))*$J92)</f>
        <v/>
      </c>
      <c r="U92" s="289" t="str">
        <f>IF(OR($M92="",BuildingsTable[[#This Row],[RSD]]=""),"",BuildingsTable[[#This Row],[Total emissions (kgCO2e)]]*(1+BuildingsTable[[#This Row],[RSD]]))</f>
        <v/>
      </c>
      <c r="V92" s="290" t="str">
        <f>IF(OR($M92="",BuildingsTable[[#This Row],[RSD]]=""),"",BuildingsTable[[#This Row],[Total emissions (kgCO2e)]]*(1-BuildingsTable[[#This Row],[RSD]]))</f>
        <v/>
      </c>
      <c r="W92" s="320" t="str" cm="1">
        <f t="array" ref="W92">IF(OR($D92="",$H92=""),"",(INDEX('Emission factors'!$K$3:$V$201,MATCH('Buildings &amp; stationary assets'!$D92&amp;$E92,'Emission factors'!$J$3:$J$201&amp;'Emission factors'!$K$3:$K$201,0),MATCH('Buildings &amp; stationary assets'!W$6,'Emission factors'!$K$2:$V$2,0)))*$J92)</f>
        <v/>
      </c>
      <c r="X92" s="66"/>
      <c r="Y92" s="1" cm="1">
        <f t="array" ref="Y92">IF(OR(ISERROR(B92:W92)),1,0)</f>
        <v>0</v>
      </c>
      <c r="Z92" s="1">
        <f t="shared" si="1"/>
        <v>0</v>
      </c>
    </row>
    <row r="93" spans="1:26" s="1" customFormat="1" ht="15" outlineLevel="1" thickBot="1" x14ac:dyDescent="0.4">
      <c r="A93" s="189"/>
      <c r="B93" s="461"/>
      <c r="C93" s="155"/>
      <c r="D93" s="151"/>
      <c r="E93" s="151"/>
      <c r="F93" s="151"/>
      <c r="G93" s="187" t="str">
        <f>IF(F93="","",INDEX(Lists!$BA$4:$BC$31,MATCH(D93,Lists!$AZ$4:$AZ$31,0),MATCH(F93,Lists!$BA$3:$BC$3,0)))</f>
        <v/>
      </c>
      <c r="H93" s="148"/>
      <c r="I93" s="151"/>
      <c r="J93" s="154" t="str" cm="1">
        <f t="array" ref="J93">IF(OR($D93="",$C93="",$H93="",$I93=""),"",IF(I93=K93,H93,(INDEX('Emission factors'!$K$3:$V$201,MATCH(D93&amp;E93,'Emission factors'!$J$3:$J$201&amp;'Emission factors'!$K$3:$K$201,0),MATCH(J$6,'Emission factors'!$K$2:$V$2,0)))*H93))</f>
        <v/>
      </c>
      <c r="K93" s="192" t="str">
        <f>IF(OR($D93="",$C93="",$H93="",$I93=""),"",INDEX('Emission factors'!$K$3:$V$201,MATCH('Buildings &amp; stationary assets'!$D93,'Emission factors'!$J$3:$J$201,0),MATCH($K$6,'Emission factors'!$K$2:$V$2,0)))</f>
        <v/>
      </c>
      <c r="L93" s="193" t="str" cm="1">
        <f t="array" ref="L93">IF(OR(D93="",H93="",BuildingsTable[[#This Row],[Units]]=""),"",INDEX('Emission factors'!$K$3:$V$201,MATCH('Buildings &amp; stationary assets'!$D93&amp;E93,'Emission factors'!$J$3:$J$201&amp;'Emission factors'!$K$3:$K$201,0),MATCH('Buildings &amp; stationary assets'!$L$6,'Emission factors'!$K$2:$V$2,0)))</f>
        <v/>
      </c>
      <c r="M93" s="287" t="str">
        <f>IF(OR(J93="",L93=""),"",SUM(BuildingsTable[[#This Row],[Direct]:[Indirect WTT]]))</f>
        <v/>
      </c>
      <c r="N93" s="150"/>
      <c r="O93" s="151"/>
      <c r="P93" s="288" t="str" cm="1">
        <f t="array" ref="P93">IF(OR($D93="",$H93=""),"",(INDEX('Emission factors'!$K$3:$V$201,MATCH('Buildings &amp; stationary assets'!$D93&amp;$E93,'Emission factors'!$J$3:$J$201&amp;'Emission factors'!$K$3:$K$201,0),MATCH('Buildings &amp; stationary assets'!P$6,'Emission factors'!$K$2:$V$2,0)))*$J93)</f>
        <v/>
      </c>
      <c r="Q93" s="288" t="str" cm="1">
        <f t="array" ref="Q93">IF(OR($D93="",$H93=""),"",(INDEX('Emission factors'!$K$3:$V$201,MATCH('Buildings &amp; stationary assets'!$D93&amp;$E93,'Emission factors'!$J$3:$J$201&amp;'Emission factors'!$K$3:$K$201,0),MATCH('Buildings &amp; stationary assets'!Q$6,'Emission factors'!$K$2:$V$2,0)))*$J93)</f>
        <v/>
      </c>
      <c r="R93" s="288" t="str" cm="1">
        <f t="array" ref="R93">IF(OR($D93="",$H93=""),"",(INDEX('Emission factors'!$K$3:$V$201,MATCH('Buildings &amp; stationary assets'!$D93&amp;$E93,'Emission factors'!$J$3:$J$201&amp;'Emission factors'!$K$3:$K$201,0),MATCH('Buildings &amp; stationary assets'!R$6,'Emission factors'!$K$2:$V$2,0)))*$J93)</f>
        <v/>
      </c>
      <c r="S93" s="288" t="str" cm="1">
        <f t="array" ref="S93">IF(OR($D93="",$H93=""),"",(INDEX('Emission factors'!$K$3:$V$201,MATCH('Buildings &amp; stationary assets'!$D93&amp;$E93,'Emission factors'!$J$3:$J$201&amp;'Emission factors'!$K$3:$K$201,0),MATCH('Buildings &amp; stationary assets'!S$6,'Emission factors'!$K$2:$V$2,0)))*$J93)</f>
        <v/>
      </c>
      <c r="T93" s="288" t="str" cm="1">
        <f t="array" ref="T93">IF(OR($D93="",$H93=""),"",(INDEX('Emission factors'!$K$3:$V$201,MATCH('Buildings &amp; stationary assets'!$D93&amp;$E93,'Emission factors'!$J$3:$J$201&amp;'Emission factors'!$K$3:$K$201,0),MATCH('Buildings &amp; stationary assets'!T$6,'Emission factors'!$K$2:$V$2,0)))*$J93)</f>
        <v/>
      </c>
      <c r="U93" s="289" t="str">
        <f>IF(OR($M93="",BuildingsTable[[#This Row],[RSD]]=""),"",BuildingsTable[[#This Row],[Total emissions (kgCO2e)]]*(1+BuildingsTable[[#This Row],[RSD]]))</f>
        <v/>
      </c>
      <c r="V93" s="290" t="str">
        <f>IF(OR($M93="",BuildingsTable[[#This Row],[RSD]]=""),"",BuildingsTable[[#This Row],[Total emissions (kgCO2e)]]*(1-BuildingsTable[[#This Row],[RSD]]))</f>
        <v/>
      </c>
      <c r="W93" s="320" t="str" cm="1">
        <f t="array" ref="W93">IF(OR($D93="",$H93=""),"",(INDEX('Emission factors'!$K$3:$V$201,MATCH('Buildings &amp; stationary assets'!$D93&amp;$E93,'Emission factors'!$J$3:$J$201&amp;'Emission factors'!$K$3:$K$201,0),MATCH('Buildings &amp; stationary assets'!W$6,'Emission factors'!$K$2:$V$2,0)))*$J93)</f>
        <v/>
      </c>
      <c r="X93" s="66"/>
      <c r="Y93" s="1" cm="1">
        <f t="array" ref="Y93">IF(OR(ISERROR(B93:W93)),1,0)</f>
        <v>0</v>
      </c>
      <c r="Z93" s="1">
        <f t="shared" si="1"/>
        <v>0</v>
      </c>
    </row>
    <row r="94" spans="1:26" s="1" customFormat="1" ht="15" outlineLevel="1" thickBot="1" x14ac:dyDescent="0.4">
      <c r="A94" s="189"/>
      <c r="B94" s="461"/>
      <c r="C94" s="155"/>
      <c r="D94" s="151"/>
      <c r="E94" s="151"/>
      <c r="F94" s="151"/>
      <c r="G94" s="187" t="str">
        <f>IF(F94="","",INDEX(Lists!$BA$4:$BC$31,MATCH(D94,Lists!$AZ$4:$AZ$31,0),MATCH(F94,Lists!$BA$3:$BC$3,0)))</f>
        <v/>
      </c>
      <c r="H94" s="148"/>
      <c r="I94" s="151"/>
      <c r="J94" s="154" t="str" cm="1">
        <f t="array" ref="J94">IF(OR($D94="",$C94="",$H94="",$I94=""),"",IF(I94=K94,H94,(INDEX('Emission factors'!$K$3:$V$201,MATCH(D94&amp;E94,'Emission factors'!$J$3:$J$201&amp;'Emission factors'!$K$3:$K$201,0),MATCH(J$6,'Emission factors'!$K$2:$V$2,0)))*H94))</f>
        <v/>
      </c>
      <c r="K94" s="192" t="str">
        <f>IF(OR($D94="",$C94="",$H94="",$I94=""),"",INDEX('Emission factors'!$K$3:$V$201,MATCH('Buildings &amp; stationary assets'!$D94,'Emission factors'!$J$3:$J$201,0),MATCH($K$6,'Emission factors'!$K$2:$V$2,0)))</f>
        <v/>
      </c>
      <c r="L94" s="193" t="str" cm="1">
        <f t="array" ref="L94">IF(OR(D94="",H94="",BuildingsTable[[#This Row],[Units]]=""),"",INDEX('Emission factors'!$K$3:$V$201,MATCH('Buildings &amp; stationary assets'!$D94&amp;E94,'Emission factors'!$J$3:$J$201&amp;'Emission factors'!$K$3:$K$201,0),MATCH('Buildings &amp; stationary assets'!$L$6,'Emission factors'!$K$2:$V$2,0)))</f>
        <v/>
      </c>
      <c r="M94" s="287" t="str">
        <f>IF(OR(J94="",L94=""),"",SUM(BuildingsTable[[#This Row],[Direct]:[Indirect WTT]]))</f>
        <v/>
      </c>
      <c r="N94" s="150"/>
      <c r="O94" s="151"/>
      <c r="P94" s="288" t="str" cm="1">
        <f t="array" ref="P94">IF(OR($D94="",$H94=""),"",(INDEX('Emission factors'!$K$3:$V$201,MATCH('Buildings &amp; stationary assets'!$D94&amp;$E94,'Emission factors'!$J$3:$J$201&amp;'Emission factors'!$K$3:$K$201,0),MATCH('Buildings &amp; stationary assets'!P$6,'Emission factors'!$K$2:$V$2,0)))*$J94)</f>
        <v/>
      </c>
      <c r="Q94" s="288" t="str" cm="1">
        <f t="array" ref="Q94">IF(OR($D94="",$H94=""),"",(INDEX('Emission factors'!$K$3:$V$201,MATCH('Buildings &amp; stationary assets'!$D94&amp;$E94,'Emission factors'!$J$3:$J$201&amp;'Emission factors'!$K$3:$K$201,0),MATCH('Buildings &amp; stationary assets'!Q$6,'Emission factors'!$K$2:$V$2,0)))*$J94)</f>
        <v/>
      </c>
      <c r="R94" s="288" t="str" cm="1">
        <f t="array" ref="R94">IF(OR($D94="",$H94=""),"",(INDEX('Emission factors'!$K$3:$V$201,MATCH('Buildings &amp; stationary assets'!$D94&amp;$E94,'Emission factors'!$J$3:$J$201&amp;'Emission factors'!$K$3:$K$201,0),MATCH('Buildings &amp; stationary assets'!R$6,'Emission factors'!$K$2:$V$2,0)))*$J94)</f>
        <v/>
      </c>
      <c r="S94" s="288" t="str" cm="1">
        <f t="array" ref="S94">IF(OR($D94="",$H94=""),"",(INDEX('Emission factors'!$K$3:$V$201,MATCH('Buildings &amp; stationary assets'!$D94&amp;$E94,'Emission factors'!$J$3:$J$201&amp;'Emission factors'!$K$3:$K$201,0),MATCH('Buildings &amp; stationary assets'!S$6,'Emission factors'!$K$2:$V$2,0)))*$J94)</f>
        <v/>
      </c>
      <c r="T94" s="288" t="str" cm="1">
        <f t="array" ref="T94">IF(OR($D94="",$H94=""),"",(INDEX('Emission factors'!$K$3:$V$201,MATCH('Buildings &amp; stationary assets'!$D94&amp;$E94,'Emission factors'!$J$3:$J$201&amp;'Emission factors'!$K$3:$K$201,0),MATCH('Buildings &amp; stationary assets'!T$6,'Emission factors'!$K$2:$V$2,0)))*$J94)</f>
        <v/>
      </c>
      <c r="U94" s="289" t="str">
        <f>IF(OR($M94="",BuildingsTable[[#This Row],[RSD]]=""),"",BuildingsTable[[#This Row],[Total emissions (kgCO2e)]]*(1+BuildingsTable[[#This Row],[RSD]]))</f>
        <v/>
      </c>
      <c r="V94" s="290" t="str">
        <f>IF(OR($M94="",BuildingsTable[[#This Row],[RSD]]=""),"",BuildingsTable[[#This Row],[Total emissions (kgCO2e)]]*(1-BuildingsTable[[#This Row],[RSD]]))</f>
        <v/>
      </c>
      <c r="W94" s="320" t="str" cm="1">
        <f t="array" ref="W94">IF(OR($D94="",$H94=""),"",(INDEX('Emission factors'!$K$3:$V$201,MATCH('Buildings &amp; stationary assets'!$D94&amp;$E94,'Emission factors'!$J$3:$J$201&amp;'Emission factors'!$K$3:$K$201,0),MATCH('Buildings &amp; stationary assets'!W$6,'Emission factors'!$K$2:$V$2,0)))*$J94)</f>
        <v/>
      </c>
      <c r="X94" s="66"/>
      <c r="Y94" s="1" cm="1">
        <f t="array" ref="Y94">IF(OR(ISERROR(B94:W94)),1,0)</f>
        <v>0</v>
      </c>
      <c r="Z94" s="1">
        <f t="shared" si="1"/>
        <v>0</v>
      </c>
    </row>
    <row r="95" spans="1:26" s="1" customFormat="1" ht="15" outlineLevel="1" thickBot="1" x14ac:dyDescent="0.4">
      <c r="A95" s="189"/>
      <c r="B95" s="461"/>
      <c r="C95" s="155"/>
      <c r="D95" s="151"/>
      <c r="E95" s="151"/>
      <c r="F95" s="151"/>
      <c r="G95" s="187" t="str">
        <f>IF(F95="","",INDEX(Lists!$BA$4:$BC$31,MATCH(D95,Lists!$AZ$4:$AZ$31,0),MATCH(F95,Lists!$BA$3:$BC$3,0)))</f>
        <v/>
      </c>
      <c r="H95" s="148"/>
      <c r="I95" s="151"/>
      <c r="J95" s="154" t="str" cm="1">
        <f t="array" ref="J95">IF(OR($D95="",$C95="",$H95="",$I95=""),"",IF(I95=K95,H95,(INDEX('Emission factors'!$K$3:$V$201,MATCH(D95&amp;E95,'Emission factors'!$J$3:$J$201&amp;'Emission factors'!$K$3:$K$201,0),MATCH(J$6,'Emission factors'!$K$2:$V$2,0)))*H95))</f>
        <v/>
      </c>
      <c r="K95" s="192" t="str">
        <f>IF(OR($D95="",$C95="",$H95="",$I95=""),"",INDEX('Emission factors'!$K$3:$V$201,MATCH('Buildings &amp; stationary assets'!$D95,'Emission factors'!$J$3:$J$201,0),MATCH($K$6,'Emission factors'!$K$2:$V$2,0)))</f>
        <v/>
      </c>
      <c r="L95" s="193" t="str" cm="1">
        <f t="array" ref="L95">IF(OR(D95="",H95="",BuildingsTable[[#This Row],[Units]]=""),"",INDEX('Emission factors'!$K$3:$V$201,MATCH('Buildings &amp; stationary assets'!$D95&amp;E95,'Emission factors'!$J$3:$J$201&amp;'Emission factors'!$K$3:$K$201,0),MATCH('Buildings &amp; stationary assets'!$L$6,'Emission factors'!$K$2:$V$2,0)))</f>
        <v/>
      </c>
      <c r="M95" s="287" t="str">
        <f>IF(OR(J95="",L95=""),"",SUM(BuildingsTable[[#This Row],[Direct]:[Indirect WTT]]))</f>
        <v/>
      </c>
      <c r="N95" s="150"/>
      <c r="O95" s="151"/>
      <c r="P95" s="288" t="str" cm="1">
        <f t="array" ref="P95">IF(OR($D95="",$H95=""),"",(INDEX('Emission factors'!$K$3:$V$201,MATCH('Buildings &amp; stationary assets'!$D95&amp;$E95,'Emission factors'!$J$3:$J$201&amp;'Emission factors'!$K$3:$K$201,0),MATCH('Buildings &amp; stationary assets'!P$6,'Emission factors'!$K$2:$V$2,0)))*$J95)</f>
        <v/>
      </c>
      <c r="Q95" s="288" t="str" cm="1">
        <f t="array" ref="Q95">IF(OR($D95="",$H95=""),"",(INDEX('Emission factors'!$K$3:$V$201,MATCH('Buildings &amp; stationary assets'!$D95&amp;$E95,'Emission factors'!$J$3:$J$201&amp;'Emission factors'!$K$3:$K$201,0),MATCH('Buildings &amp; stationary assets'!Q$6,'Emission factors'!$K$2:$V$2,0)))*$J95)</f>
        <v/>
      </c>
      <c r="R95" s="288" t="str" cm="1">
        <f t="array" ref="R95">IF(OR($D95="",$H95=""),"",(INDEX('Emission factors'!$K$3:$V$201,MATCH('Buildings &amp; stationary assets'!$D95&amp;$E95,'Emission factors'!$J$3:$J$201&amp;'Emission factors'!$K$3:$K$201,0),MATCH('Buildings &amp; stationary assets'!R$6,'Emission factors'!$K$2:$V$2,0)))*$J95)</f>
        <v/>
      </c>
      <c r="S95" s="288" t="str" cm="1">
        <f t="array" ref="S95">IF(OR($D95="",$H95=""),"",(INDEX('Emission factors'!$K$3:$V$201,MATCH('Buildings &amp; stationary assets'!$D95&amp;$E95,'Emission factors'!$J$3:$J$201&amp;'Emission factors'!$K$3:$K$201,0),MATCH('Buildings &amp; stationary assets'!S$6,'Emission factors'!$K$2:$V$2,0)))*$J95)</f>
        <v/>
      </c>
      <c r="T95" s="288" t="str" cm="1">
        <f t="array" ref="T95">IF(OR($D95="",$H95=""),"",(INDEX('Emission factors'!$K$3:$V$201,MATCH('Buildings &amp; stationary assets'!$D95&amp;$E95,'Emission factors'!$J$3:$J$201&amp;'Emission factors'!$K$3:$K$201,0),MATCH('Buildings &amp; stationary assets'!T$6,'Emission factors'!$K$2:$V$2,0)))*$J95)</f>
        <v/>
      </c>
      <c r="U95" s="289" t="str">
        <f>IF(OR($M95="",BuildingsTable[[#This Row],[RSD]]=""),"",BuildingsTable[[#This Row],[Total emissions (kgCO2e)]]*(1+BuildingsTable[[#This Row],[RSD]]))</f>
        <v/>
      </c>
      <c r="V95" s="290" t="str">
        <f>IF(OR($M95="",BuildingsTable[[#This Row],[RSD]]=""),"",BuildingsTable[[#This Row],[Total emissions (kgCO2e)]]*(1-BuildingsTable[[#This Row],[RSD]]))</f>
        <v/>
      </c>
      <c r="W95" s="320" t="str" cm="1">
        <f t="array" ref="W95">IF(OR($D95="",$H95=""),"",(INDEX('Emission factors'!$K$3:$V$201,MATCH('Buildings &amp; stationary assets'!$D95&amp;$E95,'Emission factors'!$J$3:$J$201&amp;'Emission factors'!$K$3:$K$201,0),MATCH('Buildings &amp; stationary assets'!W$6,'Emission factors'!$K$2:$V$2,0)))*$J95)</f>
        <v/>
      </c>
      <c r="X95" s="66"/>
      <c r="Y95" s="1" cm="1">
        <f t="array" ref="Y95">IF(OR(ISERROR(B95:W95)),1,0)</f>
        <v>0</v>
      </c>
      <c r="Z95" s="1">
        <f t="shared" si="1"/>
        <v>0</v>
      </c>
    </row>
    <row r="96" spans="1:26" s="1" customFormat="1" ht="15" outlineLevel="1" thickBot="1" x14ac:dyDescent="0.4">
      <c r="A96" s="189"/>
      <c r="B96" s="461"/>
      <c r="C96" s="155"/>
      <c r="D96" s="151"/>
      <c r="E96" s="151"/>
      <c r="F96" s="151"/>
      <c r="G96" s="187" t="str">
        <f>IF(F96="","",INDEX(Lists!$BA$4:$BC$31,MATCH(D96,Lists!$AZ$4:$AZ$31,0),MATCH(F96,Lists!$BA$3:$BC$3,0)))</f>
        <v/>
      </c>
      <c r="H96" s="148"/>
      <c r="I96" s="151"/>
      <c r="J96" s="154" t="str" cm="1">
        <f t="array" ref="J96">IF(OR($D96="",$C96="",$H96="",$I96=""),"",IF(I96=K96,H96,(INDEX('Emission factors'!$K$3:$V$201,MATCH(D96&amp;E96,'Emission factors'!$J$3:$J$201&amp;'Emission factors'!$K$3:$K$201,0),MATCH(J$6,'Emission factors'!$K$2:$V$2,0)))*H96))</f>
        <v/>
      </c>
      <c r="K96" s="192" t="str">
        <f>IF(OR($D96="",$C96="",$H96="",$I96=""),"",INDEX('Emission factors'!$K$3:$V$201,MATCH('Buildings &amp; stationary assets'!$D96,'Emission factors'!$J$3:$J$201,0),MATCH($K$6,'Emission factors'!$K$2:$V$2,0)))</f>
        <v/>
      </c>
      <c r="L96" s="193" t="str" cm="1">
        <f t="array" ref="L96">IF(OR(D96="",H96="",BuildingsTable[[#This Row],[Units]]=""),"",INDEX('Emission factors'!$K$3:$V$201,MATCH('Buildings &amp; stationary assets'!$D96&amp;E96,'Emission factors'!$J$3:$J$201&amp;'Emission factors'!$K$3:$K$201,0),MATCH('Buildings &amp; stationary assets'!$L$6,'Emission factors'!$K$2:$V$2,0)))</f>
        <v/>
      </c>
      <c r="M96" s="287" t="str">
        <f>IF(OR(J96="",L96=""),"",SUM(BuildingsTable[[#This Row],[Direct]:[Indirect WTT]]))</f>
        <v/>
      </c>
      <c r="N96" s="150"/>
      <c r="O96" s="151"/>
      <c r="P96" s="288" t="str" cm="1">
        <f t="array" ref="P96">IF(OR($D96="",$H96=""),"",(INDEX('Emission factors'!$K$3:$V$201,MATCH('Buildings &amp; stationary assets'!$D96&amp;$E96,'Emission factors'!$J$3:$J$201&amp;'Emission factors'!$K$3:$K$201,0),MATCH('Buildings &amp; stationary assets'!P$6,'Emission factors'!$K$2:$V$2,0)))*$J96)</f>
        <v/>
      </c>
      <c r="Q96" s="288" t="str" cm="1">
        <f t="array" ref="Q96">IF(OR($D96="",$H96=""),"",(INDEX('Emission factors'!$K$3:$V$201,MATCH('Buildings &amp; stationary assets'!$D96&amp;$E96,'Emission factors'!$J$3:$J$201&amp;'Emission factors'!$K$3:$K$201,0),MATCH('Buildings &amp; stationary assets'!Q$6,'Emission factors'!$K$2:$V$2,0)))*$J96)</f>
        <v/>
      </c>
      <c r="R96" s="288" t="str" cm="1">
        <f t="array" ref="R96">IF(OR($D96="",$H96=""),"",(INDEX('Emission factors'!$K$3:$V$201,MATCH('Buildings &amp; stationary assets'!$D96&amp;$E96,'Emission factors'!$J$3:$J$201&amp;'Emission factors'!$K$3:$K$201,0),MATCH('Buildings &amp; stationary assets'!R$6,'Emission factors'!$K$2:$V$2,0)))*$J96)</f>
        <v/>
      </c>
      <c r="S96" s="288" t="str" cm="1">
        <f t="array" ref="S96">IF(OR($D96="",$H96=""),"",(INDEX('Emission factors'!$K$3:$V$201,MATCH('Buildings &amp; stationary assets'!$D96&amp;$E96,'Emission factors'!$J$3:$J$201&amp;'Emission factors'!$K$3:$K$201,0),MATCH('Buildings &amp; stationary assets'!S$6,'Emission factors'!$K$2:$V$2,0)))*$J96)</f>
        <v/>
      </c>
      <c r="T96" s="288" t="str" cm="1">
        <f t="array" ref="T96">IF(OR($D96="",$H96=""),"",(INDEX('Emission factors'!$K$3:$V$201,MATCH('Buildings &amp; stationary assets'!$D96&amp;$E96,'Emission factors'!$J$3:$J$201&amp;'Emission factors'!$K$3:$K$201,0),MATCH('Buildings &amp; stationary assets'!T$6,'Emission factors'!$K$2:$V$2,0)))*$J96)</f>
        <v/>
      </c>
      <c r="U96" s="289" t="str">
        <f>IF(OR($M96="",BuildingsTable[[#This Row],[RSD]]=""),"",BuildingsTable[[#This Row],[Total emissions (kgCO2e)]]*(1+BuildingsTable[[#This Row],[RSD]]))</f>
        <v/>
      </c>
      <c r="V96" s="290" t="str">
        <f>IF(OR($M96="",BuildingsTable[[#This Row],[RSD]]=""),"",BuildingsTable[[#This Row],[Total emissions (kgCO2e)]]*(1-BuildingsTable[[#This Row],[RSD]]))</f>
        <v/>
      </c>
      <c r="W96" s="320" t="str" cm="1">
        <f t="array" ref="W96">IF(OR($D96="",$H96=""),"",(INDEX('Emission factors'!$K$3:$V$201,MATCH('Buildings &amp; stationary assets'!$D96&amp;$E96,'Emission factors'!$J$3:$J$201&amp;'Emission factors'!$K$3:$K$201,0),MATCH('Buildings &amp; stationary assets'!W$6,'Emission factors'!$K$2:$V$2,0)))*$J96)</f>
        <v/>
      </c>
      <c r="X96" s="66"/>
      <c r="Y96" s="1" cm="1">
        <f t="array" ref="Y96">IF(OR(ISERROR(B96:W96)),1,0)</f>
        <v>0</v>
      </c>
      <c r="Z96" s="1">
        <f t="shared" si="1"/>
        <v>0</v>
      </c>
    </row>
    <row r="97" spans="1:26" s="1" customFormat="1" ht="15" outlineLevel="1" thickBot="1" x14ac:dyDescent="0.4">
      <c r="A97" s="189"/>
      <c r="B97" s="461"/>
      <c r="C97" s="155"/>
      <c r="D97" s="151"/>
      <c r="E97" s="151"/>
      <c r="F97" s="151"/>
      <c r="G97" s="187" t="str">
        <f>IF(F97="","",INDEX(Lists!$BA$4:$BC$31,MATCH(D97,Lists!$AZ$4:$AZ$31,0),MATCH(F97,Lists!$BA$3:$BC$3,0)))</f>
        <v/>
      </c>
      <c r="H97" s="148"/>
      <c r="I97" s="151"/>
      <c r="J97" s="154" t="str" cm="1">
        <f t="array" ref="J97">IF(OR($D97="",$C97="",$H97="",$I97=""),"",IF(I97=K97,H97,(INDEX('Emission factors'!$K$3:$V$201,MATCH(D97&amp;E97,'Emission factors'!$J$3:$J$201&amp;'Emission factors'!$K$3:$K$201,0),MATCH(J$6,'Emission factors'!$K$2:$V$2,0)))*H97))</f>
        <v/>
      </c>
      <c r="K97" s="192" t="str">
        <f>IF(OR($D97="",$C97="",$H97="",$I97=""),"",INDEX('Emission factors'!$K$3:$V$201,MATCH('Buildings &amp; stationary assets'!$D97,'Emission factors'!$J$3:$J$201,0),MATCH($K$6,'Emission factors'!$K$2:$V$2,0)))</f>
        <v/>
      </c>
      <c r="L97" s="193" t="str" cm="1">
        <f t="array" ref="L97">IF(OR(D97="",H97="",BuildingsTable[[#This Row],[Units]]=""),"",INDEX('Emission factors'!$K$3:$V$201,MATCH('Buildings &amp; stationary assets'!$D97&amp;E97,'Emission factors'!$J$3:$J$201&amp;'Emission factors'!$K$3:$K$201,0),MATCH('Buildings &amp; stationary assets'!$L$6,'Emission factors'!$K$2:$V$2,0)))</f>
        <v/>
      </c>
      <c r="M97" s="287" t="str">
        <f>IF(OR(J97="",L97=""),"",SUM(BuildingsTable[[#This Row],[Direct]:[Indirect WTT]]))</f>
        <v/>
      </c>
      <c r="N97" s="150"/>
      <c r="O97" s="151"/>
      <c r="P97" s="288" t="str" cm="1">
        <f t="array" ref="P97">IF(OR($D97="",$H97=""),"",(INDEX('Emission factors'!$K$3:$V$201,MATCH('Buildings &amp; stationary assets'!$D97&amp;$E97,'Emission factors'!$J$3:$J$201&amp;'Emission factors'!$K$3:$K$201,0),MATCH('Buildings &amp; stationary assets'!P$6,'Emission factors'!$K$2:$V$2,0)))*$J97)</f>
        <v/>
      </c>
      <c r="Q97" s="288" t="str" cm="1">
        <f t="array" ref="Q97">IF(OR($D97="",$H97=""),"",(INDEX('Emission factors'!$K$3:$V$201,MATCH('Buildings &amp; stationary assets'!$D97&amp;$E97,'Emission factors'!$J$3:$J$201&amp;'Emission factors'!$K$3:$K$201,0),MATCH('Buildings &amp; stationary assets'!Q$6,'Emission factors'!$K$2:$V$2,0)))*$J97)</f>
        <v/>
      </c>
      <c r="R97" s="288" t="str" cm="1">
        <f t="array" ref="R97">IF(OR($D97="",$H97=""),"",(INDEX('Emission factors'!$K$3:$V$201,MATCH('Buildings &amp; stationary assets'!$D97&amp;$E97,'Emission factors'!$J$3:$J$201&amp;'Emission factors'!$K$3:$K$201,0),MATCH('Buildings &amp; stationary assets'!R$6,'Emission factors'!$K$2:$V$2,0)))*$J97)</f>
        <v/>
      </c>
      <c r="S97" s="288" t="str" cm="1">
        <f t="array" ref="S97">IF(OR($D97="",$H97=""),"",(INDEX('Emission factors'!$K$3:$V$201,MATCH('Buildings &amp; stationary assets'!$D97&amp;$E97,'Emission factors'!$J$3:$J$201&amp;'Emission factors'!$K$3:$K$201,0),MATCH('Buildings &amp; stationary assets'!S$6,'Emission factors'!$K$2:$V$2,0)))*$J97)</f>
        <v/>
      </c>
      <c r="T97" s="288" t="str" cm="1">
        <f t="array" ref="T97">IF(OR($D97="",$H97=""),"",(INDEX('Emission factors'!$K$3:$V$201,MATCH('Buildings &amp; stationary assets'!$D97&amp;$E97,'Emission factors'!$J$3:$J$201&amp;'Emission factors'!$K$3:$K$201,0),MATCH('Buildings &amp; stationary assets'!T$6,'Emission factors'!$K$2:$V$2,0)))*$J97)</f>
        <v/>
      </c>
      <c r="U97" s="289" t="str">
        <f>IF(OR($M97="",BuildingsTable[[#This Row],[RSD]]=""),"",BuildingsTable[[#This Row],[Total emissions (kgCO2e)]]*(1+BuildingsTable[[#This Row],[RSD]]))</f>
        <v/>
      </c>
      <c r="V97" s="290" t="str">
        <f>IF(OR($M97="",BuildingsTable[[#This Row],[RSD]]=""),"",BuildingsTable[[#This Row],[Total emissions (kgCO2e)]]*(1-BuildingsTable[[#This Row],[RSD]]))</f>
        <v/>
      </c>
      <c r="W97" s="320" t="str" cm="1">
        <f t="array" ref="W97">IF(OR($D97="",$H97=""),"",(INDEX('Emission factors'!$K$3:$V$201,MATCH('Buildings &amp; stationary assets'!$D97&amp;$E97,'Emission factors'!$J$3:$J$201&amp;'Emission factors'!$K$3:$K$201,0),MATCH('Buildings &amp; stationary assets'!W$6,'Emission factors'!$K$2:$V$2,0)))*$J97)</f>
        <v/>
      </c>
      <c r="X97" s="66"/>
      <c r="Y97" s="1" cm="1">
        <f t="array" ref="Y97">IF(OR(ISERROR(B97:W97)),1,0)</f>
        <v>0</v>
      </c>
      <c r="Z97" s="1">
        <f t="shared" si="1"/>
        <v>0</v>
      </c>
    </row>
    <row r="98" spans="1:26" s="1" customFormat="1" ht="15" outlineLevel="1" thickBot="1" x14ac:dyDescent="0.4">
      <c r="A98" s="189"/>
      <c r="B98" s="461"/>
      <c r="C98" s="155"/>
      <c r="D98" s="151"/>
      <c r="E98" s="151"/>
      <c r="F98" s="151"/>
      <c r="G98" s="187" t="str">
        <f>IF(F98="","",INDEX(Lists!$BA$4:$BC$31,MATCH(D98,Lists!$AZ$4:$AZ$31,0),MATCH(F98,Lists!$BA$3:$BC$3,0)))</f>
        <v/>
      </c>
      <c r="H98" s="148"/>
      <c r="I98" s="151"/>
      <c r="J98" s="154" t="str" cm="1">
        <f t="array" ref="J98">IF(OR($D98="",$C98="",$H98="",$I98=""),"",IF(I98=K98,H98,(INDEX('Emission factors'!$K$3:$V$201,MATCH(D98&amp;E98,'Emission factors'!$J$3:$J$201&amp;'Emission factors'!$K$3:$K$201,0),MATCH(J$6,'Emission factors'!$K$2:$V$2,0)))*H98))</f>
        <v/>
      </c>
      <c r="K98" s="192" t="str">
        <f>IF(OR($D98="",$C98="",$H98="",$I98=""),"",INDEX('Emission factors'!$K$3:$V$201,MATCH('Buildings &amp; stationary assets'!$D98,'Emission factors'!$J$3:$J$201,0),MATCH($K$6,'Emission factors'!$K$2:$V$2,0)))</f>
        <v/>
      </c>
      <c r="L98" s="193" t="str" cm="1">
        <f t="array" ref="L98">IF(OR(D98="",H98="",BuildingsTable[[#This Row],[Units]]=""),"",INDEX('Emission factors'!$K$3:$V$201,MATCH('Buildings &amp; stationary assets'!$D98&amp;E98,'Emission factors'!$J$3:$J$201&amp;'Emission factors'!$K$3:$K$201,0),MATCH('Buildings &amp; stationary assets'!$L$6,'Emission factors'!$K$2:$V$2,0)))</f>
        <v/>
      </c>
      <c r="M98" s="287" t="str">
        <f>IF(OR(J98="",L98=""),"",SUM(BuildingsTable[[#This Row],[Direct]:[Indirect WTT]]))</f>
        <v/>
      </c>
      <c r="N98" s="150"/>
      <c r="O98" s="151"/>
      <c r="P98" s="288" t="str" cm="1">
        <f t="array" ref="P98">IF(OR($D98="",$H98=""),"",(INDEX('Emission factors'!$K$3:$V$201,MATCH('Buildings &amp; stationary assets'!$D98&amp;$E98,'Emission factors'!$J$3:$J$201&amp;'Emission factors'!$K$3:$K$201,0),MATCH('Buildings &amp; stationary assets'!P$6,'Emission factors'!$K$2:$V$2,0)))*$J98)</f>
        <v/>
      </c>
      <c r="Q98" s="288" t="str" cm="1">
        <f t="array" ref="Q98">IF(OR($D98="",$H98=""),"",(INDEX('Emission factors'!$K$3:$V$201,MATCH('Buildings &amp; stationary assets'!$D98&amp;$E98,'Emission factors'!$J$3:$J$201&amp;'Emission factors'!$K$3:$K$201,0),MATCH('Buildings &amp; stationary assets'!Q$6,'Emission factors'!$K$2:$V$2,0)))*$J98)</f>
        <v/>
      </c>
      <c r="R98" s="288" t="str" cm="1">
        <f t="array" ref="R98">IF(OR($D98="",$H98=""),"",(INDEX('Emission factors'!$K$3:$V$201,MATCH('Buildings &amp; stationary assets'!$D98&amp;$E98,'Emission factors'!$J$3:$J$201&amp;'Emission factors'!$K$3:$K$201,0),MATCH('Buildings &amp; stationary assets'!R$6,'Emission factors'!$K$2:$V$2,0)))*$J98)</f>
        <v/>
      </c>
      <c r="S98" s="288" t="str" cm="1">
        <f t="array" ref="S98">IF(OR($D98="",$H98=""),"",(INDEX('Emission factors'!$K$3:$V$201,MATCH('Buildings &amp; stationary assets'!$D98&amp;$E98,'Emission factors'!$J$3:$J$201&amp;'Emission factors'!$K$3:$K$201,0),MATCH('Buildings &amp; stationary assets'!S$6,'Emission factors'!$K$2:$V$2,0)))*$J98)</f>
        <v/>
      </c>
      <c r="T98" s="288" t="str" cm="1">
        <f t="array" ref="T98">IF(OR($D98="",$H98=""),"",(INDEX('Emission factors'!$K$3:$V$201,MATCH('Buildings &amp; stationary assets'!$D98&amp;$E98,'Emission factors'!$J$3:$J$201&amp;'Emission factors'!$K$3:$K$201,0),MATCH('Buildings &amp; stationary assets'!T$6,'Emission factors'!$K$2:$V$2,0)))*$J98)</f>
        <v/>
      </c>
      <c r="U98" s="289" t="str">
        <f>IF(OR($M98="",BuildingsTable[[#This Row],[RSD]]=""),"",BuildingsTable[[#This Row],[Total emissions (kgCO2e)]]*(1+BuildingsTable[[#This Row],[RSD]]))</f>
        <v/>
      </c>
      <c r="V98" s="290" t="str">
        <f>IF(OR($M98="",BuildingsTable[[#This Row],[RSD]]=""),"",BuildingsTable[[#This Row],[Total emissions (kgCO2e)]]*(1-BuildingsTable[[#This Row],[RSD]]))</f>
        <v/>
      </c>
      <c r="W98" s="320" t="str" cm="1">
        <f t="array" ref="W98">IF(OR($D98="",$H98=""),"",(INDEX('Emission factors'!$K$3:$V$201,MATCH('Buildings &amp; stationary assets'!$D98&amp;$E98,'Emission factors'!$J$3:$J$201&amp;'Emission factors'!$K$3:$K$201,0),MATCH('Buildings &amp; stationary assets'!W$6,'Emission factors'!$K$2:$V$2,0)))*$J98)</f>
        <v/>
      </c>
      <c r="X98" s="66"/>
      <c r="Y98" s="1" cm="1">
        <f t="array" ref="Y98">IF(OR(ISERROR(B98:W98)),1,0)</f>
        <v>0</v>
      </c>
      <c r="Z98" s="1">
        <f t="shared" si="1"/>
        <v>0</v>
      </c>
    </row>
    <row r="99" spans="1:26" s="1" customFormat="1" ht="15" outlineLevel="1" thickBot="1" x14ac:dyDescent="0.4">
      <c r="A99" s="189"/>
      <c r="B99" s="461"/>
      <c r="C99" s="155"/>
      <c r="D99" s="151"/>
      <c r="E99" s="151"/>
      <c r="F99" s="151"/>
      <c r="G99" s="187" t="str">
        <f>IF(F99="","",INDEX(Lists!$BA$4:$BC$31,MATCH(D99,Lists!$AZ$4:$AZ$31,0),MATCH(F99,Lists!$BA$3:$BC$3,0)))</f>
        <v/>
      </c>
      <c r="H99" s="148"/>
      <c r="I99" s="151"/>
      <c r="J99" s="154" t="str" cm="1">
        <f t="array" ref="J99">IF(OR($D99="",$C99="",$H99="",$I99=""),"",IF(I99=K99,H99,(INDEX('Emission factors'!$K$3:$V$201,MATCH(D99&amp;E99,'Emission factors'!$J$3:$J$201&amp;'Emission factors'!$K$3:$K$201,0),MATCH(J$6,'Emission factors'!$K$2:$V$2,0)))*H99))</f>
        <v/>
      </c>
      <c r="K99" s="192" t="str">
        <f>IF(OR($D99="",$C99="",$H99="",$I99=""),"",INDEX('Emission factors'!$K$3:$V$201,MATCH('Buildings &amp; stationary assets'!$D99,'Emission factors'!$J$3:$J$201,0),MATCH($K$6,'Emission factors'!$K$2:$V$2,0)))</f>
        <v/>
      </c>
      <c r="L99" s="193" t="str" cm="1">
        <f t="array" ref="L99">IF(OR(D99="",H99="",BuildingsTable[[#This Row],[Units]]=""),"",INDEX('Emission factors'!$K$3:$V$201,MATCH('Buildings &amp; stationary assets'!$D99&amp;E99,'Emission factors'!$J$3:$J$201&amp;'Emission factors'!$K$3:$K$201,0),MATCH('Buildings &amp; stationary assets'!$L$6,'Emission factors'!$K$2:$V$2,0)))</f>
        <v/>
      </c>
      <c r="M99" s="287" t="str">
        <f>IF(OR(J99="",L99=""),"",SUM(BuildingsTable[[#This Row],[Direct]:[Indirect WTT]]))</f>
        <v/>
      </c>
      <c r="N99" s="150"/>
      <c r="O99" s="151"/>
      <c r="P99" s="288" t="str" cm="1">
        <f t="array" ref="P99">IF(OR($D99="",$H99=""),"",(INDEX('Emission factors'!$K$3:$V$201,MATCH('Buildings &amp; stationary assets'!$D99&amp;$E99,'Emission factors'!$J$3:$J$201&amp;'Emission factors'!$K$3:$K$201,0),MATCH('Buildings &amp; stationary assets'!P$6,'Emission factors'!$K$2:$V$2,0)))*$J99)</f>
        <v/>
      </c>
      <c r="Q99" s="288" t="str" cm="1">
        <f t="array" ref="Q99">IF(OR($D99="",$H99=""),"",(INDEX('Emission factors'!$K$3:$V$201,MATCH('Buildings &amp; stationary assets'!$D99&amp;$E99,'Emission factors'!$J$3:$J$201&amp;'Emission factors'!$K$3:$K$201,0),MATCH('Buildings &amp; stationary assets'!Q$6,'Emission factors'!$K$2:$V$2,0)))*$J99)</f>
        <v/>
      </c>
      <c r="R99" s="288" t="str" cm="1">
        <f t="array" ref="R99">IF(OR($D99="",$H99=""),"",(INDEX('Emission factors'!$K$3:$V$201,MATCH('Buildings &amp; stationary assets'!$D99&amp;$E99,'Emission factors'!$J$3:$J$201&amp;'Emission factors'!$K$3:$K$201,0),MATCH('Buildings &amp; stationary assets'!R$6,'Emission factors'!$K$2:$V$2,0)))*$J99)</f>
        <v/>
      </c>
      <c r="S99" s="288" t="str" cm="1">
        <f t="array" ref="S99">IF(OR($D99="",$H99=""),"",(INDEX('Emission factors'!$K$3:$V$201,MATCH('Buildings &amp; stationary assets'!$D99&amp;$E99,'Emission factors'!$J$3:$J$201&amp;'Emission factors'!$K$3:$K$201,0),MATCH('Buildings &amp; stationary assets'!S$6,'Emission factors'!$K$2:$V$2,0)))*$J99)</f>
        <v/>
      </c>
      <c r="T99" s="288" t="str" cm="1">
        <f t="array" ref="T99">IF(OR($D99="",$H99=""),"",(INDEX('Emission factors'!$K$3:$V$201,MATCH('Buildings &amp; stationary assets'!$D99&amp;$E99,'Emission factors'!$J$3:$J$201&amp;'Emission factors'!$K$3:$K$201,0),MATCH('Buildings &amp; stationary assets'!T$6,'Emission factors'!$K$2:$V$2,0)))*$J99)</f>
        <v/>
      </c>
      <c r="U99" s="289" t="str">
        <f>IF(OR($M99="",BuildingsTable[[#This Row],[RSD]]=""),"",BuildingsTable[[#This Row],[Total emissions (kgCO2e)]]*(1+BuildingsTable[[#This Row],[RSD]]))</f>
        <v/>
      </c>
      <c r="V99" s="290" t="str">
        <f>IF(OR($M99="",BuildingsTable[[#This Row],[RSD]]=""),"",BuildingsTable[[#This Row],[Total emissions (kgCO2e)]]*(1-BuildingsTable[[#This Row],[RSD]]))</f>
        <v/>
      </c>
      <c r="W99" s="320" t="str" cm="1">
        <f t="array" ref="W99">IF(OR($D99="",$H99=""),"",(INDEX('Emission factors'!$K$3:$V$201,MATCH('Buildings &amp; stationary assets'!$D99&amp;$E99,'Emission factors'!$J$3:$J$201&amp;'Emission factors'!$K$3:$K$201,0),MATCH('Buildings &amp; stationary assets'!W$6,'Emission factors'!$K$2:$V$2,0)))*$J99)</f>
        <v/>
      </c>
      <c r="X99" s="66"/>
      <c r="Y99" s="1" cm="1">
        <f t="array" ref="Y99">IF(OR(ISERROR(B99:W99)),1,0)</f>
        <v>0</v>
      </c>
      <c r="Z99" s="1">
        <f t="shared" si="1"/>
        <v>0</v>
      </c>
    </row>
    <row r="100" spans="1:26" s="1" customFormat="1" ht="15" outlineLevel="1" thickBot="1" x14ac:dyDescent="0.4">
      <c r="A100" s="189"/>
      <c r="B100" s="461"/>
      <c r="C100" s="155"/>
      <c r="D100" s="151"/>
      <c r="E100" s="151"/>
      <c r="F100" s="151"/>
      <c r="G100" s="187" t="str">
        <f>IF(F100="","",INDEX(Lists!$BA$4:$BC$31,MATCH(D100,Lists!$AZ$4:$AZ$31,0),MATCH(F100,Lists!$BA$3:$BC$3,0)))</f>
        <v/>
      </c>
      <c r="H100" s="148"/>
      <c r="I100" s="151"/>
      <c r="J100" s="154" t="str" cm="1">
        <f t="array" ref="J100">IF(OR($D100="",$C100="",$H100="",$I100=""),"",IF(I100=K100,H100,(INDEX('Emission factors'!$K$3:$V$201,MATCH(D100&amp;E100,'Emission factors'!$J$3:$J$201&amp;'Emission factors'!$K$3:$K$201,0),MATCH(J$6,'Emission factors'!$K$2:$V$2,0)))*H100))</f>
        <v/>
      </c>
      <c r="K100" s="192" t="str">
        <f>IF(OR($D100="",$C100="",$H100="",$I100=""),"",INDEX('Emission factors'!$K$3:$V$201,MATCH('Buildings &amp; stationary assets'!$D100,'Emission factors'!$J$3:$J$201,0),MATCH($K$6,'Emission factors'!$K$2:$V$2,0)))</f>
        <v/>
      </c>
      <c r="L100" s="193" t="str" cm="1">
        <f t="array" ref="L100">IF(OR(D100="",H100="",BuildingsTable[[#This Row],[Units]]=""),"",INDEX('Emission factors'!$K$3:$V$201,MATCH('Buildings &amp; stationary assets'!$D100&amp;E100,'Emission factors'!$J$3:$J$201&amp;'Emission factors'!$K$3:$K$201,0),MATCH('Buildings &amp; stationary assets'!$L$6,'Emission factors'!$K$2:$V$2,0)))</f>
        <v/>
      </c>
      <c r="M100" s="287" t="str">
        <f>IF(OR(J100="",L100=""),"",SUM(BuildingsTable[[#This Row],[Direct]:[Indirect WTT]]))</f>
        <v/>
      </c>
      <c r="N100" s="150"/>
      <c r="O100" s="151"/>
      <c r="P100" s="288" t="str" cm="1">
        <f t="array" ref="P100">IF(OR($D100="",$H100=""),"",(INDEX('Emission factors'!$K$3:$V$201,MATCH('Buildings &amp; stationary assets'!$D100&amp;$E100,'Emission factors'!$J$3:$J$201&amp;'Emission factors'!$K$3:$K$201,0),MATCH('Buildings &amp; stationary assets'!P$6,'Emission factors'!$K$2:$V$2,0)))*$J100)</f>
        <v/>
      </c>
      <c r="Q100" s="288" t="str" cm="1">
        <f t="array" ref="Q100">IF(OR($D100="",$H100=""),"",(INDEX('Emission factors'!$K$3:$V$201,MATCH('Buildings &amp; stationary assets'!$D100&amp;$E100,'Emission factors'!$J$3:$J$201&amp;'Emission factors'!$K$3:$K$201,0),MATCH('Buildings &amp; stationary assets'!Q$6,'Emission factors'!$K$2:$V$2,0)))*$J100)</f>
        <v/>
      </c>
      <c r="R100" s="288" t="str" cm="1">
        <f t="array" ref="R100">IF(OR($D100="",$H100=""),"",(INDEX('Emission factors'!$K$3:$V$201,MATCH('Buildings &amp; stationary assets'!$D100&amp;$E100,'Emission factors'!$J$3:$J$201&amp;'Emission factors'!$K$3:$K$201,0),MATCH('Buildings &amp; stationary assets'!R$6,'Emission factors'!$K$2:$V$2,0)))*$J100)</f>
        <v/>
      </c>
      <c r="S100" s="288" t="str" cm="1">
        <f t="array" ref="S100">IF(OR($D100="",$H100=""),"",(INDEX('Emission factors'!$K$3:$V$201,MATCH('Buildings &amp; stationary assets'!$D100&amp;$E100,'Emission factors'!$J$3:$J$201&amp;'Emission factors'!$K$3:$K$201,0),MATCH('Buildings &amp; stationary assets'!S$6,'Emission factors'!$K$2:$V$2,0)))*$J100)</f>
        <v/>
      </c>
      <c r="T100" s="288" t="str" cm="1">
        <f t="array" ref="T100">IF(OR($D100="",$H100=""),"",(INDEX('Emission factors'!$K$3:$V$201,MATCH('Buildings &amp; stationary assets'!$D100&amp;$E100,'Emission factors'!$J$3:$J$201&amp;'Emission factors'!$K$3:$K$201,0),MATCH('Buildings &amp; stationary assets'!T$6,'Emission factors'!$K$2:$V$2,0)))*$J100)</f>
        <v/>
      </c>
      <c r="U100" s="289" t="str">
        <f>IF(OR($M100="",BuildingsTable[[#This Row],[RSD]]=""),"",BuildingsTable[[#This Row],[Total emissions (kgCO2e)]]*(1+BuildingsTable[[#This Row],[RSD]]))</f>
        <v/>
      </c>
      <c r="V100" s="290" t="str">
        <f>IF(OR($M100="",BuildingsTable[[#This Row],[RSD]]=""),"",BuildingsTable[[#This Row],[Total emissions (kgCO2e)]]*(1-BuildingsTable[[#This Row],[RSD]]))</f>
        <v/>
      </c>
      <c r="W100" s="320" t="str" cm="1">
        <f t="array" ref="W100">IF(OR($D100="",$H100=""),"",(INDEX('Emission factors'!$K$3:$V$201,MATCH('Buildings &amp; stationary assets'!$D100&amp;$E100,'Emission factors'!$J$3:$J$201&amp;'Emission factors'!$K$3:$K$201,0),MATCH('Buildings &amp; stationary assets'!W$6,'Emission factors'!$K$2:$V$2,0)))*$J100)</f>
        <v/>
      </c>
      <c r="X100" s="66"/>
      <c r="Y100" s="1" cm="1">
        <f t="array" ref="Y100">IF(OR(ISERROR(B100:W100)),1,0)</f>
        <v>0</v>
      </c>
      <c r="Z100" s="1">
        <f t="shared" si="1"/>
        <v>0</v>
      </c>
    </row>
    <row r="101" spans="1:26" s="1" customFormat="1" ht="15" outlineLevel="1" thickBot="1" x14ac:dyDescent="0.4">
      <c r="A101" s="189"/>
      <c r="B101" s="461"/>
      <c r="C101" s="155"/>
      <c r="D101" s="151"/>
      <c r="E101" s="151"/>
      <c r="F101" s="151"/>
      <c r="G101" s="187" t="str">
        <f>IF(F101="","",INDEX(Lists!$BA$4:$BC$31,MATCH(D101,Lists!$AZ$4:$AZ$31,0),MATCH(F101,Lists!$BA$3:$BC$3,0)))</f>
        <v/>
      </c>
      <c r="H101" s="148"/>
      <c r="I101" s="151"/>
      <c r="J101" s="154" t="str" cm="1">
        <f t="array" ref="J101">IF(OR($D101="",$C101="",$H101="",$I101=""),"",IF(I101=K101,H101,(INDEX('Emission factors'!$K$3:$V$201,MATCH(D101&amp;E101,'Emission factors'!$J$3:$J$201&amp;'Emission factors'!$K$3:$K$201,0),MATCH(J$6,'Emission factors'!$K$2:$V$2,0)))*H101))</f>
        <v/>
      </c>
      <c r="K101" s="192" t="str">
        <f>IF(OR($D101="",$C101="",$H101="",$I101=""),"",INDEX('Emission factors'!$K$3:$V$201,MATCH('Buildings &amp; stationary assets'!$D101,'Emission factors'!$J$3:$J$201,0),MATCH($K$6,'Emission factors'!$K$2:$V$2,0)))</f>
        <v/>
      </c>
      <c r="L101" s="193" t="str" cm="1">
        <f t="array" ref="L101">IF(OR(D101="",H101="",BuildingsTable[[#This Row],[Units]]=""),"",INDEX('Emission factors'!$K$3:$V$201,MATCH('Buildings &amp; stationary assets'!$D101&amp;E101,'Emission factors'!$J$3:$J$201&amp;'Emission factors'!$K$3:$K$201,0),MATCH('Buildings &amp; stationary assets'!$L$6,'Emission factors'!$K$2:$V$2,0)))</f>
        <v/>
      </c>
      <c r="M101" s="287" t="str">
        <f>IF(OR(J101="",L101=""),"",SUM(BuildingsTable[[#This Row],[Direct]:[Indirect WTT]]))</f>
        <v/>
      </c>
      <c r="N101" s="150"/>
      <c r="O101" s="151"/>
      <c r="P101" s="288" t="str" cm="1">
        <f t="array" ref="P101">IF(OR($D101="",$H101=""),"",(INDEX('Emission factors'!$K$3:$V$201,MATCH('Buildings &amp; stationary assets'!$D101&amp;$E101,'Emission factors'!$J$3:$J$201&amp;'Emission factors'!$K$3:$K$201,0),MATCH('Buildings &amp; stationary assets'!P$6,'Emission factors'!$K$2:$V$2,0)))*$J101)</f>
        <v/>
      </c>
      <c r="Q101" s="288" t="str" cm="1">
        <f t="array" ref="Q101">IF(OR($D101="",$H101=""),"",(INDEX('Emission factors'!$K$3:$V$201,MATCH('Buildings &amp; stationary assets'!$D101&amp;$E101,'Emission factors'!$J$3:$J$201&amp;'Emission factors'!$K$3:$K$201,0),MATCH('Buildings &amp; stationary assets'!Q$6,'Emission factors'!$K$2:$V$2,0)))*$J101)</f>
        <v/>
      </c>
      <c r="R101" s="288" t="str" cm="1">
        <f t="array" ref="R101">IF(OR($D101="",$H101=""),"",(INDEX('Emission factors'!$K$3:$V$201,MATCH('Buildings &amp; stationary assets'!$D101&amp;$E101,'Emission factors'!$J$3:$J$201&amp;'Emission factors'!$K$3:$K$201,0),MATCH('Buildings &amp; stationary assets'!R$6,'Emission factors'!$K$2:$V$2,0)))*$J101)</f>
        <v/>
      </c>
      <c r="S101" s="288" t="str" cm="1">
        <f t="array" ref="S101">IF(OR($D101="",$H101=""),"",(INDEX('Emission factors'!$K$3:$V$201,MATCH('Buildings &amp; stationary assets'!$D101&amp;$E101,'Emission factors'!$J$3:$J$201&amp;'Emission factors'!$K$3:$K$201,0),MATCH('Buildings &amp; stationary assets'!S$6,'Emission factors'!$K$2:$V$2,0)))*$J101)</f>
        <v/>
      </c>
      <c r="T101" s="288" t="str" cm="1">
        <f t="array" ref="T101">IF(OR($D101="",$H101=""),"",(INDEX('Emission factors'!$K$3:$V$201,MATCH('Buildings &amp; stationary assets'!$D101&amp;$E101,'Emission factors'!$J$3:$J$201&amp;'Emission factors'!$K$3:$K$201,0),MATCH('Buildings &amp; stationary assets'!T$6,'Emission factors'!$K$2:$V$2,0)))*$J101)</f>
        <v/>
      </c>
      <c r="U101" s="289" t="str">
        <f>IF(OR($M101="",BuildingsTable[[#This Row],[RSD]]=""),"",BuildingsTable[[#This Row],[Total emissions (kgCO2e)]]*(1+BuildingsTable[[#This Row],[RSD]]))</f>
        <v/>
      </c>
      <c r="V101" s="290" t="str">
        <f>IF(OR($M101="",BuildingsTable[[#This Row],[RSD]]=""),"",BuildingsTable[[#This Row],[Total emissions (kgCO2e)]]*(1-BuildingsTable[[#This Row],[RSD]]))</f>
        <v/>
      </c>
      <c r="W101" s="320" t="str" cm="1">
        <f t="array" ref="W101">IF(OR($D101="",$H101=""),"",(INDEX('Emission factors'!$K$3:$V$201,MATCH('Buildings &amp; stationary assets'!$D101&amp;$E101,'Emission factors'!$J$3:$J$201&amp;'Emission factors'!$K$3:$K$201,0),MATCH('Buildings &amp; stationary assets'!W$6,'Emission factors'!$K$2:$V$2,0)))*$J101)</f>
        <v/>
      </c>
      <c r="X101" s="66"/>
      <c r="Y101" s="1" cm="1">
        <f t="array" ref="Y101">IF(OR(ISERROR(B101:W101)),1,0)</f>
        <v>0</v>
      </c>
      <c r="Z101" s="1">
        <f t="shared" si="1"/>
        <v>0</v>
      </c>
    </row>
    <row r="102" spans="1:26" s="1" customFormat="1" ht="15" outlineLevel="1" thickBot="1" x14ac:dyDescent="0.4">
      <c r="A102" s="189"/>
      <c r="B102" s="461"/>
      <c r="C102" s="155"/>
      <c r="D102" s="151"/>
      <c r="E102" s="151"/>
      <c r="F102" s="151"/>
      <c r="G102" s="187" t="str">
        <f>IF(F102="","",INDEX(Lists!$BA$4:$BC$31,MATCH(D102,Lists!$AZ$4:$AZ$31,0),MATCH(F102,Lists!$BA$3:$BC$3,0)))</f>
        <v/>
      </c>
      <c r="H102" s="148"/>
      <c r="I102" s="151"/>
      <c r="J102" s="154" t="str" cm="1">
        <f t="array" ref="J102">IF(OR($D102="",$C102="",$H102="",$I102=""),"",IF(I102=K102,H102,(INDEX('Emission factors'!$K$3:$V$201,MATCH(D102&amp;E102,'Emission factors'!$J$3:$J$201&amp;'Emission factors'!$K$3:$K$201,0),MATCH(J$6,'Emission factors'!$K$2:$V$2,0)))*H102))</f>
        <v/>
      </c>
      <c r="K102" s="192" t="str">
        <f>IF(OR($D102="",$C102="",$H102="",$I102=""),"",INDEX('Emission factors'!$K$3:$V$201,MATCH('Buildings &amp; stationary assets'!$D102,'Emission factors'!$J$3:$J$201,0),MATCH($K$6,'Emission factors'!$K$2:$V$2,0)))</f>
        <v/>
      </c>
      <c r="L102" s="193" t="str" cm="1">
        <f t="array" ref="L102">IF(OR(D102="",H102="",BuildingsTable[[#This Row],[Units]]=""),"",INDEX('Emission factors'!$K$3:$V$201,MATCH('Buildings &amp; stationary assets'!$D102&amp;E102,'Emission factors'!$J$3:$J$201&amp;'Emission factors'!$K$3:$K$201,0),MATCH('Buildings &amp; stationary assets'!$L$6,'Emission factors'!$K$2:$V$2,0)))</f>
        <v/>
      </c>
      <c r="M102" s="287" t="str">
        <f>IF(OR(J102="",L102=""),"",SUM(BuildingsTable[[#This Row],[Direct]:[Indirect WTT]]))</f>
        <v/>
      </c>
      <c r="N102" s="150"/>
      <c r="O102" s="151"/>
      <c r="P102" s="288" t="str" cm="1">
        <f t="array" ref="P102">IF(OR($D102="",$H102=""),"",(INDEX('Emission factors'!$K$3:$V$201,MATCH('Buildings &amp; stationary assets'!$D102&amp;$E102,'Emission factors'!$J$3:$J$201&amp;'Emission factors'!$K$3:$K$201,0),MATCH('Buildings &amp; stationary assets'!P$6,'Emission factors'!$K$2:$V$2,0)))*$J102)</f>
        <v/>
      </c>
      <c r="Q102" s="288" t="str" cm="1">
        <f t="array" ref="Q102">IF(OR($D102="",$H102=""),"",(INDEX('Emission factors'!$K$3:$V$201,MATCH('Buildings &amp; stationary assets'!$D102&amp;$E102,'Emission factors'!$J$3:$J$201&amp;'Emission factors'!$K$3:$K$201,0),MATCH('Buildings &amp; stationary assets'!Q$6,'Emission factors'!$K$2:$V$2,0)))*$J102)</f>
        <v/>
      </c>
      <c r="R102" s="288" t="str" cm="1">
        <f t="array" ref="R102">IF(OR($D102="",$H102=""),"",(INDEX('Emission factors'!$K$3:$V$201,MATCH('Buildings &amp; stationary assets'!$D102&amp;$E102,'Emission factors'!$J$3:$J$201&amp;'Emission factors'!$K$3:$K$201,0),MATCH('Buildings &amp; stationary assets'!R$6,'Emission factors'!$K$2:$V$2,0)))*$J102)</f>
        <v/>
      </c>
      <c r="S102" s="288" t="str" cm="1">
        <f t="array" ref="S102">IF(OR($D102="",$H102=""),"",(INDEX('Emission factors'!$K$3:$V$201,MATCH('Buildings &amp; stationary assets'!$D102&amp;$E102,'Emission factors'!$J$3:$J$201&amp;'Emission factors'!$K$3:$K$201,0),MATCH('Buildings &amp; stationary assets'!S$6,'Emission factors'!$K$2:$V$2,0)))*$J102)</f>
        <v/>
      </c>
      <c r="T102" s="288" t="str" cm="1">
        <f t="array" ref="T102">IF(OR($D102="",$H102=""),"",(INDEX('Emission factors'!$K$3:$V$201,MATCH('Buildings &amp; stationary assets'!$D102&amp;$E102,'Emission factors'!$J$3:$J$201&amp;'Emission factors'!$K$3:$K$201,0),MATCH('Buildings &amp; stationary assets'!T$6,'Emission factors'!$K$2:$V$2,0)))*$J102)</f>
        <v/>
      </c>
      <c r="U102" s="289" t="str">
        <f>IF(OR($M102="",BuildingsTable[[#This Row],[RSD]]=""),"",BuildingsTable[[#This Row],[Total emissions (kgCO2e)]]*(1+BuildingsTable[[#This Row],[RSD]]))</f>
        <v/>
      </c>
      <c r="V102" s="290" t="str">
        <f>IF(OR($M102="",BuildingsTable[[#This Row],[RSD]]=""),"",BuildingsTable[[#This Row],[Total emissions (kgCO2e)]]*(1-BuildingsTable[[#This Row],[RSD]]))</f>
        <v/>
      </c>
      <c r="W102" s="320" t="str" cm="1">
        <f t="array" ref="W102">IF(OR($D102="",$H102=""),"",(INDEX('Emission factors'!$K$3:$V$201,MATCH('Buildings &amp; stationary assets'!$D102&amp;$E102,'Emission factors'!$J$3:$J$201&amp;'Emission factors'!$K$3:$K$201,0),MATCH('Buildings &amp; stationary assets'!W$6,'Emission factors'!$K$2:$V$2,0)))*$J102)</f>
        <v/>
      </c>
      <c r="X102" s="66"/>
      <c r="Y102" s="1" cm="1">
        <f t="array" ref="Y102">IF(OR(ISERROR(B102:W102)),1,0)</f>
        <v>0</v>
      </c>
      <c r="Z102" s="1">
        <f t="shared" si="1"/>
        <v>0</v>
      </c>
    </row>
    <row r="103" spans="1:26" s="1" customFormat="1" ht="15" outlineLevel="1" thickBot="1" x14ac:dyDescent="0.4">
      <c r="A103" s="189"/>
      <c r="B103" s="461"/>
      <c r="C103" s="155"/>
      <c r="D103" s="151"/>
      <c r="E103" s="151"/>
      <c r="F103" s="151"/>
      <c r="G103" s="187" t="str">
        <f>IF(F103="","",INDEX(Lists!$BA$4:$BC$31,MATCH(D103,Lists!$AZ$4:$AZ$31,0),MATCH(F103,Lists!$BA$3:$BC$3,0)))</f>
        <v/>
      </c>
      <c r="H103" s="148"/>
      <c r="I103" s="151"/>
      <c r="J103" s="154" t="str" cm="1">
        <f t="array" ref="J103">IF(OR($D103="",$C103="",$H103="",$I103=""),"",IF(I103=K103,H103,(INDEX('Emission factors'!$K$3:$V$201,MATCH(D103&amp;E103,'Emission factors'!$J$3:$J$201&amp;'Emission factors'!$K$3:$K$201,0),MATCH(J$6,'Emission factors'!$K$2:$V$2,0)))*H103))</f>
        <v/>
      </c>
      <c r="K103" s="192" t="str">
        <f>IF(OR($D103="",$C103="",$H103="",$I103=""),"",INDEX('Emission factors'!$K$3:$V$201,MATCH('Buildings &amp; stationary assets'!$D103,'Emission factors'!$J$3:$J$201,0),MATCH($K$6,'Emission factors'!$K$2:$V$2,0)))</f>
        <v/>
      </c>
      <c r="L103" s="193" t="str" cm="1">
        <f t="array" ref="L103">IF(OR(D103="",H103="",BuildingsTable[[#This Row],[Units]]=""),"",INDEX('Emission factors'!$K$3:$V$201,MATCH('Buildings &amp; stationary assets'!$D103&amp;E103,'Emission factors'!$J$3:$J$201&amp;'Emission factors'!$K$3:$K$201,0),MATCH('Buildings &amp; stationary assets'!$L$6,'Emission factors'!$K$2:$V$2,0)))</f>
        <v/>
      </c>
      <c r="M103" s="287" t="str">
        <f>IF(OR(J103="",L103=""),"",SUM(BuildingsTable[[#This Row],[Direct]:[Indirect WTT]]))</f>
        <v/>
      </c>
      <c r="N103" s="150"/>
      <c r="O103" s="151"/>
      <c r="P103" s="288" t="str" cm="1">
        <f t="array" ref="P103">IF(OR($D103="",$H103=""),"",(INDEX('Emission factors'!$K$3:$V$201,MATCH('Buildings &amp; stationary assets'!$D103&amp;$E103,'Emission factors'!$J$3:$J$201&amp;'Emission factors'!$K$3:$K$201,0),MATCH('Buildings &amp; stationary assets'!P$6,'Emission factors'!$K$2:$V$2,0)))*$J103)</f>
        <v/>
      </c>
      <c r="Q103" s="288" t="str" cm="1">
        <f t="array" ref="Q103">IF(OR($D103="",$H103=""),"",(INDEX('Emission factors'!$K$3:$V$201,MATCH('Buildings &amp; stationary assets'!$D103&amp;$E103,'Emission factors'!$J$3:$J$201&amp;'Emission factors'!$K$3:$K$201,0),MATCH('Buildings &amp; stationary assets'!Q$6,'Emission factors'!$K$2:$V$2,0)))*$J103)</f>
        <v/>
      </c>
      <c r="R103" s="288" t="str" cm="1">
        <f t="array" ref="R103">IF(OR($D103="",$H103=""),"",(INDEX('Emission factors'!$K$3:$V$201,MATCH('Buildings &amp; stationary assets'!$D103&amp;$E103,'Emission factors'!$J$3:$J$201&amp;'Emission factors'!$K$3:$K$201,0),MATCH('Buildings &amp; stationary assets'!R$6,'Emission factors'!$K$2:$V$2,0)))*$J103)</f>
        <v/>
      </c>
      <c r="S103" s="288" t="str" cm="1">
        <f t="array" ref="S103">IF(OR($D103="",$H103=""),"",(INDEX('Emission factors'!$K$3:$V$201,MATCH('Buildings &amp; stationary assets'!$D103&amp;$E103,'Emission factors'!$J$3:$J$201&amp;'Emission factors'!$K$3:$K$201,0),MATCH('Buildings &amp; stationary assets'!S$6,'Emission factors'!$K$2:$V$2,0)))*$J103)</f>
        <v/>
      </c>
      <c r="T103" s="288" t="str" cm="1">
        <f t="array" ref="T103">IF(OR($D103="",$H103=""),"",(INDEX('Emission factors'!$K$3:$V$201,MATCH('Buildings &amp; stationary assets'!$D103&amp;$E103,'Emission factors'!$J$3:$J$201&amp;'Emission factors'!$K$3:$K$201,0),MATCH('Buildings &amp; stationary assets'!T$6,'Emission factors'!$K$2:$V$2,0)))*$J103)</f>
        <v/>
      </c>
      <c r="U103" s="289" t="str">
        <f>IF(OR($M103="",BuildingsTable[[#This Row],[RSD]]=""),"",BuildingsTable[[#This Row],[Total emissions (kgCO2e)]]*(1+BuildingsTable[[#This Row],[RSD]]))</f>
        <v/>
      </c>
      <c r="V103" s="290" t="str">
        <f>IF(OR($M103="",BuildingsTable[[#This Row],[RSD]]=""),"",BuildingsTable[[#This Row],[Total emissions (kgCO2e)]]*(1-BuildingsTable[[#This Row],[RSD]]))</f>
        <v/>
      </c>
      <c r="W103" s="320" t="str" cm="1">
        <f t="array" ref="W103">IF(OR($D103="",$H103=""),"",(INDEX('Emission factors'!$K$3:$V$201,MATCH('Buildings &amp; stationary assets'!$D103&amp;$E103,'Emission factors'!$J$3:$J$201&amp;'Emission factors'!$K$3:$K$201,0),MATCH('Buildings &amp; stationary assets'!W$6,'Emission factors'!$K$2:$V$2,0)))*$J103)</f>
        <v/>
      </c>
      <c r="X103" s="66"/>
      <c r="Y103" s="1" cm="1">
        <f t="array" ref="Y103">IF(OR(ISERROR(B103:W103)),1,0)</f>
        <v>0</v>
      </c>
      <c r="Z103" s="1">
        <f t="shared" si="1"/>
        <v>0</v>
      </c>
    </row>
    <row r="104" spans="1:26" s="1" customFormat="1" ht="15" outlineLevel="1" thickBot="1" x14ac:dyDescent="0.4">
      <c r="A104" s="189"/>
      <c r="B104" s="461"/>
      <c r="C104" s="155"/>
      <c r="D104" s="151"/>
      <c r="E104" s="151"/>
      <c r="F104" s="151"/>
      <c r="G104" s="187" t="str">
        <f>IF(F104="","",INDEX(Lists!$BA$4:$BC$31,MATCH(D104,Lists!$AZ$4:$AZ$31,0),MATCH(F104,Lists!$BA$3:$BC$3,0)))</f>
        <v/>
      </c>
      <c r="H104" s="148"/>
      <c r="I104" s="151"/>
      <c r="J104" s="154" t="str" cm="1">
        <f t="array" ref="J104">IF(OR($D104="",$C104="",$H104="",$I104=""),"",IF(I104=K104,H104,(INDEX('Emission factors'!$K$3:$V$201,MATCH(D104&amp;E104,'Emission factors'!$J$3:$J$201&amp;'Emission factors'!$K$3:$K$201,0),MATCH(J$6,'Emission factors'!$K$2:$V$2,0)))*H104))</f>
        <v/>
      </c>
      <c r="K104" s="192" t="str">
        <f>IF(OR($D104="",$C104="",$H104="",$I104=""),"",INDEX('Emission factors'!$K$3:$V$201,MATCH('Buildings &amp; stationary assets'!$D104,'Emission factors'!$J$3:$J$201,0),MATCH($K$6,'Emission factors'!$K$2:$V$2,0)))</f>
        <v/>
      </c>
      <c r="L104" s="193" t="str" cm="1">
        <f t="array" ref="L104">IF(OR(D104="",H104="",BuildingsTable[[#This Row],[Units]]=""),"",INDEX('Emission factors'!$K$3:$V$201,MATCH('Buildings &amp; stationary assets'!$D104&amp;E104,'Emission factors'!$J$3:$J$201&amp;'Emission factors'!$K$3:$K$201,0),MATCH('Buildings &amp; stationary assets'!$L$6,'Emission factors'!$K$2:$V$2,0)))</f>
        <v/>
      </c>
      <c r="M104" s="287" t="str">
        <f>IF(OR(J104="",L104=""),"",SUM(BuildingsTable[[#This Row],[Direct]:[Indirect WTT]]))</f>
        <v/>
      </c>
      <c r="N104" s="150"/>
      <c r="O104" s="151"/>
      <c r="P104" s="288" t="str" cm="1">
        <f t="array" ref="P104">IF(OR($D104="",$H104=""),"",(INDEX('Emission factors'!$K$3:$V$201,MATCH('Buildings &amp; stationary assets'!$D104&amp;$E104,'Emission factors'!$J$3:$J$201&amp;'Emission factors'!$K$3:$K$201,0),MATCH('Buildings &amp; stationary assets'!P$6,'Emission factors'!$K$2:$V$2,0)))*$J104)</f>
        <v/>
      </c>
      <c r="Q104" s="288" t="str" cm="1">
        <f t="array" ref="Q104">IF(OR($D104="",$H104=""),"",(INDEX('Emission factors'!$K$3:$V$201,MATCH('Buildings &amp; stationary assets'!$D104&amp;$E104,'Emission factors'!$J$3:$J$201&amp;'Emission factors'!$K$3:$K$201,0),MATCH('Buildings &amp; stationary assets'!Q$6,'Emission factors'!$K$2:$V$2,0)))*$J104)</f>
        <v/>
      </c>
      <c r="R104" s="288" t="str" cm="1">
        <f t="array" ref="R104">IF(OR($D104="",$H104=""),"",(INDEX('Emission factors'!$K$3:$V$201,MATCH('Buildings &amp; stationary assets'!$D104&amp;$E104,'Emission factors'!$J$3:$J$201&amp;'Emission factors'!$K$3:$K$201,0),MATCH('Buildings &amp; stationary assets'!R$6,'Emission factors'!$K$2:$V$2,0)))*$J104)</f>
        <v/>
      </c>
      <c r="S104" s="288" t="str" cm="1">
        <f t="array" ref="S104">IF(OR($D104="",$H104=""),"",(INDEX('Emission factors'!$K$3:$V$201,MATCH('Buildings &amp; stationary assets'!$D104&amp;$E104,'Emission factors'!$J$3:$J$201&amp;'Emission factors'!$K$3:$K$201,0),MATCH('Buildings &amp; stationary assets'!S$6,'Emission factors'!$K$2:$V$2,0)))*$J104)</f>
        <v/>
      </c>
      <c r="T104" s="288" t="str" cm="1">
        <f t="array" ref="T104">IF(OR($D104="",$H104=""),"",(INDEX('Emission factors'!$K$3:$V$201,MATCH('Buildings &amp; stationary assets'!$D104&amp;$E104,'Emission factors'!$J$3:$J$201&amp;'Emission factors'!$K$3:$K$201,0),MATCH('Buildings &amp; stationary assets'!T$6,'Emission factors'!$K$2:$V$2,0)))*$J104)</f>
        <v/>
      </c>
      <c r="U104" s="289" t="str">
        <f>IF(OR($M104="",BuildingsTable[[#This Row],[RSD]]=""),"",BuildingsTable[[#This Row],[Total emissions (kgCO2e)]]*(1+BuildingsTable[[#This Row],[RSD]]))</f>
        <v/>
      </c>
      <c r="V104" s="290" t="str">
        <f>IF(OR($M104="",BuildingsTable[[#This Row],[RSD]]=""),"",BuildingsTable[[#This Row],[Total emissions (kgCO2e)]]*(1-BuildingsTable[[#This Row],[RSD]]))</f>
        <v/>
      </c>
      <c r="W104" s="320" t="str" cm="1">
        <f t="array" ref="W104">IF(OR($D104="",$H104=""),"",(INDEX('Emission factors'!$K$3:$V$201,MATCH('Buildings &amp; stationary assets'!$D104&amp;$E104,'Emission factors'!$J$3:$J$201&amp;'Emission factors'!$K$3:$K$201,0),MATCH('Buildings &amp; stationary assets'!W$6,'Emission factors'!$K$2:$V$2,0)))*$J104)</f>
        <v/>
      </c>
      <c r="X104" s="66"/>
      <c r="Y104" s="1" cm="1">
        <f t="array" ref="Y104">IF(OR(ISERROR(B104:W104)),1,0)</f>
        <v>0</v>
      </c>
      <c r="Z104" s="1">
        <f t="shared" si="1"/>
        <v>0</v>
      </c>
    </row>
    <row r="105" spans="1:26" s="1" customFormat="1" ht="15" outlineLevel="1" thickBot="1" x14ac:dyDescent="0.4">
      <c r="A105" s="189"/>
      <c r="B105" s="461"/>
      <c r="C105" s="155"/>
      <c r="D105" s="151"/>
      <c r="E105" s="151"/>
      <c r="F105" s="151"/>
      <c r="G105" s="187" t="str">
        <f>IF(F105="","",INDEX(Lists!$BA$4:$BC$31,MATCH(D105,Lists!$AZ$4:$AZ$31,0),MATCH(F105,Lists!$BA$3:$BC$3,0)))</f>
        <v/>
      </c>
      <c r="H105" s="148"/>
      <c r="I105" s="151"/>
      <c r="J105" s="154" t="str" cm="1">
        <f t="array" ref="J105">IF(OR($D105="",$C105="",$H105="",$I105=""),"",IF(I105=K105,H105,(INDEX('Emission factors'!$K$3:$V$201,MATCH(D105&amp;E105,'Emission factors'!$J$3:$J$201&amp;'Emission factors'!$K$3:$K$201,0),MATCH(J$6,'Emission factors'!$K$2:$V$2,0)))*H105))</f>
        <v/>
      </c>
      <c r="K105" s="192" t="str">
        <f>IF(OR($D105="",$C105="",$H105="",$I105=""),"",INDEX('Emission factors'!$K$3:$V$201,MATCH('Buildings &amp; stationary assets'!$D105,'Emission factors'!$J$3:$J$201,0),MATCH($K$6,'Emission factors'!$K$2:$V$2,0)))</f>
        <v/>
      </c>
      <c r="L105" s="193" t="str" cm="1">
        <f t="array" ref="L105">IF(OR(D105="",H105="",BuildingsTable[[#This Row],[Units]]=""),"",INDEX('Emission factors'!$K$3:$V$201,MATCH('Buildings &amp; stationary assets'!$D105&amp;E105,'Emission factors'!$J$3:$J$201&amp;'Emission factors'!$K$3:$K$201,0),MATCH('Buildings &amp; stationary assets'!$L$6,'Emission factors'!$K$2:$V$2,0)))</f>
        <v/>
      </c>
      <c r="M105" s="287" t="str">
        <f>IF(OR(J105="",L105=""),"",SUM(BuildingsTable[[#This Row],[Direct]:[Indirect WTT]]))</f>
        <v/>
      </c>
      <c r="N105" s="150"/>
      <c r="O105" s="151"/>
      <c r="P105" s="288" t="str" cm="1">
        <f t="array" ref="P105">IF(OR($D105="",$H105=""),"",(INDEX('Emission factors'!$K$3:$V$201,MATCH('Buildings &amp; stationary assets'!$D105&amp;$E105,'Emission factors'!$J$3:$J$201&amp;'Emission factors'!$K$3:$K$201,0),MATCH('Buildings &amp; stationary assets'!P$6,'Emission factors'!$K$2:$V$2,0)))*$J105)</f>
        <v/>
      </c>
      <c r="Q105" s="288" t="str" cm="1">
        <f t="array" ref="Q105">IF(OR($D105="",$H105=""),"",(INDEX('Emission factors'!$K$3:$V$201,MATCH('Buildings &amp; stationary assets'!$D105&amp;$E105,'Emission factors'!$J$3:$J$201&amp;'Emission factors'!$K$3:$K$201,0),MATCH('Buildings &amp; stationary assets'!Q$6,'Emission factors'!$K$2:$V$2,0)))*$J105)</f>
        <v/>
      </c>
      <c r="R105" s="288" t="str" cm="1">
        <f t="array" ref="R105">IF(OR($D105="",$H105=""),"",(INDEX('Emission factors'!$K$3:$V$201,MATCH('Buildings &amp; stationary assets'!$D105&amp;$E105,'Emission factors'!$J$3:$J$201&amp;'Emission factors'!$K$3:$K$201,0),MATCH('Buildings &amp; stationary assets'!R$6,'Emission factors'!$K$2:$V$2,0)))*$J105)</f>
        <v/>
      </c>
      <c r="S105" s="288" t="str" cm="1">
        <f t="array" ref="S105">IF(OR($D105="",$H105=""),"",(INDEX('Emission factors'!$K$3:$V$201,MATCH('Buildings &amp; stationary assets'!$D105&amp;$E105,'Emission factors'!$J$3:$J$201&amp;'Emission factors'!$K$3:$K$201,0),MATCH('Buildings &amp; stationary assets'!S$6,'Emission factors'!$K$2:$V$2,0)))*$J105)</f>
        <v/>
      </c>
      <c r="T105" s="288" t="str" cm="1">
        <f t="array" ref="T105">IF(OR($D105="",$H105=""),"",(INDEX('Emission factors'!$K$3:$V$201,MATCH('Buildings &amp; stationary assets'!$D105&amp;$E105,'Emission factors'!$J$3:$J$201&amp;'Emission factors'!$K$3:$K$201,0),MATCH('Buildings &amp; stationary assets'!T$6,'Emission factors'!$K$2:$V$2,0)))*$J105)</f>
        <v/>
      </c>
      <c r="U105" s="289" t="str">
        <f>IF(OR($M105="",BuildingsTable[[#This Row],[RSD]]=""),"",BuildingsTable[[#This Row],[Total emissions (kgCO2e)]]*(1+BuildingsTable[[#This Row],[RSD]]))</f>
        <v/>
      </c>
      <c r="V105" s="290" t="str">
        <f>IF(OR($M105="",BuildingsTable[[#This Row],[RSD]]=""),"",BuildingsTable[[#This Row],[Total emissions (kgCO2e)]]*(1-BuildingsTable[[#This Row],[RSD]]))</f>
        <v/>
      </c>
      <c r="W105" s="320" t="str" cm="1">
        <f t="array" ref="W105">IF(OR($D105="",$H105=""),"",(INDEX('Emission factors'!$K$3:$V$201,MATCH('Buildings &amp; stationary assets'!$D105&amp;$E105,'Emission factors'!$J$3:$J$201&amp;'Emission factors'!$K$3:$K$201,0),MATCH('Buildings &amp; stationary assets'!W$6,'Emission factors'!$K$2:$V$2,0)))*$J105)</f>
        <v/>
      </c>
      <c r="X105" s="66"/>
      <c r="Y105" s="1" cm="1">
        <f t="array" ref="Y105">IF(OR(ISERROR(B105:W105)),1,0)</f>
        <v>0</v>
      </c>
      <c r="Z105" s="1">
        <f t="shared" si="1"/>
        <v>0</v>
      </c>
    </row>
    <row r="106" spans="1:26" s="1" customFormat="1" ht="15" outlineLevel="1" thickBot="1" x14ac:dyDescent="0.4">
      <c r="A106" s="189"/>
      <c r="B106" s="461"/>
      <c r="C106" s="155"/>
      <c r="D106" s="151"/>
      <c r="E106" s="151"/>
      <c r="F106" s="151"/>
      <c r="G106" s="187" t="str">
        <f>IF(F106="","",INDEX(Lists!$BA$4:$BC$31,MATCH(D106,Lists!$AZ$4:$AZ$31,0),MATCH(F106,Lists!$BA$3:$BC$3,0)))</f>
        <v/>
      </c>
      <c r="H106" s="148"/>
      <c r="I106" s="151"/>
      <c r="J106" s="154" t="str" cm="1">
        <f t="array" ref="J106">IF(OR($D106="",$C106="",$H106="",$I106=""),"",IF(I106=K106,H106,(INDEX('Emission factors'!$K$3:$V$201,MATCH(D106&amp;E106,'Emission factors'!$J$3:$J$201&amp;'Emission factors'!$K$3:$K$201,0),MATCH(J$6,'Emission factors'!$K$2:$V$2,0)))*H106))</f>
        <v/>
      </c>
      <c r="K106" s="192" t="str">
        <f>IF(OR($D106="",$C106="",$H106="",$I106=""),"",INDEX('Emission factors'!$K$3:$V$201,MATCH('Buildings &amp; stationary assets'!$D106,'Emission factors'!$J$3:$J$201,0),MATCH($K$6,'Emission factors'!$K$2:$V$2,0)))</f>
        <v/>
      </c>
      <c r="L106" s="193" t="str" cm="1">
        <f t="array" ref="L106">IF(OR(D106="",H106="",BuildingsTable[[#This Row],[Units]]=""),"",INDEX('Emission factors'!$K$3:$V$201,MATCH('Buildings &amp; stationary assets'!$D106&amp;E106,'Emission factors'!$J$3:$J$201&amp;'Emission factors'!$K$3:$K$201,0),MATCH('Buildings &amp; stationary assets'!$L$6,'Emission factors'!$K$2:$V$2,0)))</f>
        <v/>
      </c>
      <c r="M106" s="287" t="str">
        <f>IF(OR(J106="",L106=""),"",SUM(BuildingsTable[[#This Row],[Direct]:[Indirect WTT]]))</f>
        <v/>
      </c>
      <c r="N106" s="150"/>
      <c r="O106" s="151"/>
      <c r="P106" s="288" t="str" cm="1">
        <f t="array" ref="P106">IF(OR($D106="",$H106=""),"",(INDEX('Emission factors'!$K$3:$V$201,MATCH('Buildings &amp; stationary assets'!$D106&amp;$E106,'Emission factors'!$J$3:$J$201&amp;'Emission factors'!$K$3:$K$201,0),MATCH('Buildings &amp; stationary assets'!P$6,'Emission factors'!$K$2:$V$2,0)))*$J106)</f>
        <v/>
      </c>
      <c r="Q106" s="288" t="str" cm="1">
        <f t="array" ref="Q106">IF(OR($D106="",$H106=""),"",(INDEX('Emission factors'!$K$3:$V$201,MATCH('Buildings &amp; stationary assets'!$D106&amp;$E106,'Emission factors'!$J$3:$J$201&amp;'Emission factors'!$K$3:$K$201,0),MATCH('Buildings &amp; stationary assets'!Q$6,'Emission factors'!$K$2:$V$2,0)))*$J106)</f>
        <v/>
      </c>
      <c r="R106" s="288" t="str" cm="1">
        <f t="array" ref="R106">IF(OR($D106="",$H106=""),"",(INDEX('Emission factors'!$K$3:$V$201,MATCH('Buildings &amp; stationary assets'!$D106&amp;$E106,'Emission factors'!$J$3:$J$201&amp;'Emission factors'!$K$3:$K$201,0),MATCH('Buildings &amp; stationary assets'!R$6,'Emission factors'!$K$2:$V$2,0)))*$J106)</f>
        <v/>
      </c>
      <c r="S106" s="288" t="str" cm="1">
        <f t="array" ref="S106">IF(OR($D106="",$H106=""),"",(INDEX('Emission factors'!$K$3:$V$201,MATCH('Buildings &amp; stationary assets'!$D106&amp;$E106,'Emission factors'!$J$3:$J$201&amp;'Emission factors'!$K$3:$K$201,0),MATCH('Buildings &amp; stationary assets'!S$6,'Emission factors'!$K$2:$V$2,0)))*$J106)</f>
        <v/>
      </c>
      <c r="T106" s="288" t="str" cm="1">
        <f t="array" ref="T106">IF(OR($D106="",$H106=""),"",(INDEX('Emission factors'!$K$3:$V$201,MATCH('Buildings &amp; stationary assets'!$D106&amp;$E106,'Emission factors'!$J$3:$J$201&amp;'Emission factors'!$K$3:$K$201,0),MATCH('Buildings &amp; stationary assets'!T$6,'Emission factors'!$K$2:$V$2,0)))*$J106)</f>
        <v/>
      </c>
      <c r="U106" s="289" t="str">
        <f>IF(OR($M106="",BuildingsTable[[#This Row],[RSD]]=""),"",BuildingsTable[[#This Row],[Total emissions (kgCO2e)]]*(1+BuildingsTable[[#This Row],[RSD]]))</f>
        <v/>
      </c>
      <c r="V106" s="290" t="str">
        <f>IF(OR($M106="",BuildingsTable[[#This Row],[RSD]]=""),"",BuildingsTable[[#This Row],[Total emissions (kgCO2e)]]*(1-BuildingsTable[[#This Row],[RSD]]))</f>
        <v/>
      </c>
      <c r="W106" s="320" t="str" cm="1">
        <f t="array" ref="W106">IF(OR($D106="",$H106=""),"",(INDEX('Emission factors'!$K$3:$V$201,MATCH('Buildings &amp; stationary assets'!$D106&amp;$E106,'Emission factors'!$J$3:$J$201&amp;'Emission factors'!$K$3:$K$201,0),MATCH('Buildings &amp; stationary assets'!W$6,'Emission factors'!$K$2:$V$2,0)))*$J106)</f>
        <v/>
      </c>
      <c r="X106" s="66"/>
      <c r="Y106" s="1" cm="1">
        <f t="array" ref="Y106">IF(OR(ISERROR(B106:W106)),1,0)</f>
        <v>0</v>
      </c>
      <c r="Z106" s="1">
        <f t="shared" si="1"/>
        <v>0</v>
      </c>
    </row>
    <row r="107" spans="1:26" s="1" customFormat="1" ht="15" outlineLevel="1" thickBot="1" x14ac:dyDescent="0.4">
      <c r="A107" s="189"/>
      <c r="B107" s="461"/>
      <c r="C107" s="155"/>
      <c r="D107" s="151"/>
      <c r="E107" s="151"/>
      <c r="F107" s="151"/>
      <c r="G107" s="187" t="str">
        <f>IF(F107="","",INDEX(Lists!$BA$4:$BC$31,MATCH(D107,Lists!$AZ$4:$AZ$31,0),MATCH(F107,Lists!$BA$3:$BC$3,0)))</f>
        <v/>
      </c>
      <c r="H107" s="148"/>
      <c r="I107" s="151"/>
      <c r="J107" s="154" t="str" cm="1">
        <f t="array" ref="J107">IF(OR($D107="",$C107="",$H107="",$I107=""),"",IF(I107=K107,H107,(INDEX('Emission factors'!$K$3:$V$201,MATCH(D107&amp;E107,'Emission factors'!$J$3:$J$201&amp;'Emission factors'!$K$3:$K$201,0),MATCH(J$6,'Emission factors'!$K$2:$V$2,0)))*H107))</f>
        <v/>
      </c>
      <c r="K107" s="192" t="str">
        <f>IF(OR($D107="",$C107="",$H107="",$I107=""),"",INDEX('Emission factors'!$K$3:$V$201,MATCH('Buildings &amp; stationary assets'!$D107,'Emission factors'!$J$3:$J$201,0),MATCH($K$6,'Emission factors'!$K$2:$V$2,0)))</f>
        <v/>
      </c>
      <c r="L107" s="193" t="str" cm="1">
        <f t="array" ref="L107">IF(OR(D107="",H107="",BuildingsTable[[#This Row],[Units]]=""),"",INDEX('Emission factors'!$K$3:$V$201,MATCH('Buildings &amp; stationary assets'!$D107&amp;E107,'Emission factors'!$J$3:$J$201&amp;'Emission factors'!$K$3:$K$201,0),MATCH('Buildings &amp; stationary assets'!$L$6,'Emission factors'!$K$2:$V$2,0)))</f>
        <v/>
      </c>
      <c r="M107" s="287" t="str">
        <f>IF(OR(J107="",L107=""),"",SUM(BuildingsTable[[#This Row],[Direct]:[Indirect WTT]]))</f>
        <v/>
      </c>
      <c r="N107" s="150"/>
      <c r="O107" s="151"/>
      <c r="P107" s="288" t="str" cm="1">
        <f t="array" ref="P107">IF(OR($D107="",$H107=""),"",(INDEX('Emission factors'!$K$3:$V$201,MATCH('Buildings &amp; stationary assets'!$D107&amp;$E107,'Emission factors'!$J$3:$J$201&amp;'Emission factors'!$K$3:$K$201,0),MATCH('Buildings &amp; stationary assets'!P$6,'Emission factors'!$K$2:$V$2,0)))*$J107)</f>
        <v/>
      </c>
      <c r="Q107" s="288" t="str" cm="1">
        <f t="array" ref="Q107">IF(OR($D107="",$H107=""),"",(INDEX('Emission factors'!$K$3:$V$201,MATCH('Buildings &amp; stationary assets'!$D107&amp;$E107,'Emission factors'!$J$3:$J$201&amp;'Emission factors'!$K$3:$K$201,0),MATCH('Buildings &amp; stationary assets'!Q$6,'Emission factors'!$K$2:$V$2,0)))*$J107)</f>
        <v/>
      </c>
      <c r="R107" s="288" t="str" cm="1">
        <f t="array" ref="R107">IF(OR($D107="",$H107=""),"",(INDEX('Emission factors'!$K$3:$V$201,MATCH('Buildings &amp; stationary assets'!$D107&amp;$E107,'Emission factors'!$J$3:$J$201&amp;'Emission factors'!$K$3:$K$201,0),MATCH('Buildings &amp; stationary assets'!R$6,'Emission factors'!$K$2:$V$2,0)))*$J107)</f>
        <v/>
      </c>
      <c r="S107" s="288" t="str" cm="1">
        <f t="array" ref="S107">IF(OR($D107="",$H107=""),"",(INDEX('Emission factors'!$K$3:$V$201,MATCH('Buildings &amp; stationary assets'!$D107&amp;$E107,'Emission factors'!$J$3:$J$201&amp;'Emission factors'!$K$3:$K$201,0),MATCH('Buildings &amp; stationary assets'!S$6,'Emission factors'!$K$2:$V$2,0)))*$J107)</f>
        <v/>
      </c>
      <c r="T107" s="288" t="str" cm="1">
        <f t="array" ref="T107">IF(OR($D107="",$H107=""),"",(INDEX('Emission factors'!$K$3:$V$201,MATCH('Buildings &amp; stationary assets'!$D107&amp;$E107,'Emission factors'!$J$3:$J$201&amp;'Emission factors'!$K$3:$K$201,0),MATCH('Buildings &amp; stationary assets'!T$6,'Emission factors'!$K$2:$V$2,0)))*$J107)</f>
        <v/>
      </c>
      <c r="U107" s="289" t="str">
        <f>IF(OR($M107="",BuildingsTable[[#This Row],[RSD]]=""),"",BuildingsTable[[#This Row],[Total emissions (kgCO2e)]]*(1+BuildingsTable[[#This Row],[RSD]]))</f>
        <v/>
      </c>
      <c r="V107" s="290" t="str">
        <f>IF(OR($M107="",BuildingsTable[[#This Row],[RSD]]=""),"",BuildingsTable[[#This Row],[Total emissions (kgCO2e)]]*(1-BuildingsTable[[#This Row],[RSD]]))</f>
        <v/>
      </c>
      <c r="W107" s="320" t="str" cm="1">
        <f t="array" ref="W107">IF(OR($D107="",$H107=""),"",(INDEX('Emission factors'!$K$3:$V$201,MATCH('Buildings &amp; stationary assets'!$D107&amp;$E107,'Emission factors'!$J$3:$J$201&amp;'Emission factors'!$K$3:$K$201,0),MATCH('Buildings &amp; stationary assets'!W$6,'Emission factors'!$K$2:$V$2,0)))*$J107)</f>
        <v/>
      </c>
      <c r="X107" s="66"/>
      <c r="Y107" s="1" cm="1">
        <f t="array" ref="Y107">IF(OR(ISERROR(B107:W107)),1,0)</f>
        <v>0</v>
      </c>
      <c r="Z107" s="1">
        <f t="shared" si="1"/>
        <v>0</v>
      </c>
    </row>
    <row r="108" spans="1:26" s="1" customFormat="1" ht="15" outlineLevel="1" thickBot="1" x14ac:dyDescent="0.4">
      <c r="A108" s="189"/>
      <c r="B108" s="461"/>
      <c r="C108" s="155"/>
      <c r="D108" s="151"/>
      <c r="E108" s="151"/>
      <c r="F108" s="151"/>
      <c r="G108" s="187" t="str">
        <f>IF(F108="","",INDEX(Lists!$BA$4:$BC$31,MATCH(D108,Lists!$AZ$4:$AZ$31,0),MATCH(F108,Lists!$BA$3:$BC$3,0)))</f>
        <v/>
      </c>
      <c r="H108" s="148"/>
      <c r="I108" s="151"/>
      <c r="J108" s="154" t="str" cm="1">
        <f t="array" ref="J108">IF(OR($D108="",$C108="",$H108="",$I108=""),"",IF(I108=K108,H108,(INDEX('Emission factors'!$K$3:$V$201,MATCH(D108&amp;E108,'Emission factors'!$J$3:$J$201&amp;'Emission factors'!$K$3:$K$201,0),MATCH(J$6,'Emission factors'!$K$2:$V$2,0)))*H108))</f>
        <v/>
      </c>
      <c r="K108" s="192" t="str">
        <f>IF(OR($D108="",$C108="",$H108="",$I108=""),"",INDEX('Emission factors'!$K$3:$V$201,MATCH('Buildings &amp; stationary assets'!$D108,'Emission factors'!$J$3:$J$201,0),MATCH($K$6,'Emission factors'!$K$2:$V$2,0)))</f>
        <v/>
      </c>
      <c r="L108" s="193" t="str" cm="1">
        <f t="array" ref="L108">IF(OR(D108="",H108="",BuildingsTable[[#This Row],[Units]]=""),"",INDEX('Emission factors'!$K$3:$V$201,MATCH('Buildings &amp; stationary assets'!$D108&amp;E108,'Emission factors'!$J$3:$J$201&amp;'Emission factors'!$K$3:$K$201,0),MATCH('Buildings &amp; stationary assets'!$L$6,'Emission factors'!$K$2:$V$2,0)))</f>
        <v/>
      </c>
      <c r="M108" s="287" t="str">
        <f>IF(OR(J108="",L108=""),"",SUM(BuildingsTable[[#This Row],[Direct]:[Indirect WTT]]))</f>
        <v/>
      </c>
      <c r="N108" s="150"/>
      <c r="O108" s="151"/>
      <c r="P108" s="288" t="str" cm="1">
        <f t="array" ref="P108">IF(OR($D108="",$H108=""),"",(INDEX('Emission factors'!$K$3:$V$201,MATCH('Buildings &amp; stationary assets'!$D108&amp;$E108,'Emission factors'!$J$3:$J$201&amp;'Emission factors'!$K$3:$K$201,0),MATCH('Buildings &amp; stationary assets'!P$6,'Emission factors'!$K$2:$V$2,0)))*$J108)</f>
        <v/>
      </c>
      <c r="Q108" s="288" t="str" cm="1">
        <f t="array" ref="Q108">IF(OR($D108="",$H108=""),"",(INDEX('Emission factors'!$K$3:$V$201,MATCH('Buildings &amp; stationary assets'!$D108&amp;$E108,'Emission factors'!$J$3:$J$201&amp;'Emission factors'!$K$3:$K$201,0),MATCH('Buildings &amp; stationary assets'!Q$6,'Emission factors'!$K$2:$V$2,0)))*$J108)</f>
        <v/>
      </c>
      <c r="R108" s="288" t="str" cm="1">
        <f t="array" ref="R108">IF(OR($D108="",$H108=""),"",(INDEX('Emission factors'!$K$3:$V$201,MATCH('Buildings &amp; stationary assets'!$D108&amp;$E108,'Emission factors'!$J$3:$J$201&amp;'Emission factors'!$K$3:$K$201,0),MATCH('Buildings &amp; stationary assets'!R$6,'Emission factors'!$K$2:$V$2,0)))*$J108)</f>
        <v/>
      </c>
      <c r="S108" s="288" t="str" cm="1">
        <f t="array" ref="S108">IF(OR($D108="",$H108=""),"",(INDEX('Emission factors'!$K$3:$V$201,MATCH('Buildings &amp; stationary assets'!$D108&amp;$E108,'Emission factors'!$J$3:$J$201&amp;'Emission factors'!$K$3:$K$201,0),MATCH('Buildings &amp; stationary assets'!S$6,'Emission factors'!$K$2:$V$2,0)))*$J108)</f>
        <v/>
      </c>
      <c r="T108" s="288" t="str" cm="1">
        <f t="array" ref="T108">IF(OR($D108="",$H108=""),"",(INDEX('Emission factors'!$K$3:$V$201,MATCH('Buildings &amp; stationary assets'!$D108&amp;$E108,'Emission factors'!$J$3:$J$201&amp;'Emission factors'!$K$3:$K$201,0),MATCH('Buildings &amp; stationary assets'!T$6,'Emission factors'!$K$2:$V$2,0)))*$J108)</f>
        <v/>
      </c>
      <c r="U108" s="289" t="str">
        <f>IF(OR($M108="",BuildingsTable[[#This Row],[RSD]]=""),"",BuildingsTable[[#This Row],[Total emissions (kgCO2e)]]*(1+BuildingsTable[[#This Row],[RSD]]))</f>
        <v/>
      </c>
      <c r="V108" s="290" t="str">
        <f>IF(OR($M108="",BuildingsTable[[#This Row],[RSD]]=""),"",BuildingsTable[[#This Row],[Total emissions (kgCO2e)]]*(1-BuildingsTable[[#This Row],[RSD]]))</f>
        <v/>
      </c>
      <c r="W108" s="320" t="str" cm="1">
        <f t="array" ref="W108">IF(OR($D108="",$H108=""),"",(INDEX('Emission factors'!$K$3:$V$201,MATCH('Buildings &amp; stationary assets'!$D108&amp;$E108,'Emission factors'!$J$3:$J$201&amp;'Emission factors'!$K$3:$K$201,0),MATCH('Buildings &amp; stationary assets'!W$6,'Emission factors'!$K$2:$V$2,0)))*$J108)</f>
        <v/>
      </c>
      <c r="X108" s="66"/>
      <c r="Y108" s="1" cm="1">
        <f t="array" ref="Y108">IF(OR(ISERROR(B108:W108)),1,0)</f>
        <v>0</v>
      </c>
      <c r="Z108" s="1">
        <f t="shared" si="1"/>
        <v>0</v>
      </c>
    </row>
    <row r="109" spans="1:26" s="1" customFormat="1" ht="15" outlineLevel="1" thickBot="1" x14ac:dyDescent="0.4">
      <c r="A109" s="189"/>
      <c r="B109" s="461"/>
      <c r="C109" s="155"/>
      <c r="D109" s="151"/>
      <c r="E109" s="151"/>
      <c r="F109" s="151"/>
      <c r="G109" s="187" t="str">
        <f>IF(F109="","",INDEX(Lists!$BA$4:$BC$31,MATCH(D109,Lists!$AZ$4:$AZ$31,0),MATCH(F109,Lists!$BA$3:$BC$3,0)))</f>
        <v/>
      </c>
      <c r="H109" s="148"/>
      <c r="I109" s="151"/>
      <c r="J109" s="154" t="str" cm="1">
        <f t="array" ref="J109">IF(OR($D109="",$C109="",$H109="",$I109=""),"",IF(I109=K109,H109,(INDEX('Emission factors'!$K$3:$V$201,MATCH(D109&amp;E109,'Emission factors'!$J$3:$J$201&amp;'Emission factors'!$K$3:$K$201,0),MATCH(J$6,'Emission factors'!$K$2:$V$2,0)))*H109))</f>
        <v/>
      </c>
      <c r="K109" s="192" t="str">
        <f>IF(OR($D109="",$C109="",$H109="",$I109=""),"",INDEX('Emission factors'!$K$3:$V$201,MATCH('Buildings &amp; stationary assets'!$D109,'Emission factors'!$J$3:$J$201,0),MATCH($K$6,'Emission factors'!$K$2:$V$2,0)))</f>
        <v/>
      </c>
      <c r="L109" s="193" t="str" cm="1">
        <f t="array" ref="L109">IF(OR(D109="",H109="",BuildingsTable[[#This Row],[Units]]=""),"",INDEX('Emission factors'!$K$3:$V$201,MATCH('Buildings &amp; stationary assets'!$D109&amp;E109,'Emission factors'!$J$3:$J$201&amp;'Emission factors'!$K$3:$K$201,0),MATCH('Buildings &amp; stationary assets'!$L$6,'Emission factors'!$K$2:$V$2,0)))</f>
        <v/>
      </c>
      <c r="M109" s="287" t="str">
        <f>IF(OR(J109="",L109=""),"",SUM(BuildingsTable[[#This Row],[Direct]:[Indirect WTT]]))</f>
        <v/>
      </c>
      <c r="N109" s="150"/>
      <c r="O109" s="151"/>
      <c r="P109" s="288" t="str" cm="1">
        <f t="array" ref="P109">IF(OR($D109="",$H109=""),"",(INDEX('Emission factors'!$K$3:$V$201,MATCH('Buildings &amp; stationary assets'!$D109&amp;$E109,'Emission factors'!$J$3:$J$201&amp;'Emission factors'!$K$3:$K$201,0),MATCH('Buildings &amp; stationary assets'!P$6,'Emission factors'!$K$2:$V$2,0)))*$J109)</f>
        <v/>
      </c>
      <c r="Q109" s="288" t="str" cm="1">
        <f t="array" ref="Q109">IF(OR($D109="",$H109=""),"",(INDEX('Emission factors'!$K$3:$V$201,MATCH('Buildings &amp; stationary assets'!$D109&amp;$E109,'Emission factors'!$J$3:$J$201&amp;'Emission factors'!$K$3:$K$201,0),MATCH('Buildings &amp; stationary assets'!Q$6,'Emission factors'!$K$2:$V$2,0)))*$J109)</f>
        <v/>
      </c>
      <c r="R109" s="288" t="str" cm="1">
        <f t="array" ref="R109">IF(OR($D109="",$H109=""),"",(INDEX('Emission factors'!$K$3:$V$201,MATCH('Buildings &amp; stationary assets'!$D109&amp;$E109,'Emission factors'!$J$3:$J$201&amp;'Emission factors'!$K$3:$K$201,0),MATCH('Buildings &amp; stationary assets'!R$6,'Emission factors'!$K$2:$V$2,0)))*$J109)</f>
        <v/>
      </c>
      <c r="S109" s="288" t="str" cm="1">
        <f t="array" ref="S109">IF(OR($D109="",$H109=""),"",(INDEX('Emission factors'!$K$3:$V$201,MATCH('Buildings &amp; stationary assets'!$D109&amp;$E109,'Emission factors'!$J$3:$J$201&amp;'Emission factors'!$K$3:$K$201,0),MATCH('Buildings &amp; stationary assets'!S$6,'Emission factors'!$K$2:$V$2,0)))*$J109)</f>
        <v/>
      </c>
      <c r="T109" s="288" t="str" cm="1">
        <f t="array" ref="T109">IF(OR($D109="",$H109=""),"",(INDEX('Emission factors'!$K$3:$V$201,MATCH('Buildings &amp; stationary assets'!$D109&amp;$E109,'Emission factors'!$J$3:$J$201&amp;'Emission factors'!$K$3:$K$201,0),MATCH('Buildings &amp; stationary assets'!T$6,'Emission factors'!$K$2:$V$2,0)))*$J109)</f>
        <v/>
      </c>
      <c r="U109" s="289" t="str">
        <f>IF(OR($M109="",BuildingsTable[[#This Row],[RSD]]=""),"",BuildingsTable[[#This Row],[Total emissions (kgCO2e)]]*(1+BuildingsTable[[#This Row],[RSD]]))</f>
        <v/>
      </c>
      <c r="V109" s="290" t="str">
        <f>IF(OR($M109="",BuildingsTable[[#This Row],[RSD]]=""),"",BuildingsTable[[#This Row],[Total emissions (kgCO2e)]]*(1-BuildingsTable[[#This Row],[RSD]]))</f>
        <v/>
      </c>
      <c r="W109" s="320" t="str" cm="1">
        <f t="array" ref="W109">IF(OR($D109="",$H109=""),"",(INDEX('Emission factors'!$K$3:$V$201,MATCH('Buildings &amp; stationary assets'!$D109&amp;$E109,'Emission factors'!$J$3:$J$201&amp;'Emission factors'!$K$3:$K$201,0),MATCH('Buildings &amp; stationary assets'!W$6,'Emission factors'!$K$2:$V$2,0)))*$J109)</f>
        <v/>
      </c>
      <c r="X109" s="66"/>
      <c r="Y109" s="1" cm="1">
        <f t="array" ref="Y109">IF(OR(ISERROR(B109:W109)),1,0)</f>
        <v>0</v>
      </c>
      <c r="Z109" s="1">
        <f t="shared" si="1"/>
        <v>0</v>
      </c>
    </row>
    <row r="110" spans="1:26" s="1" customFormat="1" ht="15" outlineLevel="1" thickBot="1" x14ac:dyDescent="0.4">
      <c r="A110" s="189"/>
      <c r="B110" s="461"/>
      <c r="C110" s="155"/>
      <c r="D110" s="151"/>
      <c r="E110" s="151"/>
      <c r="F110" s="151"/>
      <c r="G110" s="187" t="str">
        <f>IF(F110="","",INDEX(Lists!$BA$4:$BC$31,MATCH(D110,Lists!$AZ$4:$AZ$31,0),MATCH(F110,Lists!$BA$3:$BC$3,0)))</f>
        <v/>
      </c>
      <c r="H110" s="148"/>
      <c r="I110" s="151"/>
      <c r="J110" s="154" t="str" cm="1">
        <f t="array" ref="J110">IF(OR($D110="",$C110="",$H110="",$I110=""),"",IF(I110=K110,H110,(INDEX('Emission factors'!$K$3:$V$201,MATCH(D110&amp;E110,'Emission factors'!$J$3:$J$201&amp;'Emission factors'!$K$3:$K$201,0),MATCH(J$6,'Emission factors'!$K$2:$V$2,0)))*H110))</f>
        <v/>
      </c>
      <c r="K110" s="192" t="str">
        <f>IF(OR($D110="",$C110="",$H110="",$I110=""),"",INDEX('Emission factors'!$K$3:$V$201,MATCH('Buildings &amp; stationary assets'!$D110,'Emission factors'!$J$3:$J$201,0),MATCH($K$6,'Emission factors'!$K$2:$V$2,0)))</f>
        <v/>
      </c>
      <c r="L110" s="193" t="str" cm="1">
        <f t="array" ref="L110">IF(OR(D110="",H110="",BuildingsTable[[#This Row],[Units]]=""),"",INDEX('Emission factors'!$K$3:$V$201,MATCH('Buildings &amp; stationary assets'!$D110&amp;E110,'Emission factors'!$J$3:$J$201&amp;'Emission factors'!$K$3:$K$201,0),MATCH('Buildings &amp; stationary assets'!$L$6,'Emission factors'!$K$2:$V$2,0)))</f>
        <v/>
      </c>
      <c r="M110" s="287" t="str">
        <f>IF(OR(J110="",L110=""),"",SUM(BuildingsTable[[#This Row],[Direct]:[Indirect WTT]]))</f>
        <v/>
      </c>
      <c r="N110" s="150"/>
      <c r="O110" s="151"/>
      <c r="P110" s="288" t="str" cm="1">
        <f t="array" ref="P110">IF(OR($D110="",$H110=""),"",(INDEX('Emission factors'!$K$3:$V$201,MATCH('Buildings &amp; stationary assets'!$D110&amp;$E110,'Emission factors'!$J$3:$J$201&amp;'Emission factors'!$K$3:$K$201,0),MATCH('Buildings &amp; stationary assets'!P$6,'Emission factors'!$K$2:$V$2,0)))*$J110)</f>
        <v/>
      </c>
      <c r="Q110" s="288" t="str" cm="1">
        <f t="array" ref="Q110">IF(OR($D110="",$H110=""),"",(INDEX('Emission factors'!$K$3:$V$201,MATCH('Buildings &amp; stationary assets'!$D110&amp;$E110,'Emission factors'!$J$3:$J$201&amp;'Emission factors'!$K$3:$K$201,0),MATCH('Buildings &amp; stationary assets'!Q$6,'Emission factors'!$K$2:$V$2,0)))*$J110)</f>
        <v/>
      </c>
      <c r="R110" s="288" t="str" cm="1">
        <f t="array" ref="R110">IF(OR($D110="",$H110=""),"",(INDEX('Emission factors'!$K$3:$V$201,MATCH('Buildings &amp; stationary assets'!$D110&amp;$E110,'Emission factors'!$J$3:$J$201&amp;'Emission factors'!$K$3:$K$201,0),MATCH('Buildings &amp; stationary assets'!R$6,'Emission factors'!$K$2:$V$2,0)))*$J110)</f>
        <v/>
      </c>
      <c r="S110" s="288" t="str" cm="1">
        <f t="array" ref="S110">IF(OR($D110="",$H110=""),"",(INDEX('Emission factors'!$K$3:$V$201,MATCH('Buildings &amp; stationary assets'!$D110&amp;$E110,'Emission factors'!$J$3:$J$201&amp;'Emission factors'!$K$3:$K$201,0),MATCH('Buildings &amp; stationary assets'!S$6,'Emission factors'!$K$2:$V$2,0)))*$J110)</f>
        <v/>
      </c>
      <c r="T110" s="288" t="str" cm="1">
        <f t="array" ref="T110">IF(OR($D110="",$H110=""),"",(INDEX('Emission factors'!$K$3:$V$201,MATCH('Buildings &amp; stationary assets'!$D110&amp;$E110,'Emission factors'!$J$3:$J$201&amp;'Emission factors'!$K$3:$K$201,0),MATCH('Buildings &amp; stationary assets'!T$6,'Emission factors'!$K$2:$V$2,0)))*$J110)</f>
        <v/>
      </c>
      <c r="U110" s="289" t="str">
        <f>IF(OR($M110="",BuildingsTable[[#This Row],[RSD]]=""),"",BuildingsTable[[#This Row],[Total emissions (kgCO2e)]]*(1+BuildingsTable[[#This Row],[RSD]]))</f>
        <v/>
      </c>
      <c r="V110" s="290" t="str">
        <f>IF(OR($M110="",BuildingsTable[[#This Row],[RSD]]=""),"",BuildingsTable[[#This Row],[Total emissions (kgCO2e)]]*(1-BuildingsTable[[#This Row],[RSD]]))</f>
        <v/>
      </c>
      <c r="W110" s="320" t="str" cm="1">
        <f t="array" ref="W110">IF(OR($D110="",$H110=""),"",(INDEX('Emission factors'!$K$3:$V$201,MATCH('Buildings &amp; stationary assets'!$D110&amp;$E110,'Emission factors'!$J$3:$J$201&amp;'Emission factors'!$K$3:$K$201,0),MATCH('Buildings &amp; stationary assets'!W$6,'Emission factors'!$K$2:$V$2,0)))*$J110)</f>
        <v/>
      </c>
      <c r="X110" s="66"/>
      <c r="Y110" s="1" cm="1">
        <f t="array" ref="Y110">IF(OR(ISERROR(B110:W110)),1,0)</f>
        <v>0</v>
      </c>
      <c r="Z110" s="1">
        <f t="shared" si="1"/>
        <v>0</v>
      </c>
    </row>
    <row r="111" spans="1:26" s="1" customFormat="1" ht="15" outlineLevel="1" thickBot="1" x14ac:dyDescent="0.4">
      <c r="A111" s="189"/>
      <c r="B111" s="461"/>
      <c r="C111" s="155"/>
      <c r="D111" s="151"/>
      <c r="E111" s="151"/>
      <c r="F111" s="151"/>
      <c r="G111" s="187" t="str">
        <f>IF(F111="","",INDEX(Lists!$BA$4:$BC$31,MATCH(D111,Lists!$AZ$4:$AZ$31,0),MATCH(F111,Lists!$BA$3:$BC$3,0)))</f>
        <v/>
      </c>
      <c r="H111" s="148"/>
      <c r="I111" s="151"/>
      <c r="J111" s="154" t="str" cm="1">
        <f t="array" ref="J111">IF(OR($D111="",$C111="",$H111="",$I111=""),"",IF(I111=K111,H111,(INDEX('Emission factors'!$K$3:$V$201,MATCH(D111&amp;E111,'Emission factors'!$J$3:$J$201&amp;'Emission factors'!$K$3:$K$201,0),MATCH(J$6,'Emission factors'!$K$2:$V$2,0)))*H111))</f>
        <v/>
      </c>
      <c r="K111" s="192" t="str">
        <f>IF(OR($D111="",$C111="",$H111="",$I111=""),"",INDEX('Emission factors'!$K$3:$V$201,MATCH('Buildings &amp; stationary assets'!$D111,'Emission factors'!$J$3:$J$201,0),MATCH($K$6,'Emission factors'!$K$2:$V$2,0)))</f>
        <v/>
      </c>
      <c r="L111" s="193" t="str" cm="1">
        <f t="array" ref="L111">IF(OR(D111="",H111="",BuildingsTable[[#This Row],[Units]]=""),"",INDEX('Emission factors'!$K$3:$V$201,MATCH('Buildings &amp; stationary assets'!$D111&amp;E111,'Emission factors'!$J$3:$J$201&amp;'Emission factors'!$K$3:$K$201,0),MATCH('Buildings &amp; stationary assets'!$L$6,'Emission factors'!$K$2:$V$2,0)))</f>
        <v/>
      </c>
      <c r="M111" s="287" t="str">
        <f>IF(OR(J111="",L111=""),"",SUM(BuildingsTable[[#This Row],[Direct]:[Indirect WTT]]))</f>
        <v/>
      </c>
      <c r="N111" s="150"/>
      <c r="O111" s="151"/>
      <c r="P111" s="288" t="str" cm="1">
        <f t="array" ref="P111">IF(OR($D111="",$H111=""),"",(INDEX('Emission factors'!$K$3:$V$201,MATCH('Buildings &amp; stationary assets'!$D111&amp;$E111,'Emission factors'!$J$3:$J$201&amp;'Emission factors'!$K$3:$K$201,0),MATCH('Buildings &amp; stationary assets'!P$6,'Emission factors'!$K$2:$V$2,0)))*$J111)</f>
        <v/>
      </c>
      <c r="Q111" s="288" t="str" cm="1">
        <f t="array" ref="Q111">IF(OR($D111="",$H111=""),"",(INDEX('Emission factors'!$K$3:$V$201,MATCH('Buildings &amp; stationary assets'!$D111&amp;$E111,'Emission factors'!$J$3:$J$201&amp;'Emission factors'!$K$3:$K$201,0),MATCH('Buildings &amp; stationary assets'!Q$6,'Emission factors'!$K$2:$V$2,0)))*$J111)</f>
        <v/>
      </c>
      <c r="R111" s="288" t="str" cm="1">
        <f t="array" ref="R111">IF(OR($D111="",$H111=""),"",(INDEX('Emission factors'!$K$3:$V$201,MATCH('Buildings &amp; stationary assets'!$D111&amp;$E111,'Emission factors'!$J$3:$J$201&amp;'Emission factors'!$K$3:$K$201,0),MATCH('Buildings &amp; stationary assets'!R$6,'Emission factors'!$K$2:$V$2,0)))*$J111)</f>
        <v/>
      </c>
      <c r="S111" s="288" t="str" cm="1">
        <f t="array" ref="S111">IF(OR($D111="",$H111=""),"",(INDEX('Emission factors'!$K$3:$V$201,MATCH('Buildings &amp; stationary assets'!$D111&amp;$E111,'Emission factors'!$J$3:$J$201&amp;'Emission factors'!$K$3:$K$201,0),MATCH('Buildings &amp; stationary assets'!S$6,'Emission factors'!$K$2:$V$2,0)))*$J111)</f>
        <v/>
      </c>
      <c r="T111" s="288" t="str" cm="1">
        <f t="array" ref="T111">IF(OR($D111="",$H111=""),"",(INDEX('Emission factors'!$K$3:$V$201,MATCH('Buildings &amp; stationary assets'!$D111&amp;$E111,'Emission factors'!$J$3:$J$201&amp;'Emission factors'!$K$3:$K$201,0),MATCH('Buildings &amp; stationary assets'!T$6,'Emission factors'!$K$2:$V$2,0)))*$J111)</f>
        <v/>
      </c>
      <c r="U111" s="289" t="str">
        <f>IF(OR($M111="",BuildingsTable[[#This Row],[RSD]]=""),"",BuildingsTable[[#This Row],[Total emissions (kgCO2e)]]*(1+BuildingsTable[[#This Row],[RSD]]))</f>
        <v/>
      </c>
      <c r="V111" s="290" t="str">
        <f>IF(OR($M111="",BuildingsTable[[#This Row],[RSD]]=""),"",BuildingsTable[[#This Row],[Total emissions (kgCO2e)]]*(1-BuildingsTable[[#This Row],[RSD]]))</f>
        <v/>
      </c>
      <c r="W111" s="320" t="str" cm="1">
        <f t="array" ref="W111">IF(OR($D111="",$H111=""),"",(INDEX('Emission factors'!$K$3:$V$201,MATCH('Buildings &amp; stationary assets'!$D111&amp;$E111,'Emission factors'!$J$3:$J$201&amp;'Emission factors'!$K$3:$K$201,0),MATCH('Buildings &amp; stationary assets'!W$6,'Emission factors'!$K$2:$V$2,0)))*$J111)</f>
        <v/>
      </c>
      <c r="X111" s="66"/>
      <c r="Y111" s="1" cm="1">
        <f t="array" ref="Y111">IF(OR(ISERROR(B111:W111)),1,0)</f>
        <v>0</v>
      </c>
      <c r="Z111" s="1">
        <f t="shared" si="1"/>
        <v>0</v>
      </c>
    </row>
    <row r="112" spans="1:26" s="1" customFormat="1" ht="15" outlineLevel="1" thickBot="1" x14ac:dyDescent="0.4">
      <c r="A112" s="189"/>
      <c r="B112" s="461"/>
      <c r="C112" s="155"/>
      <c r="D112" s="151"/>
      <c r="E112" s="151"/>
      <c r="F112" s="151"/>
      <c r="G112" s="187" t="str">
        <f>IF(F112="","",INDEX(Lists!$BA$4:$BC$31,MATCH(D112,Lists!$AZ$4:$AZ$31,0),MATCH(F112,Lists!$BA$3:$BC$3,0)))</f>
        <v/>
      </c>
      <c r="H112" s="148"/>
      <c r="I112" s="151"/>
      <c r="J112" s="154" t="str" cm="1">
        <f t="array" ref="J112">IF(OR($D112="",$C112="",$H112="",$I112=""),"",IF(I112=K112,H112,(INDEX('Emission factors'!$K$3:$V$201,MATCH(D112&amp;E112,'Emission factors'!$J$3:$J$201&amp;'Emission factors'!$K$3:$K$201,0),MATCH(J$6,'Emission factors'!$K$2:$V$2,0)))*H112))</f>
        <v/>
      </c>
      <c r="K112" s="192" t="str">
        <f>IF(OR($D112="",$C112="",$H112="",$I112=""),"",INDEX('Emission factors'!$K$3:$V$201,MATCH('Buildings &amp; stationary assets'!$D112,'Emission factors'!$J$3:$J$201,0),MATCH($K$6,'Emission factors'!$K$2:$V$2,0)))</f>
        <v/>
      </c>
      <c r="L112" s="193" t="str" cm="1">
        <f t="array" ref="L112">IF(OR(D112="",H112="",BuildingsTable[[#This Row],[Units]]=""),"",INDEX('Emission factors'!$K$3:$V$201,MATCH('Buildings &amp; stationary assets'!$D112&amp;E112,'Emission factors'!$J$3:$J$201&amp;'Emission factors'!$K$3:$K$201,0),MATCH('Buildings &amp; stationary assets'!$L$6,'Emission factors'!$K$2:$V$2,0)))</f>
        <v/>
      </c>
      <c r="M112" s="287" t="str">
        <f>IF(OR(J112="",L112=""),"",SUM(BuildingsTable[[#This Row],[Direct]:[Indirect WTT]]))</f>
        <v/>
      </c>
      <c r="N112" s="150"/>
      <c r="O112" s="151"/>
      <c r="P112" s="288" t="str" cm="1">
        <f t="array" ref="P112">IF(OR($D112="",$H112=""),"",(INDEX('Emission factors'!$K$3:$V$201,MATCH('Buildings &amp; stationary assets'!$D112&amp;$E112,'Emission factors'!$J$3:$J$201&amp;'Emission factors'!$K$3:$K$201,0),MATCH('Buildings &amp; stationary assets'!P$6,'Emission factors'!$K$2:$V$2,0)))*$J112)</f>
        <v/>
      </c>
      <c r="Q112" s="288" t="str" cm="1">
        <f t="array" ref="Q112">IF(OR($D112="",$H112=""),"",(INDEX('Emission factors'!$K$3:$V$201,MATCH('Buildings &amp; stationary assets'!$D112&amp;$E112,'Emission factors'!$J$3:$J$201&amp;'Emission factors'!$K$3:$K$201,0),MATCH('Buildings &amp; stationary assets'!Q$6,'Emission factors'!$K$2:$V$2,0)))*$J112)</f>
        <v/>
      </c>
      <c r="R112" s="288" t="str" cm="1">
        <f t="array" ref="R112">IF(OR($D112="",$H112=""),"",(INDEX('Emission factors'!$K$3:$V$201,MATCH('Buildings &amp; stationary assets'!$D112&amp;$E112,'Emission factors'!$J$3:$J$201&amp;'Emission factors'!$K$3:$K$201,0),MATCH('Buildings &amp; stationary assets'!R$6,'Emission factors'!$K$2:$V$2,0)))*$J112)</f>
        <v/>
      </c>
      <c r="S112" s="288" t="str" cm="1">
        <f t="array" ref="S112">IF(OR($D112="",$H112=""),"",(INDEX('Emission factors'!$K$3:$V$201,MATCH('Buildings &amp; stationary assets'!$D112&amp;$E112,'Emission factors'!$J$3:$J$201&amp;'Emission factors'!$K$3:$K$201,0),MATCH('Buildings &amp; stationary assets'!S$6,'Emission factors'!$K$2:$V$2,0)))*$J112)</f>
        <v/>
      </c>
      <c r="T112" s="288" t="str" cm="1">
        <f t="array" ref="T112">IF(OR($D112="",$H112=""),"",(INDEX('Emission factors'!$K$3:$V$201,MATCH('Buildings &amp; stationary assets'!$D112&amp;$E112,'Emission factors'!$J$3:$J$201&amp;'Emission factors'!$K$3:$K$201,0),MATCH('Buildings &amp; stationary assets'!T$6,'Emission factors'!$K$2:$V$2,0)))*$J112)</f>
        <v/>
      </c>
      <c r="U112" s="289" t="str">
        <f>IF(OR($M112="",BuildingsTable[[#This Row],[RSD]]=""),"",BuildingsTable[[#This Row],[Total emissions (kgCO2e)]]*(1+BuildingsTable[[#This Row],[RSD]]))</f>
        <v/>
      </c>
      <c r="V112" s="290" t="str">
        <f>IF(OR($M112="",BuildingsTable[[#This Row],[RSD]]=""),"",BuildingsTable[[#This Row],[Total emissions (kgCO2e)]]*(1-BuildingsTable[[#This Row],[RSD]]))</f>
        <v/>
      </c>
      <c r="W112" s="320" t="str" cm="1">
        <f t="array" ref="W112">IF(OR($D112="",$H112=""),"",(INDEX('Emission factors'!$K$3:$V$201,MATCH('Buildings &amp; stationary assets'!$D112&amp;$E112,'Emission factors'!$J$3:$J$201&amp;'Emission factors'!$K$3:$K$201,0),MATCH('Buildings &amp; stationary assets'!W$6,'Emission factors'!$K$2:$V$2,0)))*$J112)</f>
        <v/>
      </c>
      <c r="X112" s="66"/>
      <c r="Y112" s="1" cm="1">
        <f t="array" ref="Y112">IF(OR(ISERROR(B112:W112)),1,0)</f>
        <v>0</v>
      </c>
      <c r="Z112" s="1">
        <f t="shared" si="1"/>
        <v>0</v>
      </c>
    </row>
    <row r="113" spans="1:27" s="1" customFormat="1" ht="15" outlineLevel="1" thickBot="1" x14ac:dyDescent="0.4">
      <c r="A113" s="189"/>
      <c r="B113" s="461"/>
      <c r="C113" s="155"/>
      <c r="D113" s="151"/>
      <c r="E113" s="151"/>
      <c r="F113" s="151"/>
      <c r="G113" s="187" t="str">
        <f>IF(F113="","",INDEX(Lists!$BA$4:$BC$31,MATCH(D113,Lists!$AZ$4:$AZ$31,0),MATCH(F113,Lists!$BA$3:$BC$3,0)))</f>
        <v/>
      </c>
      <c r="H113" s="148"/>
      <c r="I113" s="151"/>
      <c r="J113" s="154" t="str" cm="1">
        <f t="array" ref="J113">IF(OR($D113="",$C113="",$H113="",$I113=""),"",IF(I113=K113,H113,(INDEX('Emission factors'!$K$3:$V$201,MATCH(D113&amp;E113,'Emission factors'!$J$3:$J$201&amp;'Emission factors'!$K$3:$K$201,0),MATCH(J$6,'Emission factors'!$K$2:$V$2,0)))*H113))</f>
        <v/>
      </c>
      <c r="K113" s="192" t="str">
        <f>IF(OR($D113="",$C113="",$H113="",$I113=""),"",INDEX('Emission factors'!$K$3:$V$201,MATCH('Buildings &amp; stationary assets'!$D113,'Emission factors'!$J$3:$J$201,0),MATCH($K$6,'Emission factors'!$K$2:$V$2,0)))</f>
        <v/>
      </c>
      <c r="L113" s="193" t="str" cm="1">
        <f t="array" ref="L113">IF(OR(D113="",H113="",BuildingsTable[[#This Row],[Units]]=""),"",INDEX('Emission factors'!$K$3:$V$201,MATCH('Buildings &amp; stationary assets'!$D113&amp;E113,'Emission factors'!$J$3:$J$201&amp;'Emission factors'!$K$3:$K$201,0),MATCH('Buildings &amp; stationary assets'!$L$6,'Emission factors'!$K$2:$V$2,0)))</f>
        <v/>
      </c>
      <c r="M113" s="287" t="str">
        <f>IF(OR(J113="",L113=""),"",SUM(BuildingsTable[[#This Row],[Direct]:[Indirect WTT]]))</f>
        <v/>
      </c>
      <c r="N113" s="150"/>
      <c r="O113" s="151"/>
      <c r="P113" s="288" t="str" cm="1">
        <f t="array" ref="P113">IF(OR($D113="",$H113=""),"",(INDEX('Emission factors'!$K$3:$V$201,MATCH('Buildings &amp; stationary assets'!$D113&amp;$E113,'Emission factors'!$J$3:$J$201&amp;'Emission factors'!$K$3:$K$201,0),MATCH('Buildings &amp; stationary assets'!P$6,'Emission factors'!$K$2:$V$2,0)))*$J113)</f>
        <v/>
      </c>
      <c r="Q113" s="288" t="str" cm="1">
        <f t="array" ref="Q113">IF(OR($D113="",$H113=""),"",(INDEX('Emission factors'!$K$3:$V$201,MATCH('Buildings &amp; stationary assets'!$D113&amp;$E113,'Emission factors'!$J$3:$J$201&amp;'Emission factors'!$K$3:$K$201,0),MATCH('Buildings &amp; stationary assets'!Q$6,'Emission factors'!$K$2:$V$2,0)))*$J113)</f>
        <v/>
      </c>
      <c r="R113" s="288" t="str" cm="1">
        <f t="array" ref="R113">IF(OR($D113="",$H113=""),"",(INDEX('Emission factors'!$K$3:$V$201,MATCH('Buildings &amp; stationary assets'!$D113&amp;$E113,'Emission factors'!$J$3:$J$201&amp;'Emission factors'!$K$3:$K$201,0),MATCH('Buildings &amp; stationary assets'!R$6,'Emission factors'!$K$2:$V$2,0)))*$J113)</f>
        <v/>
      </c>
      <c r="S113" s="288" t="str" cm="1">
        <f t="array" ref="S113">IF(OR($D113="",$H113=""),"",(INDEX('Emission factors'!$K$3:$V$201,MATCH('Buildings &amp; stationary assets'!$D113&amp;$E113,'Emission factors'!$J$3:$J$201&amp;'Emission factors'!$K$3:$K$201,0),MATCH('Buildings &amp; stationary assets'!S$6,'Emission factors'!$K$2:$V$2,0)))*$J113)</f>
        <v/>
      </c>
      <c r="T113" s="288" t="str" cm="1">
        <f t="array" ref="T113">IF(OR($D113="",$H113=""),"",(INDEX('Emission factors'!$K$3:$V$201,MATCH('Buildings &amp; stationary assets'!$D113&amp;$E113,'Emission factors'!$J$3:$J$201&amp;'Emission factors'!$K$3:$K$201,0),MATCH('Buildings &amp; stationary assets'!T$6,'Emission factors'!$K$2:$V$2,0)))*$J113)</f>
        <v/>
      </c>
      <c r="U113" s="289" t="str">
        <f>IF(OR($M113="",BuildingsTable[[#This Row],[RSD]]=""),"",BuildingsTable[[#This Row],[Total emissions (kgCO2e)]]*(1+BuildingsTable[[#This Row],[RSD]]))</f>
        <v/>
      </c>
      <c r="V113" s="290" t="str">
        <f>IF(OR($M113="",BuildingsTable[[#This Row],[RSD]]=""),"",BuildingsTable[[#This Row],[Total emissions (kgCO2e)]]*(1-BuildingsTable[[#This Row],[RSD]]))</f>
        <v/>
      </c>
      <c r="W113" s="320" t="str" cm="1">
        <f t="array" ref="W113">IF(OR($D113="",$H113=""),"",(INDEX('Emission factors'!$K$3:$V$201,MATCH('Buildings &amp; stationary assets'!$D113&amp;$E113,'Emission factors'!$J$3:$J$201&amp;'Emission factors'!$K$3:$K$201,0),MATCH('Buildings &amp; stationary assets'!W$6,'Emission factors'!$K$2:$V$2,0)))*$J113)</f>
        <v/>
      </c>
      <c r="X113" s="66"/>
      <c r="Y113" s="1" cm="1">
        <f t="array" ref="Y113">IF(OR(ISERROR(B113:W113)),1,0)</f>
        <v>0</v>
      </c>
      <c r="Z113" s="1">
        <f t="shared" si="1"/>
        <v>0</v>
      </c>
    </row>
    <row r="114" spans="1:27" s="1" customFormat="1" ht="15" outlineLevel="1" thickBot="1" x14ac:dyDescent="0.4">
      <c r="A114" s="189"/>
      <c r="B114" s="461"/>
      <c r="C114" s="155"/>
      <c r="D114" s="151"/>
      <c r="E114" s="151"/>
      <c r="F114" s="151"/>
      <c r="G114" s="187" t="str">
        <f>IF(F114="","",INDEX(Lists!$BA$4:$BC$31,MATCH(D114,Lists!$AZ$4:$AZ$31,0),MATCH(F114,Lists!$BA$3:$BC$3,0)))</f>
        <v/>
      </c>
      <c r="H114" s="148"/>
      <c r="I114" s="151"/>
      <c r="J114" s="154" t="str" cm="1">
        <f t="array" ref="J114">IF(OR($D114="",$C114="",$H114="",$I114=""),"",IF(I114=K114,H114,(INDEX('Emission factors'!$K$3:$V$201,MATCH(D114&amp;E114,'Emission factors'!$J$3:$J$201&amp;'Emission factors'!$K$3:$K$201,0),MATCH(J$6,'Emission factors'!$K$2:$V$2,0)))*H114))</f>
        <v/>
      </c>
      <c r="K114" s="192" t="str">
        <f>IF(OR($D114="",$C114="",$H114="",$I114=""),"",INDEX('Emission factors'!$K$3:$V$201,MATCH('Buildings &amp; stationary assets'!$D114,'Emission factors'!$J$3:$J$201,0),MATCH($K$6,'Emission factors'!$K$2:$V$2,0)))</f>
        <v/>
      </c>
      <c r="L114" s="193" t="str" cm="1">
        <f t="array" ref="L114">IF(OR(D114="",H114="",BuildingsTable[[#This Row],[Units]]=""),"",INDEX('Emission factors'!$K$3:$V$201,MATCH('Buildings &amp; stationary assets'!$D114&amp;E114,'Emission factors'!$J$3:$J$201&amp;'Emission factors'!$K$3:$K$201,0),MATCH('Buildings &amp; stationary assets'!$L$6,'Emission factors'!$K$2:$V$2,0)))</f>
        <v/>
      </c>
      <c r="M114" s="287" t="str">
        <f>IF(OR(J114="",L114=""),"",SUM(BuildingsTable[[#This Row],[Direct]:[Indirect WTT]]))</f>
        <v/>
      </c>
      <c r="N114" s="150"/>
      <c r="O114" s="151"/>
      <c r="P114" s="288" t="str" cm="1">
        <f t="array" ref="P114">IF(OR($D114="",$H114=""),"",(INDEX('Emission factors'!$K$3:$V$201,MATCH('Buildings &amp; stationary assets'!$D114&amp;$E114,'Emission factors'!$J$3:$J$201&amp;'Emission factors'!$K$3:$K$201,0),MATCH('Buildings &amp; stationary assets'!P$6,'Emission factors'!$K$2:$V$2,0)))*$J114)</f>
        <v/>
      </c>
      <c r="Q114" s="288" t="str" cm="1">
        <f t="array" ref="Q114">IF(OR($D114="",$H114=""),"",(INDEX('Emission factors'!$K$3:$V$201,MATCH('Buildings &amp; stationary assets'!$D114&amp;$E114,'Emission factors'!$J$3:$J$201&amp;'Emission factors'!$K$3:$K$201,0),MATCH('Buildings &amp; stationary assets'!Q$6,'Emission factors'!$K$2:$V$2,0)))*$J114)</f>
        <v/>
      </c>
      <c r="R114" s="288" t="str" cm="1">
        <f t="array" ref="R114">IF(OR($D114="",$H114=""),"",(INDEX('Emission factors'!$K$3:$V$201,MATCH('Buildings &amp; stationary assets'!$D114&amp;$E114,'Emission factors'!$J$3:$J$201&amp;'Emission factors'!$K$3:$K$201,0),MATCH('Buildings &amp; stationary assets'!R$6,'Emission factors'!$K$2:$V$2,0)))*$J114)</f>
        <v/>
      </c>
      <c r="S114" s="288" t="str" cm="1">
        <f t="array" ref="S114">IF(OR($D114="",$H114=""),"",(INDEX('Emission factors'!$K$3:$V$201,MATCH('Buildings &amp; stationary assets'!$D114&amp;$E114,'Emission factors'!$J$3:$J$201&amp;'Emission factors'!$K$3:$K$201,0),MATCH('Buildings &amp; stationary assets'!S$6,'Emission factors'!$K$2:$V$2,0)))*$J114)</f>
        <v/>
      </c>
      <c r="T114" s="288" t="str" cm="1">
        <f t="array" ref="T114">IF(OR($D114="",$H114=""),"",(INDEX('Emission factors'!$K$3:$V$201,MATCH('Buildings &amp; stationary assets'!$D114&amp;$E114,'Emission factors'!$J$3:$J$201&amp;'Emission factors'!$K$3:$K$201,0),MATCH('Buildings &amp; stationary assets'!T$6,'Emission factors'!$K$2:$V$2,0)))*$J114)</f>
        <v/>
      </c>
      <c r="U114" s="289" t="str">
        <f>IF(OR($M114="",BuildingsTable[[#This Row],[RSD]]=""),"",BuildingsTable[[#This Row],[Total emissions (kgCO2e)]]*(1+BuildingsTable[[#This Row],[RSD]]))</f>
        <v/>
      </c>
      <c r="V114" s="290" t="str">
        <f>IF(OR($M114="",BuildingsTable[[#This Row],[RSD]]=""),"",BuildingsTable[[#This Row],[Total emissions (kgCO2e)]]*(1-BuildingsTable[[#This Row],[RSD]]))</f>
        <v/>
      </c>
      <c r="W114" s="320" t="str" cm="1">
        <f t="array" ref="W114">IF(OR($D114="",$H114=""),"",(INDEX('Emission factors'!$K$3:$V$201,MATCH('Buildings &amp; stationary assets'!$D114&amp;$E114,'Emission factors'!$J$3:$J$201&amp;'Emission factors'!$K$3:$K$201,0),MATCH('Buildings &amp; stationary assets'!W$6,'Emission factors'!$K$2:$V$2,0)))*$J114)</f>
        <v/>
      </c>
      <c r="X114" s="66"/>
      <c r="Y114" s="1" cm="1">
        <f t="array" ref="Y114">IF(OR(ISERROR(B114:W114)),1,0)</f>
        <v>0</v>
      </c>
      <c r="Z114" s="1">
        <f t="shared" si="1"/>
        <v>0</v>
      </c>
    </row>
    <row r="115" spans="1:27" s="1" customFormat="1" ht="13.4" customHeight="1" outlineLevel="1" thickBot="1" x14ac:dyDescent="0.4">
      <c r="A115" s="189"/>
      <c r="B115" s="461"/>
      <c r="C115" s="155"/>
      <c r="D115" s="151"/>
      <c r="E115" s="151"/>
      <c r="F115" s="151"/>
      <c r="G115" s="187" t="str">
        <f>IF(F115="","",INDEX(Lists!$BA$4:$BC$31,MATCH(D115,Lists!$AZ$4:$AZ$31,0),MATCH(F115,Lists!$BA$3:$BC$3,0)))</f>
        <v/>
      </c>
      <c r="H115" s="148"/>
      <c r="I115" s="151"/>
      <c r="J115" s="154" t="str" cm="1">
        <f t="array" ref="J115">IF(OR($D115="",$C115="",$H115="",$I115=""),"",IF(I115=K115,H115,(INDEX('Emission factors'!$K$3:$V$201,MATCH(D115&amp;E115,'Emission factors'!$J$3:$J$201&amp;'Emission factors'!$K$3:$K$201,0),MATCH(J$6,'Emission factors'!$K$2:$V$2,0)))*H115))</f>
        <v/>
      </c>
      <c r="K115" s="192" t="str">
        <f>IF(OR($D115="",$C115="",$H115="",$I115=""),"",INDEX('Emission factors'!$K$3:$V$201,MATCH('Buildings &amp; stationary assets'!$D115,'Emission factors'!$J$3:$J$201,0),MATCH($K$6,'Emission factors'!$K$2:$V$2,0)))</f>
        <v/>
      </c>
      <c r="L115" s="193" t="str" cm="1">
        <f t="array" ref="L115">IF(OR(D115="",H115="",BuildingsTable[[#This Row],[Units]]=""),"",INDEX('Emission factors'!$K$3:$V$201,MATCH('Buildings &amp; stationary assets'!$D115&amp;E115,'Emission factors'!$J$3:$J$201&amp;'Emission factors'!$K$3:$K$201,0),MATCH('Buildings &amp; stationary assets'!$L$6,'Emission factors'!$K$2:$V$2,0)))</f>
        <v/>
      </c>
      <c r="M115" s="287" t="str">
        <f>IF(OR(J115="",L115=""),"",SUM(BuildingsTable[[#This Row],[Direct]:[Indirect WTT]]))</f>
        <v/>
      </c>
      <c r="N115" s="150"/>
      <c r="O115" s="151"/>
      <c r="P115" s="288" t="str" cm="1">
        <f t="array" ref="P115">IF(OR($D115="",$H115=""),"",(INDEX('Emission factors'!$K$3:$V$201,MATCH('Buildings &amp; stationary assets'!$D115&amp;$E115,'Emission factors'!$J$3:$J$201&amp;'Emission factors'!$K$3:$K$201,0),MATCH('Buildings &amp; stationary assets'!P$6,'Emission factors'!$K$2:$V$2,0)))*$J115)</f>
        <v/>
      </c>
      <c r="Q115" s="288" t="str" cm="1">
        <f t="array" ref="Q115">IF(OR($D115="",$H115=""),"",(INDEX('Emission factors'!$K$3:$V$201,MATCH('Buildings &amp; stationary assets'!$D115&amp;$E115,'Emission factors'!$J$3:$J$201&amp;'Emission factors'!$K$3:$K$201,0),MATCH('Buildings &amp; stationary assets'!Q$6,'Emission factors'!$K$2:$V$2,0)))*$J115)</f>
        <v/>
      </c>
      <c r="R115" s="288" t="str" cm="1">
        <f t="array" ref="R115">IF(OR($D115="",$H115=""),"",(INDEX('Emission factors'!$K$3:$V$201,MATCH('Buildings &amp; stationary assets'!$D115&amp;$E115,'Emission factors'!$J$3:$J$201&amp;'Emission factors'!$K$3:$K$201,0),MATCH('Buildings &amp; stationary assets'!R$6,'Emission factors'!$K$2:$V$2,0)))*$J115)</f>
        <v/>
      </c>
      <c r="S115" s="288" t="str" cm="1">
        <f t="array" ref="S115">IF(OR($D115="",$H115=""),"",(INDEX('Emission factors'!$K$3:$V$201,MATCH('Buildings &amp; stationary assets'!$D115&amp;$E115,'Emission factors'!$J$3:$J$201&amp;'Emission factors'!$K$3:$K$201,0),MATCH('Buildings &amp; stationary assets'!S$6,'Emission factors'!$K$2:$V$2,0)))*$J115)</f>
        <v/>
      </c>
      <c r="T115" s="288" t="str" cm="1">
        <f t="array" ref="T115">IF(OR($D115="",$H115=""),"",(INDEX('Emission factors'!$K$3:$V$201,MATCH('Buildings &amp; stationary assets'!$D115&amp;$E115,'Emission factors'!$J$3:$J$201&amp;'Emission factors'!$K$3:$K$201,0),MATCH('Buildings &amp; stationary assets'!T$6,'Emission factors'!$K$2:$V$2,0)))*$J115)</f>
        <v/>
      </c>
      <c r="U115" s="289" t="str">
        <f>IF(OR($M115="",BuildingsTable[[#This Row],[RSD]]=""),"",BuildingsTable[[#This Row],[Total emissions (kgCO2e)]]*(1+BuildingsTable[[#This Row],[RSD]]))</f>
        <v/>
      </c>
      <c r="V115" s="290" t="str">
        <f>IF(OR($M115="",BuildingsTable[[#This Row],[RSD]]=""),"",BuildingsTable[[#This Row],[Total emissions (kgCO2e)]]*(1-BuildingsTable[[#This Row],[RSD]]))</f>
        <v/>
      </c>
      <c r="W115" s="320" t="str" cm="1">
        <f t="array" ref="W115">IF(OR($D115="",$H115=""),"",(INDEX('Emission factors'!$K$3:$V$201,MATCH('Buildings &amp; stationary assets'!$D115&amp;$E115,'Emission factors'!$J$3:$J$201&amp;'Emission factors'!$K$3:$K$201,0),MATCH('Buildings &amp; stationary assets'!W$6,'Emission factors'!$K$2:$V$2,0)))*$J115)</f>
        <v/>
      </c>
      <c r="X115" s="66"/>
      <c r="Y115" s="1" cm="1">
        <f t="array" ref="Y115">IF(OR(ISERROR(B115:W115)),1,0)</f>
        <v>0</v>
      </c>
      <c r="Z115" s="1">
        <f t="shared" si="1"/>
        <v>0</v>
      </c>
    </row>
    <row r="116" spans="1:27" s="1" customFormat="1" ht="15" outlineLevel="1" thickBot="1" x14ac:dyDescent="0.4">
      <c r="A116" s="41"/>
      <c r="B116" s="461"/>
      <c r="C116" s="155"/>
      <c r="D116" s="151"/>
      <c r="E116" s="151"/>
      <c r="F116" s="151"/>
      <c r="G116" s="187" t="str">
        <f>IF(F116="","",INDEX(Lists!$BA$4:$BC$31,MATCH(D116,Lists!$AZ$4:$AZ$31,0),MATCH(F116,Lists!$BA$3:$BC$3,0)))</f>
        <v/>
      </c>
      <c r="H116" s="148"/>
      <c r="I116" s="151"/>
      <c r="J116" s="154" t="str" cm="1">
        <f t="array" ref="J116">IF(OR($D116="",$C116="",$H116="",$I116=""),"",IF(I116=K116,H116,(INDEX('Emission factors'!$K$3:$V$201,MATCH(D116&amp;E116,'Emission factors'!$J$3:$J$201&amp;'Emission factors'!$K$3:$K$201,0),MATCH(J$6,'Emission factors'!$K$2:$V$2,0)))*H116))</f>
        <v/>
      </c>
      <c r="K116" s="192" t="str">
        <f>IF(OR($D116="",$C116="",$H116="",$I116=""),"",INDEX('Emission factors'!$K$3:$V$201,MATCH('Buildings &amp; stationary assets'!$D116,'Emission factors'!$J$3:$J$201,0),MATCH($K$6,'Emission factors'!$K$2:$V$2,0)))</f>
        <v/>
      </c>
      <c r="L116" s="193" t="str" cm="1">
        <f t="array" ref="L116">IF(OR(D116="",H116="",BuildingsTable[[#This Row],[Units]]=""),"",INDEX('Emission factors'!$K$3:$V$201,MATCH('Buildings &amp; stationary assets'!$D116&amp;E116,'Emission factors'!$J$3:$J$201&amp;'Emission factors'!$K$3:$K$201,0),MATCH('Buildings &amp; stationary assets'!$L$6,'Emission factors'!$K$2:$V$2,0)))</f>
        <v/>
      </c>
      <c r="M116" s="287" t="str">
        <f>IF(OR(J116="",L116=""),"",SUM(BuildingsTable[[#This Row],[Direct]:[Indirect WTT]]))</f>
        <v/>
      </c>
      <c r="N116" s="150"/>
      <c r="O116" s="151"/>
      <c r="P116" s="288" t="str" cm="1">
        <f t="array" ref="P116">IF(OR($D116="",$H116=""),"",(INDEX('Emission factors'!$K$3:$V$201,MATCH('Buildings &amp; stationary assets'!$D116&amp;$E116,'Emission factors'!$J$3:$J$201&amp;'Emission factors'!$K$3:$K$201,0),MATCH('Buildings &amp; stationary assets'!P$6,'Emission factors'!$K$2:$V$2,0)))*$J116)</f>
        <v/>
      </c>
      <c r="Q116" s="288" t="str" cm="1">
        <f t="array" ref="Q116">IF(OR($D116="",$H116=""),"",(INDEX('Emission factors'!$K$3:$V$201,MATCH('Buildings &amp; stationary assets'!$D116&amp;$E116,'Emission factors'!$J$3:$J$201&amp;'Emission factors'!$K$3:$K$201,0),MATCH('Buildings &amp; stationary assets'!Q$6,'Emission factors'!$K$2:$V$2,0)))*$J116)</f>
        <v/>
      </c>
      <c r="R116" s="288" t="str" cm="1">
        <f t="array" ref="R116">IF(OR($D116="",$H116=""),"",(INDEX('Emission factors'!$K$3:$V$201,MATCH('Buildings &amp; stationary assets'!$D116&amp;$E116,'Emission factors'!$J$3:$J$201&amp;'Emission factors'!$K$3:$K$201,0),MATCH('Buildings &amp; stationary assets'!R$6,'Emission factors'!$K$2:$V$2,0)))*$J116)</f>
        <v/>
      </c>
      <c r="S116" s="288" t="str" cm="1">
        <f t="array" ref="S116">IF(OR($D116="",$H116=""),"",(INDEX('Emission factors'!$K$3:$V$201,MATCH('Buildings &amp; stationary assets'!$D116&amp;$E116,'Emission factors'!$J$3:$J$201&amp;'Emission factors'!$K$3:$K$201,0),MATCH('Buildings &amp; stationary assets'!S$6,'Emission factors'!$K$2:$V$2,0)))*$J116)</f>
        <v/>
      </c>
      <c r="T116" s="288" t="str" cm="1">
        <f t="array" ref="T116">IF(OR($D116="",$H116=""),"",(INDEX('Emission factors'!$K$3:$V$201,MATCH('Buildings &amp; stationary assets'!$D116&amp;$E116,'Emission factors'!$J$3:$J$201&amp;'Emission factors'!$K$3:$K$201,0),MATCH('Buildings &amp; stationary assets'!T$6,'Emission factors'!$K$2:$V$2,0)))*$J116)</f>
        <v/>
      </c>
      <c r="U116" s="289" t="str">
        <f>IF(OR($M116="",BuildingsTable[[#This Row],[RSD]]=""),"",BuildingsTable[[#This Row],[Total emissions (kgCO2e)]]*(1+BuildingsTable[[#This Row],[RSD]]))</f>
        <v/>
      </c>
      <c r="V116" s="290" t="str">
        <f>IF(OR($M116="",BuildingsTable[[#This Row],[RSD]]=""),"",BuildingsTable[[#This Row],[Total emissions (kgCO2e)]]*(1-BuildingsTable[[#This Row],[RSD]]))</f>
        <v/>
      </c>
      <c r="W116" s="320" t="str" cm="1">
        <f t="array" ref="W116">IF(OR($D116="",$H116=""),"",(INDEX('Emission factors'!$K$3:$V$201,MATCH('Buildings &amp; stationary assets'!$D116&amp;$E116,'Emission factors'!$J$3:$J$201&amp;'Emission factors'!$K$3:$K$201,0),MATCH('Buildings &amp; stationary assets'!W$6,'Emission factors'!$K$2:$V$2,0)))*$J116)</f>
        <v/>
      </c>
      <c r="X116" s="66"/>
      <c r="Y116" s="1" cm="1">
        <f t="array" ref="Y116">IF(OR(ISERROR(B116:W116)),1,0)</f>
        <v>0</v>
      </c>
      <c r="Z116" s="1">
        <f t="shared" si="1"/>
        <v>0</v>
      </c>
    </row>
    <row r="117" spans="1:27" s="1" customFormat="1" ht="15" outlineLevel="1" thickBot="1" x14ac:dyDescent="0.4">
      <c r="A117" s="41"/>
      <c r="B117" s="462"/>
      <c r="C117" s="155"/>
      <c r="D117" s="151"/>
      <c r="E117" s="151"/>
      <c r="F117" s="151"/>
      <c r="G117" s="187" t="str">
        <f>IF(F117="","",INDEX(Lists!$BA$4:$BC$31,MATCH(D117,Lists!$AZ$4:$AZ$31,0),MATCH(F117,Lists!$BA$3:$BC$3,0)))</f>
        <v/>
      </c>
      <c r="H117" s="148"/>
      <c r="I117" s="151"/>
      <c r="J117" s="154" t="str" cm="1">
        <f t="array" ref="J117">IF(OR($D117="",$C117="",$H117="",$I117=""),"",IF(I117=K117,H117,(INDEX('Emission factors'!$K$3:$V$201,MATCH(D117&amp;E117,'Emission factors'!$J$3:$J$201&amp;'Emission factors'!$K$3:$K$201,0),MATCH(J$6,'Emission factors'!$K$2:$V$2,0)))*H117))</f>
        <v/>
      </c>
      <c r="K117" s="192" t="str">
        <f>IF(OR($D117="",$C117="",$H117="",$I117=""),"",INDEX('Emission factors'!$K$3:$V$201,MATCH('Buildings &amp; stationary assets'!$D117,'Emission factors'!$J$3:$J$201,0),MATCH($K$6,'Emission factors'!$K$2:$V$2,0)))</f>
        <v/>
      </c>
      <c r="L117" s="193" t="str" cm="1">
        <f t="array" ref="L117">IF(OR(D117="",H117="",BuildingsTable[[#This Row],[Units]]=""),"",INDEX('Emission factors'!$K$3:$V$201,MATCH('Buildings &amp; stationary assets'!$D117&amp;E117,'Emission factors'!$J$3:$J$201&amp;'Emission factors'!$K$3:$K$201,0),MATCH('Buildings &amp; stationary assets'!$L$6,'Emission factors'!$K$2:$V$2,0)))</f>
        <v/>
      </c>
      <c r="M117" s="287" t="str">
        <f>IF(OR(J117="",L117=""),"",SUM(BuildingsTable[[#This Row],[Direct]:[Indirect WTT]]))</f>
        <v/>
      </c>
      <c r="N117" s="152"/>
      <c r="O117" s="153"/>
      <c r="P117" s="288" t="str" cm="1">
        <f t="array" ref="P117">IF(OR($D117="",$H117=""),"",(INDEX('Emission factors'!$K$3:$V$201,MATCH('Buildings &amp; stationary assets'!$D117&amp;$E117,'Emission factors'!$J$3:$J$201&amp;'Emission factors'!$K$3:$K$201,0),MATCH('Buildings &amp; stationary assets'!P$6,'Emission factors'!$K$2:$V$2,0)))*$J117)</f>
        <v/>
      </c>
      <c r="Q117" s="288" t="str" cm="1">
        <f t="array" ref="Q117">IF(OR($D117="",$H117=""),"",(INDEX('Emission factors'!$K$3:$V$201,MATCH('Buildings &amp; stationary assets'!$D117&amp;$E117,'Emission factors'!$J$3:$J$201&amp;'Emission factors'!$K$3:$K$201,0),MATCH('Buildings &amp; stationary assets'!Q$6,'Emission factors'!$K$2:$V$2,0)))*$J117)</f>
        <v/>
      </c>
      <c r="R117" s="288" t="str" cm="1">
        <f t="array" ref="R117">IF(OR($D117="",$H117=""),"",(INDEX('Emission factors'!$K$3:$V$201,MATCH('Buildings &amp; stationary assets'!$D117&amp;$E117,'Emission factors'!$J$3:$J$201&amp;'Emission factors'!$K$3:$K$201,0),MATCH('Buildings &amp; stationary assets'!R$6,'Emission factors'!$K$2:$V$2,0)))*$J117)</f>
        <v/>
      </c>
      <c r="S117" s="288" t="str" cm="1">
        <f t="array" ref="S117">IF(OR($D117="",$H117=""),"",(INDEX('Emission factors'!$K$3:$V$201,MATCH('Buildings &amp; stationary assets'!$D117&amp;$E117,'Emission factors'!$J$3:$J$201&amp;'Emission factors'!$K$3:$K$201,0),MATCH('Buildings &amp; stationary assets'!S$6,'Emission factors'!$K$2:$V$2,0)))*$J117)</f>
        <v/>
      </c>
      <c r="T117" s="288" t="str" cm="1">
        <f t="array" ref="T117">IF(OR($D117="",$H117=""),"",(INDEX('Emission factors'!$K$3:$V$201,MATCH('Buildings &amp; stationary assets'!$D117&amp;$E117,'Emission factors'!$J$3:$J$201&amp;'Emission factors'!$K$3:$K$201,0),MATCH('Buildings &amp; stationary assets'!T$6,'Emission factors'!$K$2:$V$2,0)))*$J117)</f>
        <v/>
      </c>
      <c r="U117" s="289" t="str">
        <f>IF(OR($M117="",BuildingsTable[[#This Row],[RSD]]=""),"",BuildingsTable[[#This Row],[Total emissions (kgCO2e)]]*(1+BuildingsTable[[#This Row],[RSD]]))</f>
        <v/>
      </c>
      <c r="V117" s="290" t="str">
        <f>IF(OR($M117="",BuildingsTable[[#This Row],[RSD]]=""),"",BuildingsTable[[#This Row],[Total emissions (kgCO2e)]]*(1-BuildingsTable[[#This Row],[RSD]]))</f>
        <v/>
      </c>
      <c r="W117" s="321" t="str" cm="1">
        <f t="array" ref="W117">IF(OR($D117="",$H117=""),"",(INDEX('Emission factors'!$K$3:$V$201,MATCH('Buildings &amp; stationary assets'!$D117&amp;$E117,'Emission factors'!$J$3:$J$201&amp;'Emission factors'!$K$3:$K$201,0),MATCH('Buildings &amp; stationary assets'!W$6,'Emission factors'!$K$2:$V$2,0)))*$J117)</f>
        <v/>
      </c>
      <c r="X117" s="66"/>
      <c r="Y117" s="1" cm="1">
        <f t="array" ref="Y117">IF(OR(ISERROR(B117:W117)),1,0)</f>
        <v>0</v>
      </c>
      <c r="Z117" s="1">
        <f t="shared" si="1"/>
        <v>0</v>
      </c>
    </row>
    <row r="118" spans="1:27" s="1" customFormat="1" x14ac:dyDescent="0.35">
      <c r="A118" s="463" t="s">
        <v>1212</v>
      </c>
      <c r="B118" s="58"/>
      <c r="C118" s="58"/>
      <c r="D118" s="58"/>
      <c r="E118" s="33"/>
      <c r="F118" s="33"/>
      <c r="G118" s="33"/>
      <c r="H118" s="33"/>
      <c r="I118" s="33"/>
      <c r="J118" s="33"/>
      <c r="K118" s="33"/>
      <c r="L118" s="33"/>
      <c r="M118" s="33"/>
      <c r="N118" s="33"/>
      <c r="O118" s="33"/>
      <c r="P118" s="33"/>
      <c r="Q118" s="33"/>
      <c r="R118" s="33"/>
      <c r="S118" s="33"/>
      <c r="T118" s="33"/>
      <c r="U118" s="33"/>
      <c r="V118" s="33"/>
    </row>
    <row r="119" spans="1:27" s="1" customFormat="1" ht="19" thickBot="1" x14ac:dyDescent="0.5">
      <c r="A119" s="41"/>
      <c r="B119" s="194" t="s">
        <v>143</v>
      </c>
      <c r="C119" s="11"/>
      <c r="D119" s="11"/>
      <c r="E119" s="11"/>
      <c r="F119" s="11"/>
      <c r="G119" s="11"/>
      <c r="H119" s="11"/>
      <c r="I119" s="441" t="str">
        <f>IF($Z$120=0,"No data entered",IF($Y$120=0,"No errors in this table","There are errors in this table see highlighted row(s)"))</f>
        <v>No data entered</v>
      </c>
      <c r="J119" s="11"/>
      <c r="K119" s="11"/>
      <c r="L119" s="11"/>
      <c r="M119" s="11"/>
      <c r="O119" s="51" t="s">
        <v>830</v>
      </c>
      <c r="T119" s="56"/>
      <c r="V119" s="11"/>
      <c r="W119" s="76"/>
      <c r="X119" s="76"/>
      <c r="Y119" s="76"/>
      <c r="Z119" s="76"/>
    </row>
    <row r="120" spans="1:27" s="1" customFormat="1" ht="34" customHeight="1" outlineLevel="1" thickBot="1" x14ac:dyDescent="0.4">
      <c r="A120" s="41"/>
      <c r="B120" s="191" t="s">
        <v>1099</v>
      </c>
      <c r="C120" s="190" t="s">
        <v>144</v>
      </c>
      <c r="D120" s="191" t="s">
        <v>113</v>
      </c>
      <c r="E120" s="191" t="s">
        <v>114</v>
      </c>
      <c r="F120" s="191" t="s">
        <v>115</v>
      </c>
      <c r="G120" s="191" t="s">
        <v>116</v>
      </c>
      <c r="H120" s="191" t="s">
        <v>117</v>
      </c>
      <c r="I120" s="191" t="s">
        <v>118</v>
      </c>
      <c r="J120" s="191" t="s">
        <v>119</v>
      </c>
      <c r="K120" s="191" t="s">
        <v>120</v>
      </c>
      <c r="L120" s="191" t="s">
        <v>828</v>
      </c>
      <c r="M120" s="191" t="s">
        <v>829</v>
      </c>
      <c r="N120" s="191" t="s">
        <v>122</v>
      </c>
      <c r="O120" s="191" t="s">
        <v>123</v>
      </c>
      <c r="P120" s="12" t="s">
        <v>59</v>
      </c>
      <c r="Q120" s="12" t="s">
        <v>124</v>
      </c>
      <c r="R120" s="12" t="s">
        <v>125</v>
      </c>
      <c r="S120" s="12" t="s">
        <v>126</v>
      </c>
      <c r="T120" s="12" t="s">
        <v>127</v>
      </c>
      <c r="U120" s="303" t="s">
        <v>67</v>
      </c>
      <c r="V120" s="48" t="s">
        <v>68</v>
      </c>
      <c r="W120" s="317" t="s">
        <v>63</v>
      </c>
      <c r="X120" s="315"/>
      <c r="Y120" s="15">
        <f>SUM(Y121:Y231)</f>
        <v>0</v>
      </c>
      <c r="Z120" s="15">
        <f>SUM(Z121:Z126)</f>
        <v>0</v>
      </c>
      <c r="AA120" s="76"/>
    </row>
    <row r="121" spans="1:27" s="1" customFormat="1" ht="15" outlineLevel="1" thickBot="1" x14ac:dyDescent="0.4">
      <c r="A121" s="41"/>
      <c r="B121" s="6"/>
      <c r="C121" s="155"/>
      <c r="D121" s="151"/>
      <c r="E121" s="151"/>
      <c r="F121" s="151"/>
      <c r="G121" s="157" t="str">
        <f>IF(F121="","",INDEX(Lists!$BA$4:$BC$31,MATCH(D121,Lists!$AZ$4:$AZ$31,0),MATCH(F121,Lists!$BA$3:$BC$3,0)))</f>
        <v/>
      </c>
      <c r="H121" s="148"/>
      <c r="I121" s="151"/>
      <c r="J121" s="154" t="str" cm="1">
        <f t="array" ref="J121">IF(OR($D121="",$C121="",$H121="",$I121=""),"",IF(I121=K121,H121,(INDEX('Emission factors'!$K$3:$V$201,MATCH(D121&amp;E121,'Emission factors'!$J$3:$J$201&amp;'Emission factors'!$K$3:$K$201,0),MATCH(J$120,'Emission factors'!$K$2:$V$2,0)))*H121))</f>
        <v/>
      </c>
      <c r="K121" s="192" t="str">
        <f>IF(OR($D121="",$C121="",$H121="",$I121=""),"",INDEX('Emission factors'!$K$3:$V$201,MATCH('Buildings &amp; stationary assets'!$D121,'Emission factors'!$J$3:$J$201,0),MATCH($K$120,'Emission factors'!$K$2:$V$2,0)))</f>
        <v/>
      </c>
      <c r="L121" s="193" t="str" cm="1">
        <f t="array" ref="L121">IF(OR(D121="",H121="",StreetlightingTable[[#This Row],[Units]]=""),"",INDEX('Emission factors'!$K$3:$V$201,MATCH('Buildings &amp; stationary assets'!$D121&amp;E121,'Emission factors'!$J$3:$J$201&amp;'Emission factors'!$K$3:$K$201,0),MATCH('Buildings &amp; stationary assets'!$L$120,'Emission factors'!$K$2:$V$2,0)))</f>
        <v/>
      </c>
      <c r="M121" s="287" t="str">
        <f>IF(OR(J121="",L121=""),"",SUM(StreetlightingTable[[#This Row],[Direct]:[Indirect WTT]]))</f>
        <v/>
      </c>
      <c r="N121" s="150"/>
      <c r="O121" s="151"/>
      <c r="P121" s="288" t="str" cm="1">
        <f t="array" ref="P121">IF(OR($D121="",$H121=""),"",(INDEX('Emission factors'!$K$3:$V$201,MATCH('Buildings &amp; stationary assets'!$D121&amp;$E121,'Emission factors'!$J$3:$J$201&amp;'Emission factors'!$K$3:$K$201,0),MATCH('Buildings &amp; stationary assets'!P$6,'Emission factors'!$K$2:$V$2,0)))*$J121)</f>
        <v/>
      </c>
      <c r="Q121" s="288" t="str" cm="1">
        <f t="array" ref="Q121">IF(OR($D121="",$H121=""),"",(INDEX('Emission factors'!$K$3:$V$201,MATCH('Buildings &amp; stationary assets'!$D121&amp;$E121,'Emission factors'!$J$3:$J$201&amp;'Emission factors'!$K$3:$K$201,0),MATCH('Buildings &amp; stationary assets'!Q$6,'Emission factors'!$K$2:$V$2,0)))*$J121)</f>
        <v/>
      </c>
      <c r="R121" s="288" t="str" cm="1">
        <f t="array" ref="R121">IF(OR($D121="",$H121=""),"",(INDEX('Emission factors'!$K$3:$V$201,MATCH('Buildings &amp; stationary assets'!$D121&amp;$E121,'Emission factors'!$J$3:$J$201&amp;'Emission factors'!$K$3:$K$201,0),MATCH('Buildings &amp; stationary assets'!R$6,'Emission factors'!$K$2:$V$2,0)))*$J121)</f>
        <v/>
      </c>
      <c r="S121" s="288" t="str" cm="1">
        <f t="array" ref="S121">IF(OR($D121="",$H121=""),"",(INDEX('Emission factors'!$K$3:$V$201,MATCH('Buildings &amp; stationary assets'!$D121&amp;$E121,'Emission factors'!$J$3:$J$201&amp;'Emission factors'!$K$3:$K$201,0),MATCH('Buildings &amp; stationary assets'!S$6,'Emission factors'!$K$2:$V$2,0)))*$J121)</f>
        <v/>
      </c>
      <c r="T121" s="288" t="str" cm="1">
        <f t="array" ref="T121">IF(OR($D121="",$H121=""),"",(INDEX('Emission factors'!$K$3:$V$201,MATCH('Buildings &amp; stationary assets'!$D121&amp;$E121,'Emission factors'!$J$3:$J$201&amp;'Emission factors'!$K$3:$K$201,0),MATCH('Buildings &amp; stationary assets'!T$6,'Emission factors'!$K$2:$V$2,0)))*$J121)</f>
        <v/>
      </c>
      <c r="U121" s="314" t="str">
        <f>IF(OR($M121="",StreetlightingTable[[#This Row],[RSD]]=""),"",StreetlightingTable[[#This Row],[Total emissions (kgCO2e)]]*(1+StreetlightingTable[[#This Row],[RSD]]))</f>
        <v/>
      </c>
      <c r="V121" s="290" t="str">
        <f>IF(OR($M121="",StreetlightingTable[[#This Row],[RSD]]=""),"",StreetlightingTable[[#This Row],[Total emissions (kgCO2e)]]*(1-StreetlightingTable[[#This Row],[RSD]]))</f>
        <v/>
      </c>
      <c r="W121" s="318" t="str" cm="1">
        <f t="array" ref="W121">IF(OR($D121="",$H121=""),"",(INDEX('Emission factors'!$K$3:$V$201,MATCH('Buildings &amp; stationary assets'!$D121&amp;$E121,'Emission factors'!$J$3:$J$201&amp;'Emission factors'!$K$3:$K$201,0),MATCH('Buildings &amp; stationary assets'!W$120,'Emission factors'!$K$2:$V$2,0)))*$J121)</f>
        <v/>
      </c>
      <c r="X121" s="315"/>
      <c r="Y121" s="1" cm="1">
        <f t="array" ref="Y121">IF(OR(ISERROR(B121:W121)),1,0)</f>
        <v>0</v>
      </c>
      <c r="Z121" s="1">
        <f>IF(AND(D121="",H121="",I121=""),0,1)</f>
        <v>0</v>
      </c>
      <c r="AA121" s="76"/>
    </row>
    <row r="122" spans="1:27" s="1" customFormat="1" ht="15" outlineLevel="1" thickBot="1" x14ac:dyDescent="0.4">
      <c r="A122" s="41"/>
      <c r="B122" s="6"/>
      <c r="C122" s="155"/>
      <c r="D122" s="151"/>
      <c r="E122" s="151"/>
      <c r="F122" s="151"/>
      <c r="G122" s="157" t="str">
        <f>IF(F122="","",INDEX(Lists!$BA$4:$BC$31,MATCH(D122,Lists!$AZ$4:$AZ$31,0),MATCH(F122,Lists!$BA$3:$BC$3,0)))</f>
        <v/>
      </c>
      <c r="H122" s="148"/>
      <c r="I122" s="151"/>
      <c r="J122" s="154" t="str" cm="1">
        <f t="array" ref="J122">IF(OR($D122="",$C122="",$H122="",$I122=""),"",IF(I122=K122,H122,(INDEX('Emission factors'!$K$3:$V$201,MATCH(D122&amp;E122,'Emission factors'!$J$3:$J$201&amp;'Emission factors'!$K$3:$K$201,0),MATCH(J$120,'Emission factors'!$K$2:$V$2,0)))*H122))</f>
        <v/>
      </c>
      <c r="K122" s="192" t="str">
        <f>IF(OR($D122="",$C122="",$H122="",$I122=""),"",INDEX('Emission factors'!$K$3:$V$201,MATCH('Buildings &amp; stationary assets'!$D122,'Emission factors'!$J$3:$J$201,0),MATCH($K$120,'Emission factors'!$K$2:$V$2,0)))</f>
        <v/>
      </c>
      <c r="L122" s="193" t="str" cm="1">
        <f t="array" ref="L122">IF(OR(D122="",H122="",StreetlightingTable[[#This Row],[Units]]=""),"",INDEX('Emission factors'!$K$3:$V$201,MATCH('Buildings &amp; stationary assets'!$D122&amp;E122,'Emission factors'!$J$3:$J$201&amp;'Emission factors'!$K$3:$K$201,0),MATCH('Buildings &amp; stationary assets'!$L$120,'Emission factors'!$K$2:$V$2,0)))</f>
        <v/>
      </c>
      <c r="M122" s="287" t="str">
        <f>IF(OR(J122="",L122=""),"",SUM(StreetlightingTable[[#This Row],[Direct]:[Indirect WTT]]))</f>
        <v/>
      </c>
      <c r="N122" s="150"/>
      <c r="O122" s="151"/>
      <c r="P122" s="288" t="str" cm="1">
        <f t="array" ref="P122">IF(OR($D122="",$H122=""),"",(INDEX('Emission factors'!$K$3:$V$201,MATCH('Buildings &amp; stationary assets'!$D122&amp;$E122,'Emission factors'!$J$3:$J$201&amp;'Emission factors'!$K$3:$K$201,0),MATCH('Buildings &amp; stationary assets'!P$6,'Emission factors'!$K$2:$V$2,0)))*$J122)</f>
        <v/>
      </c>
      <c r="Q122" s="288" t="str" cm="1">
        <f t="array" ref="Q122">IF(OR($D122="",$H122=""),"",(INDEX('Emission factors'!$K$3:$V$201,MATCH('Buildings &amp; stationary assets'!$D122&amp;$E122,'Emission factors'!$J$3:$J$201&amp;'Emission factors'!$K$3:$K$201,0),MATCH('Buildings &amp; stationary assets'!Q$6,'Emission factors'!$K$2:$V$2,0)))*$J122)</f>
        <v/>
      </c>
      <c r="R122" s="288" t="str" cm="1">
        <f t="array" ref="R122">IF(OR($D122="",$H122=""),"",(INDEX('Emission factors'!$K$3:$V$201,MATCH('Buildings &amp; stationary assets'!$D122&amp;$E122,'Emission factors'!$J$3:$J$201&amp;'Emission factors'!$K$3:$K$201,0),MATCH('Buildings &amp; stationary assets'!R$6,'Emission factors'!$K$2:$V$2,0)))*$J122)</f>
        <v/>
      </c>
      <c r="S122" s="288" t="str" cm="1">
        <f t="array" ref="S122">IF(OR($D122="",$H122=""),"",(INDEX('Emission factors'!$K$3:$V$201,MATCH('Buildings &amp; stationary assets'!$D122&amp;$E122,'Emission factors'!$J$3:$J$201&amp;'Emission factors'!$K$3:$K$201,0),MATCH('Buildings &amp; stationary assets'!S$6,'Emission factors'!$K$2:$V$2,0)))*$J122)</f>
        <v/>
      </c>
      <c r="T122" s="288" t="str" cm="1">
        <f t="array" ref="T122">IF(OR($D122="",$H122=""),"",(INDEX('Emission factors'!$K$3:$V$201,MATCH('Buildings &amp; stationary assets'!$D122&amp;$E122,'Emission factors'!$J$3:$J$201&amp;'Emission factors'!$K$3:$K$201,0),MATCH('Buildings &amp; stationary assets'!T$6,'Emission factors'!$K$2:$V$2,0)))*$J122)</f>
        <v/>
      </c>
      <c r="U122" s="313" t="str">
        <f>IF(OR($M122="",StreetlightingTable[[#This Row],[RSD]]=""),"",StreetlightingTable[[#This Row],[Total emissions (kgCO2e)]]*(1+StreetlightingTable[[#This Row],[RSD]]))</f>
        <v/>
      </c>
      <c r="V122" s="290" t="str">
        <f>IF(OR($M122="",StreetlightingTable[[#This Row],[RSD]]=""),"",StreetlightingTable[[#This Row],[Total emissions (kgCO2e)]]*(1-StreetlightingTable[[#This Row],[RSD]]))</f>
        <v/>
      </c>
      <c r="W122" s="316" t="str" cm="1">
        <f t="array" ref="W122">IF(OR($D122="",$H122=""),"",(INDEX('Emission factors'!$K$3:$V$201,MATCH('Buildings &amp; stationary assets'!$D122&amp;$E122,'Emission factors'!$J$3:$J$201&amp;'Emission factors'!$K$3:$K$201,0),MATCH('Buildings &amp; stationary assets'!W$120,'Emission factors'!$K$2:$V$2,0)))*$J122)</f>
        <v/>
      </c>
      <c r="X122" s="315"/>
      <c r="Y122" s="1" cm="1">
        <f t="array" ref="Y122">IF(OR(ISERROR(B122:W122)),1,0)</f>
        <v>0</v>
      </c>
      <c r="Z122" s="1">
        <f t="shared" ref="Z122:Z126" si="2">IF(AND(D122="",H122="",I122=""),0,1)</f>
        <v>0</v>
      </c>
      <c r="AA122" s="76"/>
    </row>
    <row r="123" spans="1:27" s="1" customFormat="1" ht="15" outlineLevel="1" thickBot="1" x14ac:dyDescent="0.4">
      <c r="A123" s="41"/>
      <c r="B123" s="6"/>
      <c r="C123" s="155"/>
      <c r="D123" s="151"/>
      <c r="E123" s="151"/>
      <c r="F123" s="151"/>
      <c r="G123" s="157" t="str">
        <f>IF(F123="","",INDEX(Lists!$BA$4:$BC$31,MATCH(D123,Lists!$AZ$4:$AZ$31,0),MATCH(F123,Lists!$BA$3:$BC$3,0)))</f>
        <v/>
      </c>
      <c r="H123" s="148"/>
      <c r="I123" s="151"/>
      <c r="J123" s="154" t="str" cm="1">
        <f t="array" ref="J123">IF(OR($D123="",$C123="",$H123="",$I123=""),"",IF(I123=K123,H123,(INDEX('Emission factors'!$K$3:$V$201,MATCH(D123&amp;E123,'Emission factors'!$J$3:$J$201&amp;'Emission factors'!$K$3:$K$201,0),MATCH(J$120,'Emission factors'!$K$2:$V$2,0)))*H123))</f>
        <v/>
      </c>
      <c r="K123" s="192" t="str">
        <f>IF(OR($D123="",$C123="",$H123="",$I123=""),"",INDEX('Emission factors'!$K$3:$V$201,MATCH('Buildings &amp; stationary assets'!$D123,'Emission factors'!$J$3:$J$201,0),MATCH($K$120,'Emission factors'!$K$2:$V$2,0)))</f>
        <v/>
      </c>
      <c r="L123" s="193" t="str" cm="1">
        <f t="array" ref="L123">IF(OR(D123="",H123="",StreetlightingTable[[#This Row],[Units]]=""),"",INDEX('Emission factors'!$K$3:$V$201,MATCH('Buildings &amp; stationary assets'!$D123&amp;E123,'Emission factors'!$J$3:$J$201&amp;'Emission factors'!$K$3:$K$201,0),MATCH('Buildings &amp; stationary assets'!$L$120,'Emission factors'!$K$2:$V$2,0)))</f>
        <v/>
      </c>
      <c r="M123" s="287" t="str">
        <f>IF(OR(J123="",L123=""),"",SUM(StreetlightingTable[[#This Row],[Direct]:[Indirect WTT]]))</f>
        <v/>
      </c>
      <c r="N123" s="150"/>
      <c r="O123" s="151"/>
      <c r="P123" s="288" t="str" cm="1">
        <f t="array" ref="P123">IF(OR($D123="",$H123=""),"",(INDEX('Emission factors'!$K$3:$V$201,MATCH('Buildings &amp; stationary assets'!$D123&amp;$E123,'Emission factors'!$J$3:$J$201&amp;'Emission factors'!$K$3:$K$201,0),MATCH('Buildings &amp; stationary assets'!P$6,'Emission factors'!$K$2:$V$2,0)))*$J123)</f>
        <v/>
      </c>
      <c r="Q123" s="291" t="str" cm="1">
        <f t="array" ref="Q123">IF(OR($D123="",$H123=""),"",(INDEX('Emission factors'!$K$3:$V$201,MATCH('Buildings &amp; stationary assets'!$D123&amp;$E123,'Emission factors'!$J$3:$J$201&amp;'Emission factors'!$K$3:$K$201,0),MATCH('Buildings &amp; stationary assets'!Q$6,'Emission factors'!$K$2:$V$2,0)))*$J123)</f>
        <v/>
      </c>
      <c r="R123" s="288" t="str" cm="1">
        <f t="array" ref="R123">IF(OR($D123="",$H123=""),"",(INDEX('Emission factors'!$K$3:$V$201,MATCH('Buildings &amp; stationary assets'!$D123&amp;$E123,'Emission factors'!$J$3:$J$201&amp;'Emission factors'!$K$3:$K$201,0),MATCH('Buildings &amp; stationary assets'!R$6,'Emission factors'!$K$2:$V$2,0)))*$J123)</f>
        <v/>
      </c>
      <c r="S123" s="288" t="str" cm="1">
        <f t="array" ref="S123">IF(OR($D123="",$H123=""),"",(INDEX('Emission factors'!$K$3:$V$201,MATCH('Buildings &amp; stationary assets'!$D123&amp;$E123,'Emission factors'!$J$3:$J$201&amp;'Emission factors'!$K$3:$K$201,0),MATCH('Buildings &amp; stationary assets'!S$6,'Emission factors'!$K$2:$V$2,0)))*$J123)</f>
        <v/>
      </c>
      <c r="T123" s="288" t="str" cm="1">
        <f t="array" ref="T123">IF(OR($D123="",$H123=""),"",(INDEX('Emission factors'!$K$3:$V$201,MATCH('Buildings &amp; stationary assets'!$D123&amp;$E123,'Emission factors'!$J$3:$J$201&amp;'Emission factors'!$K$3:$K$201,0),MATCH('Buildings &amp; stationary assets'!T$6,'Emission factors'!$K$2:$V$2,0)))*$J123)</f>
        <v/>
      </c>
      <c r="U123" s="289" t="str">
        <f>IF(OR($M123="",StreetlightingTable[[#This Row],[RSD]]=""),"",StreetlightingTable[[#This Row],[Total emissions (kgCO2e)]]*(1+StreetlightingTable[[#This Row],[RSD]]))</f>
        <v/>
      </c>
      <c r="V123" s="290" t="str">
        <f>IF(OR($M123="",StreetlightingTable[[#This Row],[RSD]]=""),"",StreetlightingTable[[#This Row],[Total emissions (kgCO2e)]]*(1-StreetlightingTable[[#This Row],[RSD]]))</f>
        <v/>
      </c>
      <c r="W123" s="319" t="str" cm="1">
        <f t="array" ref="W123">IF(OR($D123="",$H123=""),"",(INDEX('Emission factors'!$K$3:$V$201,MATCH('Buildings &amp; stationary assets'!$D123&amp;$E123,'Emission factors'!$J$3:$J$201&amp;'Emission factors'!$K$3:$K$201,0),MATCH('Buildings &amp; stationary assets'!W$120,'Emission factors'!$K$2:$V$2,0)))*$J123)</f>
        <v/>
      </c>
      <c r="X123" s="315"/>
      <c r="Y123" s="1" cm="1">
        <f t="array" ref="Y123">IF(OR(ISERROR(B123:W123)),1,0)</f>
        <v>0</v>
      </c>
      <c r="Z123" s="1">
        <f t="shared" si="2"/>
        <v>0</v>
      </c>
      <c r="AA123" s="76"/>
    </row>
    <row r="124" spans="1:27" s="1" customFormat="1" ht="15" outlineLevel="1" thickBot="1" x14ac:dyDescent="0.4">
      <c r="A124" s="41"/>
      <c r="B124" s="6"/>
      <c r="C124" s="155"/>
      <c r="D124" s="151"/>
      <c r="E124" s="151"/>
      <c r="F124" s="151"/>
      <c r="G124" s="157" t="str">
        <f>IF(F124="","",INDEX(Lists!$BA$4:$BC$31,MATCH(D124,Lists!$AZ$4:$AZ$31,0),MATCH(F124,Lists!$BA$3:$BC$3,0)))</f>
        <v/>
      </c>
      <c r="H124" s="148"/>
      <c r="I124" s="151"/>
      <c r="J124" s="154" t="str" cm="1">
        <f t="array" ref="J124">IF(OR($D124="",$C124="",$H124="",$I124=""),"",IF(I124=K124,H124,(INDEX('Emission factors'!$K$3:$V$201,MATCH(D124&amp;E124,'Emission factors'!$J$3:$J$201&amp;'Emission factors'!$K$3:$K$201,0),MATCH(J$120,'Emission factors'!$K$2:$V$2,0)))*H124))</f>
        <v/>
      </c>
      <c r="K124" s="192" t="str">
        <f>IF(OR($D124="",$C124="",$H124="",$I124=""),"",INDEX('Emission factors'!$K$3:$V$201,MATCH('Buildings &amp; stationary assets'!$D124,'Emission factors'!$J$3:$J$201,0),MATCH($K$120,'Emission factors'!$K$2:$V$2,0)))</f>
        <v/>
      </c>
      <c r="L124" s="193" t="str" cm="1">
        <f t="array" ref="L124">IF(OR(D124="",H124="",StreetlightingTable[[#This Row],[Units]]=""),"",INDEX('Emission factors'!$K$3:$V$201,MATCH('Buildings &amp; stationary assets'!$D124&amp;E124,'Emission factors'!$J$3:$J$201&amp;'Emission factors'!$K$3:$K$201,0),MATCH('Buildings &amp; stationary assets'!$L$120,'Emission factors'!$K$2:$V$2,0)))</f>
        <v/>
      </c>
      <c r="M124" s="287" t="str">
        <f>IF(OR(J124="",L124=""),"",SUM(StreetlightingTable[[#This Row],[Direct]:[Indirect WTT]]))</f>
        <v/>
      </c>
      <c r="N124" s="150"/>
      <c r="O124" s="151"/>
      <c r="P124" s="288" t="str" cm="1">
        <f t="array" ref="P124">IF(OR($D124="",$H124=""),"",(INDEX('Emission factors'!$K$3:$V$201,MATCH('Buildings &amp; stationary assets'!$D124&amp;$E124,'Emission factors'!$J$3:$J$201&amp;'Emission factors'!$K$3:$K$201,0),MATCH('Buildings &amp; stationary assets'!P$6,'Emission factors'!$K$2:$V$2,0)))*$J124)</f>
        <v/>
      </c>
      <c r="Q124" s="288" t="str" cm="1">
        <f t="array" ref="Q124">IF(OR($D124="",$H124=""),"",(INDEX('Emission factors'!$K$3:$V$201,MATCH('Buildings &amp; stationary assets'!$D124&amp;$E124,'Emission factors'!$J$3:$J$201&amp;'Emission factors'!$K$3:$K$201,0),MATCH('Buildings &amp; stationary assets'!Q$6,'Emission factors'!$K$2:$V$2,0)))*$J124)</f>
        <v/>
      </c>
      <c r="R124" s="288" t="str" cm="1">
        <f t="array" ref="R124">IF(OR($D124="",$H124=""),"",(INDEX('Emission factors'!$K$3:$V$201,MATCH('Buildings &amp; stationary assets'!$D124&amp;$E124,'Emission factors'!$J$3:$J$201&amp;'Emission factors'!$K$3:$K$201,0),MATCH('Buildings &amp; stationary assets'!R$6,'Emission factors'!$K$2:$V$2,0)))*$J124)</f>
        <v/>
      </c>
      <c r="S124" s="288" t="str" cm="1">
        <f t="array" ref="S124">IF(OR($D124="",$H124=""),"",(INDEX('Emission factors'!$K$3:$V$201,MATCH('Buildings &amp; stationary assets'!$D124&amp;$E124,'Emission factors'!$J$3:$J$201&amp;'Emission factors'!$K$3:$K$201,0),MATCH('Buildings &amp; stationary assets'!S$6,'Emission factors'!$K$2:$V$2,0)))*$J124)</f>
        <v/>
      </c>
      <c r="T124" s="288" t="str" cm="1">
        <f t="array" ref="T124">IF(OR($D124="",$H124=""),"",(INDEX('Emission factors'!$K$3:$V$201,MATCH('Buildings &amp; stationary assets'!$D124&amp;$E124,'Emission factors'!$J$3:$J$201&amp;'Emission factors'!$K$3:$K$201,0),MATCH('Buildings &amp; stationary assets'!T$6,'Emission factors'!$K$2:$V$2,0)))*$J124)</f>
        <v/>
      </c>
      <c r="U124" s="289" t="str">
        <f>IF(OR($M124="",StreetlightingTable[[#This Row],[RSD]]=""),"",StreetlightingTable[[#This Row],[Total emissions (kgCO2e)]]*(1+StreetlightingTable[[#This Row],[RSD]]))</f>
        <v/>
      </c>
      <c r="V124" s="290" t="str">
        <f>IF(OR($M124="",StreetlightingTable[[#This Row],[RSD]]=""),"",StreetlightingTable[[#This Row],[Total emissions (kgCO2e)]]*(1-StreetlightingTable[[#This Row],[RSD]]))</f>
        <v/>
      </c>
      <c r="W124" s="320" t="str" cm="1">
        <f t="array" ref="W124">IF(OR($D124="",$H124=""),"",(INDEX('Emission factors'!$K$3:$V$201,MATCH('Buildings &amp; stationary assets'!$D124&amp;$E124,'Emission factors'!$J$3:$J$201&amp;'Emission factors'!$K$3:$K$201,0),MATCH('Buildings &amp; stationary assets'!W$120,'Emission factors'!$K$2:$V$2,0)))*$J124)</f>
        <v/>
      </c>
      <c r="X124" s="315"/>
      <c r="Y124" s="1" cm="1">
        <f t="array" ref="Y124">IF(OR(ISERROR(B124:W124)),1,0)</f>
        <v>0</v>
      </c>
      <c r="Z124" s="1">
        <f t="shared" si="2"/>
        <v>0</v>
      </c>
    </row>
    <row r="125" spans="1:27" s="1" customFormat="1" ht="15" outlineLevel="1" thickBot="1" x14ac:dyDescent="0.4">
      <c r="A125" s="41"/>
      <c r="B125" s="6"/>
      <c r="C125" s="155"/>
      <c r="D125" s="151"/>
      <c r="E125" s="151"/>
      <c r="F125" s="151"/>
      <c r="G125" s="157" t="str">
        <f>IF(F125="","",INDEX(Lists!$BA$4:$BC$31,MATCH(D125,Lists!$AZ$4:$AZ$31,0),MATCH(F125,Lists!$BA$3:$BC$3,0)))</f>
        <v/>
      </c>
      <c r="H125" s="148"/>
      <c r="I125" s="151"/>
      <c r="J125" s="154" t="str" cm="1">
        <f t="array" ref="J125">IF(OR($D125="",$C125="",$H125="",$I125=""),"",IF(I125=K125,H125,(INDEX('Emission factors'!$K$3:$V$201,MATCH(D125&amp;E125,'Emission factors'!$J$3:$J$201&amp;'Emission factors'!$K$3:$K$201,0),MATCH(J$120,'Emission factors'!$K$2:$V$2,0)))*H125))</f>
        <v/>
      </c>
      <c r="K125" s="192" t="str">
        <f>IF(OR($D125="",$C125="",$H125="",$I125=""),"",INDEX('Emission factors'!$K$3:$V$201,MATCH('Buildings &amp; stationary assets'!$D125,'Emission factors'!$J$3:$J$201,0),MATCH($K$120,'Emission factors'!$K$2:$V$2,0)))</f>
        <v/>
      </c>
      <c r="L125" s="193" t="str" cm="1">
        <f t="array" ref="L125">IF(OR(D125="",H125="",StreetlightingTable[[#This Row],[Units]]=""),"",INDEX('Emission factors'!$K$3:$V$201,MATCH('Buildings &amp; stationary assets'!$D125&amp;E125,'Emission factors'!$J$3:$J$201&amp;'Emission factors'!$K$3:$K$201,0),MATCH('Buildings &amp; stationary assets'!$L$120,'Emission factors'!$K$2:$V$2,0)))</f>
        <v/>
      </c>
      <c r="M125" s="287" t="str">
        <f>IF(OR(J125="",L125=""),"",SUM(StreetlightingTable[[#This Row],[Direct]:[Indirect WTT]]))</f>
        <v/>
      </c>
      <c r="N125" s="150"/>
      <c r="O125" s="151"/>
      <c r="P125" s="288" t="str" cm="1">
        <f t="array" ref="P125">IF(OR($D125="",$H125=""),"",(INDEX('Emission factors'!$K$3:$V$201,MATCH('Buildings &amp; stationary assets'!$D125&amp;$E125,'Emission factors'!$J$3:$J$201&amp;'Emission factors'!$K$3:$K$201,0),MATCH('Buildings &amp; stationary assets'!P$6,'Emission factors'!$K$2:$V$2,0)))*$J125)</f>
        <v/>
      </c>
      <c r="Q125" s="288" t="str" cm="1">
        <f t="array" ref="Q125">IF(OR($D125="",$H125=""),"",(INDEX('Emission factors'!$K$3:$V$201,MATCH('Buildings &amp; stationary assets'!$D125&amp;$E125,'Emission factors'!$J$3:$J$201&amp;'Emission factors'!$K$3:$K$201,0),MATCH('Buildings &amp; stationary assets'!Q$6,'Emission factors'!$K$2:$V$2,0)))*$J125)</f>
        <v/>
      </c>
      <c r="R125" s="288" t="str" cm="1">
        <f t="array" ref="R125">IF(OR($D125="",$H125=""),"",(INDEX('Emission factors'!$K$3:$V$201,MATCH('Buildings &amp; stationary assets'!$D125&amp;$E125,'Emission factors'!$J$3:$J$201&amp;'Emission factors'!$K$3:$K$201,0),MATCH('Buildings &amp; stationary assets'!R$6,'Emission factors'!$K$2:$V$2,0)))*$J125)</f>
        <v/>
      </c>
      <c r="S125" s="288" t="str" cm="1">
        <f t="array" ref="S125">IF(OR($D125="",$H125=""),"",(INDEX('Emission factors'!$K$3:$V$201,MATCH('Buildings &amp; stationary assets'!$D125&amp;$E125,'Emission factors'!$J$3:$J$201&amp;'Emission factors'!$K$3:$K$201,0),MATCH('Buildings &amp; stationary assets'!S$6,'Emission factors'!$K$2:$V$2,0)))*$J125)</f>
        <v/>
      </c>
      <c r="T125" s="288" t="str" cm="1">
        <f t="array" ref="T125">IF(OR($D125="",$H125=""),"",(INDEX('Emission factors'!$K$3:$V$201,MATCH('Buildings &amp; stationary assets'!$D125&amp;$E125,'Emission factors'!$J$3:$J$201&amp;'Emission factors'!$K$3:$K$201,0),MATCH('Buildings &amp; stationary assets'!T$6,'Emission factors'!$K$2:$V$2,0)))*$J125)</f>
        <v/>
      </c>
      <c r="U125" s="289" t="str">
        <f>IF(OR($M125="",StreetlightingTable[[#This Row],[RSD]]=""),"",StreetlightingTable[[#This Row],[Total emissions (kgCO2e)]]*(1+StreetlightingTable[[#This Row],[RSD]]))</f>
        <v/>
      </c>
      <c r="V125" s="290" t="str">
        <f>IF(OR($M125="",StreetlightingTable[[#This Row],[RSD]]=""),"",StreetlightingTable[[#This Row],[Total emissions (kgCO2e)]]*(1-StreetlightingTable[[#This Row],[RSD]]))</f>
        <v/>
      </c>
      <c r="W125" s="320" t="str" cm="1">
        <f t="array" ref="W125">IF(OR($D125="",$H125=""),"",(INDEX('Emission factors'!$K$3:$V$201,MATCH('Buildings &amp; stationary assets'!$D125&amp;$E125,'Emission factors'!$J$3:$J$201&amp;'Emission factors'!$K$3:$K$201,0),MATCH('Buildings &amp; stationary assets'!W$120,'Emission factors'!$K$2:$V$2,0)))*$J125)</f>
        <v/>
      </c>
      <c r="X125" s="315"/>
      <c r="Y125" s="1" cm="1">
        <f t="array" ref="Y125">IF(OR(ISERROR(B125:W125)),1,0)</f>
        <v>0</v>
      </c>
      <c r="Z125" s="1">
        <f t="shared" si="2"/>
        <v>0</v>
      </c>
    </row>
    <row r="126" spans="1:27" s="1" customFormat="1" ht="15" outlineLevel="1" thickBot="1" x14ac:dyDescent="0.4">
      <c r="A126" s="41"/>
      <c r="B126" s="6"/>
      <c r="C126" s="155"/>
      <c r="D126" s="151"/>
      <c r="E126" s="151"/>
      <c r="F126" s="151"/>
      <c r="G126" s="157" t="str">
        <f>IF(F126="","",INDEX(Lists!$BA$4:$BC$31,MATCH(D126,Lists!$AZ$4:$AZ$31,0),MATCH(F126,Lists!$BA$3:$BC$3,0)))</f>
        <v/>
      </c>
      <c r="H126" s="148"/>
      <c r="I126" s="151"/>
      <c r="J126" s="154" t="str" cm="1">
        <f t="array" ref="J126">IF(OR($D126="",$C126="",$H126="",$I126=""),"",IF(I126=K126,H126,(INDEX('Emission factors'!$K$3:$V$201,MATCH(D126&amp;E126,'Emission factors'!$J$3:$J$201&amp;'Emission factors'!$K$3:$K$201,0),MATCH(J$120,'Emission factors'!$K$2:$V$2,0)))*H126))</f>
        <v/>
      </c>
      <c r="K126" s="192" t="str">
        <f>IF(OR($D126="",$C126="",$H126="",$I126=""),"",INDEX('Emission factors'!$K$3:$V$201,MATCH('Buildings &amp; stationary assets'!$D126,'Emission factors'!$J$3:$J$201,0),MATCH($K$120,'Emission factors'!$K$2:$V$2,0)))</f>
        <v/>
      </c>
      <c r="L126" s="193" t="str" cm="1">
        <f t="array" ref="L126">IF(OR(D126="",H126="",StreetlightingTable[[#This Row],[Units]]=""),"",INDEX('Emission factors'!$K$3:$V$201,MATCH('Buildings &amp; stationary assets'!$D126&amp;E126,'Emission factors'!$J$3:$J$201&amp;'Emission factors'!$K$3:$K$201,0),MATCH('Buildings &amp; stationary assets'!$L$120,'Emission factors'!$K$2:$V$2,0)))</f>
        <v/>
      </c>
      <c r="M126" s="287" t="str">
        <f>IF(OR(J126="",L126=""),"",SUM(StreetlightingTable[[#This Row],[Direct]:[Indirect WTT]]))</f>
        <v/>
      </c>
      <c r="N126" s="150"/>
      <c r="O126" s="151"/>
      <c r="P126" s="288" t="str" cm="1">
        <f t="array" ref="P126">IF(OR($D126="",$H126=""),"",(INDEX('Emission factors'!$K$3:$V$201,MATCH('Buildings &amp; stationary assets'!$D126&amp;$E126,'Emission factors'!$J$3:$J$201&amp;'Emission factors'!$K$3:$K$201,0),MATCH('Buildings &amp; stationary assets'!P$6,'Emission factors'!$K$2:$V$2,0)))*$J126)</f>
        <v/>
      </c>
      <c r="Q126" s="288" t="str" cm="1">
        <f t="array" ref="Q126">IF(OR($D126="",$H126=""),"",(INDEX('Emission factors'!$K$3:$V$201,MATCH('Buildings &amp; stationary assets'!$D126&amp;$E126,'Emission factors'!$J$3:$J$201&amp;'Emission factors'!$K$3:$K$201,0),MATCH('Buildings &amp; stationary assets'!Q$6,'Emission factors'!$K$2:$V$2,0)))*$J126)</f>
        <v/>
      </c>
      <c r="R126" s="288" t="str" cm="1">
        <f t="array" ref="R126">IF(OR($D126="",$H126=""),"",(INDEX('Emission factors'!$K$3:$V$201,MATCH('Buildings &amp; stationary assets'!$D126&amp;$E126,'Emission factors'!$J$3:$J$201&amp;'Emission factors'!$K$3:$K$201,0),MATCH('Buildings &amp; stationary assets'!R$6,'Emission factors'!$K$2:$V$2,0)))*$J126)</f>
        <v/>
      </c>
      <c r="S126" s="288" t="str" cm="1">
        <f t="array" ref="S126">IF(OR($D126="",$H126=""),"",(INDEX('Emission factors'!$K$3:$V$201,MATCH('Buildings &amp; stationary assets'!$D126&amp;$E126,'Emission factors'!$J$3:$J$201&amp;'Emission factors'!$K$3:$K$201,0),MATCH('Buildings &amp; stationary assets'!S$6,'Emission factors'!$K$2:$V$2,0)))*$J126)</f>
        <v/>
      </c>
      <c r="T126" s="288" t="str" cm="1">
        <f t="array" ref="T126">IF(OR($D126="",$H126=""),"",(INDEX('Emission factors'!$K$3:$V$201,MATCH('Buildings &amp; stationary assets'!$D126&amp;$E126,'Emission factors'!$J$3:$J$201&amp;'Emission factors'!$K$3:$K$201,0),MATCH('Buildings &amp; stationary assets'!T$6,'Emission factors'!$K$2:$V$2,0)))*$J126)</f>
        <v/>
      </c>
      <c r="U126" s="289" t="str">
        <f>IF(OR($M126="",StreetlightingTable[[#This Row],[RSD]]=""),"",StreetlightingTable[[#This Row],[Total emissions (kgCO2e)]]*(1+StreetlightingTable[[#This Row],[RSD]]))</f>
        <v/>
      </c>
      <c r="V126" s="290" t="str">
        <f>IF(OR($M126="",StreetlightingTable[[#This Row],[RSD]]=""),"",StreetlightingTable[[#This Row],[Total emissions (kgCO2e)]]*(1-StreetlightingTable[[#This Row],[RSD]]))</f>
        <v/>
      </c>
      <c r="W126" s="321" t="str" cm="1">
        <f t="array" ref="W126">IF(OR($D126="",$H126=""),"",(INDEX('Emission factors'!$K$3:$V$201,MATCH('Buildings &amp; stationary assets'!$D126&amp;$E126,'Emission factors'!$J$3:$J$201&amp;'Emission factors'!$K$3:$K$201,0),MATCH('Buildings &amp; stationary assets'!W$120,'Emission factors'!$K$2:$V$2,0)))*$J126)</f>
        <v/>
      </c>
      <c r="X126" s="315"/>
      <c r="Y126" s="1" cm="1">
        <f t="array" ref="Y126">IF(OR(ISERROR(B126:W126)),1,0)</f>
        <v>0</v>
      </c>
      <c r="Z126" s="1">
        <f t="shared" si="2"/>
        <v>0</v>
      </c>
    </row>
    <row r="127" spans="1:27" x14ac:dyDescent="0.35">
      <c r="A127" s="463" t="s">
        <v>1212</v>
      </c>
      <c r="U127" s="311"/>
      <c r="V127" s="305"/>
    </row>
    <row r="128" spans="1:27" ht="19" thickBot="1" x14ac:dyDescent="0.5">
      <c r="B128" s="194" t="s">
        <v>1016</v>
      </c>
      <c r="C128" s="18"/>
      <c r="D128" s="1"/>
      <c r="E128" s="1"/>
      <c r="F128" s="1"/>
      <c r="G128" s="1"/>
      <c r="H128" s="1"/>
      <c r="I128" s="441" t="str">
        <f>IF($Z$129=0,"No data entered",IF($Y$129=0,"No errors in this table","There are errors in this table see highlighted row(s)"))</f>
        <v>No data entered</v>
      </c>
      <c r="J128" s="1"/>
      <c r="K128" s="1"/>
      <c r="L128" s="1"/>
      <c r="M128" s="1"/>
      <c r="N128" s="1"/>
      <c r="O128" s="51" t="s">
        <v>830</v>
      </c>
      <c r="P128" s="1"/>
      <c r="Q128" s="1"/>
      <c r="R128" s="1"/>
      <c r="S128" s="1"/>
      <c r="T128" s="56"/>
      <c r="U128" s="309"/>
      <c r="V128" s="66"/>
      <c r="W128" s="162"/>
      <c r="X128" s="312"/>
    </row>
    <row r="129" spans="2:26" ht="31.5" outlineLevel="1" thickBot="1" x14ac:dyDescent="0.4">
      <c r="B129" s="191" t="s">
        <v>1155</v>
      </c>
      <c r="C129" s="190" t="s">
        <v>147</v>
      </c>
      <c r="D129" s="191" t="s">
        <v>842</v>
      </c>
      <c r="E129" s="191" t="s">
        <v>18</v>
      </c>
      <c r="F129" s="191" t="s">
        <v>115</v>
      </c>
      <c r="G129" s="191" t="s">
        <v>116</v>
      </c>
      <c r="H129" s="191" t="s">
        <v>117</v>
      </c>
      <c r="I129" s="191" t="s">
        <v>118</v>
      </c>
      <c r="J129" s="191" t="s">
        <v>119</v>
      </c>
      <c r="K129" s="191" t="s">
        <v>120</v>
      </c>
      <c r="L129" s="191" t="s">
        <v>828</v>
      </c>
      <c r="M129" s="191" t="s">
        <v>829</v>
      </c>
      <c r="N129" s="191" t="s">
        <v>122</v>
      </c>
      <c r="O129" s="191" t="s">
        <v>123</v>
      </c>
      <c r="P129" s="12" t="s">
        <v>59</v>
      </c>
      <c r="Q129" s="12" t="s">
        <v>124</v>
      </c>
      <c r="R129" s="12" t="s">
        <v>125</v>
      </c>
      <c r="S129" s="12" t="s">
        <v>126</v>
      </c>
      <c r="T129" s="12" t="s">
        <v>127</v>
      </c>
      <c r="U129" s="12" t="s">
        <v>67</v>
      </c>
      <c r="V129" s="310" t="s">
        <v>68</v>
      </c>
      <c r="W129" s="12" t="s">
        <v>63</v>
      </c>
      <c r="Y129" s="160">
        <f>SUM(Y130:Y135)</f>
        <v>0</v>
      </c>
      <c r="Z129" s="15">
        <f>SUM(Z130:Z146)</f>
        <v>0</v>
      </c>
    </row>
    <row r="130" spans="2:26" ht="15" outlineLevel="1" thickBot="1" x14ac:dyDescent="0.4">
      <c r="B130" s="473"/>
      <c r="C130" s="421" t="s">
        <v>1018</v>
      </c>
      <c r="D130" s="151"/>
      <c r="E130" s="100"/>
      <c r="F130" s="151"/>
      <c r="G130" s="157" t="str">
        <f>IF(F130="","",INDEX(Lists!$BA$4:$BC$39,MATCH($C130,Lists!$AZ$4:$AZ$39,0),MATCH(F130,Lists!$BA$3:$BC$3,0)))</f>
        <v/>
      </c>
      <c r="H130" s="383"/>
      <c r="I130" s="151"/>
      <c r="J130" s="154" t="str" cm="1">
        <f t="array" ref="J130">IF(OR($D130="",$C130="",$H130="",$I130=""),"",IF(I130=K130,H130,(INDEX('Emission factors'!$K$3:$V$381,MATCH(C130&amp;D130,'Emission factors'!$J$3:$J$381&amp;'Emission factors'!$K$3:$K$381,0),MATCH(OthergasesTable[[#Headers],[Converted data]],'Emission factors'!$K$2:$V$2,0)))*H130))</f>
        <v/>
      </c>
      <c r="K130" s="192" t="str">
        <f>IF(C130="","",INDEX('Emission factors'!$J$3:$V$381,MATCH('Buildings &amp; stationary assets'!$C130,'Emission factors'!$J$3:$J$381,0),MATCH(OthergasesTable[[#Headers],[Standard units]],'Emission factors'!$J$2:$V$2,0)))</f>
        <v>kg</v>
      </c>
      <c r="L130" s="154" t="str" cm="1">
        <f t="array" ref="L130">IF(OR(D130="",H130=""),"",INDEX('Emission factors'!$K$3:$V$381,MATCH('Buildings &amp; stationary assets'!$C130&amp;$D130,'Emission factors'!$J$3:$J$381&amp;'Emission factors'!$K$3:$K$381,0),MATCH(OthergasesTable[[#Headers],[Total EF (kgCO2e/unit)]],'Emission factors'!$K$2:$V$2,0)))</f>
        <v/>
      </c>
      <c r="M130" s="287" t="str">
        <f>IF(OR(J130="",L130=""),"",SUM(OthergasesTable[[#This Row],[Direct]:[Indirect WTT]]))</f>
        <v/>
      </c>
      <c r="N130" s="150"/>
      <c r="O130" s="151"/>
      <c r="P130" s="288" t="str" cm="1">
        <f t="array" ref="P130">IF(OR($C130="",$H130=""),"",(INDEX('Emission factors'!$K$3:$V$381,MATCH('Buildings &amp; stationary assets'!$C130&amp;$D130,'Emission factors'!$J$3:$J$381&amp;'Emission factors'!$K$3:$K$381,0),MATCH(OthergasesTable[[#Headers],[Direct]],'Emission factors'!$K$2:$V$2,0)))*$J130)</f>
        <v/>
      </c>
      <c r="Q130" s="288" t="str" cm="1">
        <f t="array" ref="Q130">IF(OR($C130="",$H130=""),"",(INDEX('Emission factors'!$K$3:$V$381,MATCH('Buildings &amp; stationary assets'!$C130&amp;$D130,'Emission factors'!$J$3:$J$381&amp;'Emission factors'!$K$3:$K$381,0),MATCH(OthergasesTable[[#Headers],[Indirect generation]],'Emission factors'!$K$2:$V$2,0)))*$J130)</f>
        <v/>
      </c>
      <c r="R130" s="288" t="str" cm="1">
        <f t="array" ref="R130">IF(OR($C130="",$H130=""),"",(INDEX('Emission factors'!$K$3:$V$381,MATCH('Buildings &amp; stationary assets'!$C130&amp;$D130,'Emission factors'!$J$3:$J$381&amp;'Emission factors'!$K$3:$K$381,0),MATCH(OthergasesTable[[#Headers],[Indirect service]],'Emission factors'!$K$2:$V$2,0)))*$J130)</f>
        <v/>
      </c>
      <c r="S130" s="288" t="str" cm="1">
        <f t="array" ref="S130">IF(OR($C130="",$H130=""),"",(INDEX('Emission factors'!$K$3:$V$381,MATCH('Buildings &amp; stationary assets'!$C130&amp;$D130,'Emission factors'!$J$3:$J$381&amp;'Emission factors'!$K$3:$K$381,0),MATCH(OthergasesTable[[#Headers],[Indirect T&amp;D]],'Emission factors'!$K$2:$V$2,0)))*$J130)</f>
        <v/>
      </c>
      <c r="T130" s="288" t="str" cm="1">
        <f t="array" ref="T130">IF(OR($C130="",$H130=""),"",(INDEX('Emission factors'!$K$3:$V$381,MATCH('Buildings &amp; stationary assets'!$C130&amp;$D130,'Emission factors'!$J$3:$J$381&amp;'Emission factors'!$K$3:$K$381,0),MATCH(OthergasesTable[[#Headers],[Indirect WTT]],'Emission factors'!$K$2:$V$2,0)))*$J130)</f>
        <v/>
      </c>
      <c r="U130" s="289" t="str">
        <f>IF(OR($M130="",$G130=""),"",$M130*(1+$G130))</f>
        <v/>
      </c>
      <c r="V130" s="307" t="str">
        <f t="shared" ref="V130:V146" si="3">IF(OR($M130="",$G130=""),"",$M130*(1-$G130))</f>
        <v/>
      </c>
      <c r="W130" s="288" t="str" cm="1">
        <f t="array" ref="W130">IF(OR($C130="",$H130=""),"",(INDEX('Emission factors'!$K$3:$V$381,MATCH('Buildings &amp; stationary assets'!$C130&amp;$D130,'Emission factors'!$J$3:$J$381&amp;'Emission factors'!$K$3:$K$381,0),MATCH(OthergasesTable[[#Headers],[Outside of scopes]],'Emission factors'!$K$2:$V$2,0)))*$J130)</f>
        <v/>
      </c>
      <c r="Y130" s="76">
        <f t="shared" ref="Y130:Y146" si="4">SUM(Y131:Y136)</f>
        <v>0</v>
      </c>
      <c r="Z130" s="1">
        <f>IF(AND(D130="",H130="",I130=""),0,1)</f>
        <v>0</v>
      </c>
    </row>
    <row r="131" spans="2:26" ht="15" outlineLevel="1" thickBot="1" x14ac:dyDescent="0.4">
      <c r="B131" s="474"/>
      <c r="C131" s="421" t="s">
        <v>1018</v>
      </c>
      <c r="D131" s="151"/>
      <c r="E131" s="100"/>
      <c r="F131" s="151"/>
      <c r="G131" s="157" t="str">
        <f>IF(F131="","",INDEX(Lists!$BA$4:$BC$39,MATCH($C131,Lists!$AZ$4:$AZ$39,0),MATCH(F131,Lists!$BA$3:$BC$3,0)))</f>
        <v/>
      </c>
      <c r="H131" s="383"/>
      <c r="I131" s="151"/>
      <c r="J131" s="154" t="str" cm="1">
        <f t="array" ref="J131">IF(OR($D131="",$C131="",$H131="",$I131=""),"",IF(I131=K131,H131,(INDEX('Emission factors'!$K$3:$V$381,MATCH(C131&amp;D131,'Emission factors'!$J$3:$J$381&amp;'Emission factors'!$K$3:$K$381,0),MATCH(OthergasesTable[[#Headers],[Converted data]],'Emission factors'!$K$2:$V$2,0)))*H131))</f>
        <v/>
      </c>
      <c r="K131" s="192" t="str">
        <f>IF(C131="","",INDEX('Emission factors'!$J$3:$V$381,MATCH('Buildings &amp; stationary assets'!$C131,'Emission factors'!$J$3:$J$381,0),MATCH(OthergasesTable[[#Headers],[Standard units]],'Emission factors'!$J$2:$V$2,0)))</f>
        <v>kg</v>
      </c>
      <c r="L131" s="154" t="str" cm="1">
        <f t="array" ref="L131">IF(OR(D131="",H131=""),"",INDEX('Emission factors'!$K$3:$V$381,MATCH('Buildings &amp; stationary assets'!$C131&amp;$D131,'Emission factors'!$J$3:$J$381&amp;'Emission factors'!$K$3:$K$381,0),MATCH(OthergasesTable[[#Headers],[Total EF (kgCO2e/unit)]],'Emission factors'!$K$2:$V$2,0)))</f>
        <v/>
      </c>
      <c r="M131" s="287" t="str">
        <f>IF(OR(J131="",L131=""),"",SUM(OthergasesTable[[#This Row],[Direct]:[Indirect WTT]]))</f>
        <v/>
      </c>
      <c r="N131" s="150"/>
      <c r="O131" s="151"/>
      <c r="P131" s="288" t="str" cm="1">
        <f t="array" ref="P131">IF(OR($C131="",$H131=""),"",(INDEX('Emission factors'!$K$3:$V$381,MATCH('Buildings &amp; stationary assets'!$C131&amp;$D131,'Emission factors'!$J$3:$J$381&amp;'Emission factors'!$K$3:$K$381,0),MATCH(OthergasesTable[[#Headers],[Direct]],'Emission factors'!$K$2:$V$2,0)))*$J131)</f>
        <v/>
      </c>
      <c r="Q131" s="288" t="str" cm="1">
        <f t="array" ref="Q131">IF(OR($C131="",$H131=""),"",(INDEX('Emission factors'!$K$3:$V$381,MATCH('Buildings &amp; stationary assets'!$C131&amp;$D131,'Emission factors'!$J$3:$J$381&amp;'Emission factors'!$K$3:$K$381,0),MATCH(OthergasesTable[[#Headers],[Indirect generation]],'Emission factors'!$K$2:$V$2,0)))*$J131)</f>
        <v/>
      </c>
      <c r="R131" s="288" t="str" cm="1">
        <f t="array" ref="R131">IF(OR($C131="",$H131=""),"",(INDEX('Emission factors'!$K$3:$V$381,MATCH('Buildings &amp; stationary assets'!$C131&amp;$D131,'Emission factors'!$J$3:$J$381&amp;'Emission factors'!$K$3:$K$381,0),MATCH(OthergasesTable[[#Headers],[Indirect service]],'Emission factors'!$K$2:$V$2,0)))*$J131)</f>
        <v/>
      </c>
      <c r="S131" s="288" t="str" cm="1">
        <f t="array" ref="S131">IF(OR($C131="",$H131=""),"",(INDEX('Emission factors'!$K$3:$V$381,MATCH('Buildings &amp; stationary assets'!$C131&amp;$D131,'Emission factors'!$J$3:$J$381&amp;'Emission factors'!$K$3:$K$381,0),MATCH(OthergasesTable[[#Headers],[Indirect T&amp;D]],'Emission factors'!$K$2:$V$2,0)))*$J131)</f>
        <v/>
      </c>
      <c r="T131" s="288" t="str" cm="1">
        <f t="array" ref="T131">IF(OR($C131="",$H131=""),"",(INDEX('Emission factors'!$K$3:$V$381,MATCH('Buildings &amp; stationary assets'!$C131&amp;$D131,'Emission factors'!$J$3:$J$381&amp;'Emission factors'!$K$3:$K$381,0),MATCH(OthergasesTable[[#Headers],[Indirect WTT]],'Emission factors'!$K$2:$V$2,0)))*$J131)</f>
        <v/>
      </c>
      <c r="U131" s="289" t="str">
        <f t="shared" ref="U131:U146" si="5">IF(OR($M131="",$G131=""),"",$M131*(1+$G131))</f>
        <v/>
      </c>
      <c r="V131" s="307" t="str">
        <f t="shared" si="3"/>
        <v/>
      </c>
      <c r="W131" s="288" t="str" cm="1">
        <f t="array" ref="W131">IF(OR($C131="",$H131=""),"",(INDEX('Emission factors'!$K$3:$V$381,MATCH('Buildings &amp; stationary assets'!$C131&amp;$D131,'Emission factors'!$J$3:$J$381&amp;'Emission factors'!$K$3:$K$381,0),MATCH(OthergasesTable[[#Headers],[Outside of scopes]],'Emission factors'!$K$2:$V$2,0)))*$J131)</f>
        <v/>
      </c>
      <c r="Y131" s="76">
        <f t="shared" si="4"/>
        <v>0</v>
      </c>
      <c r="Z131" s="1">
        <f t="shared" ref="Z131:Z145" si="6">IF(AND(D131="",H131="",I131=""),0,1)</f>
        <v>0</v>
      </c>
    </row>
    <row r="132" spans="2:26" ht="15" outlineLevel="1" thickBot="1" x14ac:dyDescent="0.4">
      <c r="B132" s="474"/>
      <c r="C132" s="421" t="s">
        <v>1018</v>
      </c>
      <c r="D132" s="151"/>
      <c r="E132" s="100"/>
      <c r="F132" s="151"/>
      <c r="G132" s="157" t="str">
        <f>IF(F132="","",INDEX(Lists!$BA$4:$BC$39,MATCH($C132,Lists!$AZ$4:$AZ$39,0),MATCH(F132,Lists!$BA$3:$BC$3,0)))</f>
        <v/>
      </c>
      <c r="H132" s="383"/>
      <c r="I132" s="151"/>
      <c r="J132" s="154" t="str" cm="1">
        <f t="array" ref="J132">IF(OR($D132="",$C132="",$H132="",$I132=""),"",IF(I132=K132,H132,(INDEX('Emission factors'!$K$3:$V$381,MATCH(C132&amp;D132,'Emission factors'!$J$3:$J$381&amp;'Emission factors'!$K$3:$K$381,0),MATCH(OthergasesTable[[#Headers],[Converted data]],'Emission factors'!$K$2:$V$2,0)))*H132))</f>
        <v/>
      </c>
      <c r="K132" s="192" t="str">
        <f>IF(C132="","",INDEX('Emission factors'!$J$3:$V$381,MATCH('Buildings &amp; stationary assets'!$C132,'Emission factors'!$J$3:$J$381,0),MATCH(OthergasesTable[[#Headers],[Standard units]],'Emission factors'!$J$2:$V$2,0)))</f>
        <v>kg</v>
      </c>
      <c r="L132" s="154" t="str" cm="1">
        <f t="array" ref="L132">IF(OR(D132="",H132=""),"",INDEX('Emission factors'!$K$3:$V$381,MATCH('Buildings &amp; stationary assets'!$C132&amp;$D132,'Emission factors'!$J$3:$J$381&amp;'Emission factors'!$K$3:$K$381,0),MATCH(OthergasesTable[[#Headers],[Total EF (kgCO2e/unit)]],'Emission factors'!$K$2:$V$2,0)))</f>
        <v/>
      </c>
      <c r="M132" s="287" t="str">
        <f>IF(OR(J132="",L132=""),"",SUM(OthergasesTable[[#This Row],[Direct]:[Indirect WTT]]))</f>
        <v/>
      </c>
      <c r="N132" s="150"/>
      <c r="O132" s="151"/>
      <c r="P132" s="288" t="str" cm="1">
        <f t="array" ref="P132">IF(OR($C132="",$H132=""),"",(INDEX('Emission factors'!$K$3:$V$381,MATCH('Buildings &amp; stationary assets'!$C132&amp;$D132,'Emission factors'!$J$3:$J$381&amp;'Emission factors'!$K$3:$K$381,0),MATCH(OthergasesTable[[#Headers],[Direct]],'Emission factors'!$K$2:$V$2,0)))*$J132)</f>
        <v/>
      </c>
      <c r="Q132" s="288" t="str" cm="1">
        <f t="array" ref="Q132">IF(OR($C132="",$H132=""),"",(INDEX('Emission factors'!$K$3:$V$381,MATCH('Buildings &amp; stationary assets'!$C132&amp;$D132,'Emission factors'!$J$3:$J$381&amp;'Emission factors'!$K$3:$K$381,0),MATCH(OthergasesTable[[#Headers],[Indirect generation]],'Emission factors'!$K$2:$V$2,0)))*$J132)</f>
        <v/>
      </c>
      <c r="R132" s="288" t="str" cm="1">
        <f t="array" ref="R132">IF(OR($C132="",$H132=""),"",(INDEX('Emission factors'!$K$3:$V$381,MATCH('Buildings &amp; stationary assets'!$C132&amp;$D132,'Emission factors'!$J$3:$J$381&amp;'Emission factors'!$K$3:$K$381,0),MATCH(OthergasesTable[[#Headers],[Indirect service]],'Emission factors'!$K$2:$V$2,0)))*$J132)</f>
        <v/>
      </c>
      <c r="S132" s="288" t="str" cm="1">
        <f t="array" ref="S132">IF(OR($C132="",$H132=""),"",(INDEX('Emission factors'!$K$3:$V$381,MATCH('Buildings &amp; stationary assets'!$C132&amp;$D132,'Emission factors'!$J$3:$J$381&amp;'Emission factors'!$K$3:$K$381,0),MATCH(OthergasesTable[[#Headers],[Indirect T&amp;D]],'Emission factors'!$K$2:$V$2,0)))*$J132)</f>
        <v/>
      </c>
      <c r="T132" s="288" t="str" cm="1">
        <f t="array" ref="T132">IF(OR($C132="",$H132=""),"",(INDEX('Emission factors'!$K$3:$V$381,MATCH('Buildings &amp; stationary assets'!$C132&amp;$D132,'Emission factors'!$J$3:$J$381&amp;'Emission factors'!$K$3:$K$381,0),MATCH(OthergasesTable[[#Headers],[Indirect WTT]],'Emission factors'!$K$2:$V$2,0)))*$J132)</f>
        <v/>
      </c>
      <c r="U132" s="289" t="str">
        <f t="shared" si="5"/>
        <v/>
      </c>
      <c r="V132" s="307" t="str">
        <f t="shared" si="3"/>
        <v/>
      </c>
      <c r="W132" s="288" t="str" cm="1">
        <f t="array" ref="W132">IF(OR($C132="",$H132=""),"",(INDEX('Emission factors'!$K$3:$V$381,MATCH('Buildings &amp; stationary assets'!$C132&amp;$D132,'Emission factors'!$J$3:$J$381&amp;'Emission factors'!$K$3:$K$381,0),MATCH(OthergasesTable[[#Headers],[Outside of scopes]],'Emission factors'!$K$2:$V$2,0)))*$J132)</f>
        <v/>
      </c>
      <c r="Y132" s="76">
        <f t="shared" si="4"/>
        <v>0</v>
      </c>
      <c r="Z132" s="1">
        <f t="shared" si="6"/>
        <v>0</v>
      </c>
    </row>
    <row r="133" spans="2:26" ht="15" outlineLevel="1" thickBot="1" x14ac:dyDescent="0.4">
      <c r="B133" s="474"/>
      <c r="C133" s="421" t="s">
        <v>1018</v>
      </c>
      <c r="D133" s="151"/>
      <c r="E133" s="100"/>
      <c r="F133" s="151"/>
      <c r="G133" s="157" t="str">
        <f>IF(F133="","",INDEX(Lists!$BA$4:$BC$39,MATCH($C133,Lists!$AZ$4:$AZ$39,0),MATCH(F133,Lists!$BA$3:$BC$3,0)))</f>
        <v/>
      </c>
      <c r="H133" s="383"/>
      <c r="I133" s="151"/>
      <c r="J133" s="154" t="str" cm="1">
        <f t="array" ref="J133">IF(OR($D133="",$C133="",$H133="",$I133=""),"",IF(I133=K133,H133,(INDEX('Emission factors'!$K$3:$V$381,MATCH(C133&amp;D133,'Emission factors'!$J$3:$J$381&amp;'Emission factors'!$K$3:$K$381,0),MATCH(OthergasesTable[[#Headers],[Converted data]],'Emission factors'!$K$2:$V$2,0)))*H133))</f>
        <v/>
      </c>
      <c r="K133" s="192" t="str">
        <f>IF(C133="","",INDEX('Emission factors'!$J$3:$V$381,MATCH('Buildings &amp; stationary assets'!$C133,'Emission factors'!$J$3:$J$381,0),MATCH(OthergasesTable[[#Headers],[Standard units]],'Emission factors'!$J$2:$V$2,0)))</f>
        <v>kg</v>
      </c>
      <c r="L133" s="154" t="str" cm="1">
        <f t="array" ref="L133">IF(OR(D133="",H133=""),"",INDEX('Emission factors'!$K$3:$V$381,MATCH('Buildings &amp; stationary assets'!$C133&amp;$D133,'Emission factors'!$J$3:$J$381&amp;'Emission factors'!$K$3:$K$381,0),MATCH(OthergasesTable[[#Headers],[Total EF (kgCO2e/unit)]],'Emission factors'!$K$2:$V$2,0)))</f>
        <v/>
      </c>
      <c r="M133" s="287" t="str">
        <f>IF(OR(J133="",L133=""),"",SUM(OthergasesTable[[#This Row],[Direct]:[Indirect WTT]]))</f>
        <v/>
      </c>
      <c r="N133" s="150"/>
      <c r="O133" s="151"/>
      <c r="P133" s="288" t="str" cm="1">
        <f t="array" ref="P133">IF(OR($C133="",$H133=""),"",(INDEX('Emission factors'!$K$3:$V$381,MATCH('Buildings &amp; stationary assets'!$C133&amp;$D133,'Emission factors'!$J$3:$J$381&amp;'Emission factors'!$K$3:$K$381,0),MATCH(OthergasesTable[[#Headers],[Direct]],'Emission factors'!$K$2:$V$2,0)))*$J133)</f>
        <v/>
      </c>
      <c r="Q133" s="288" t="str" cm="1">
        <f t="array" ref="Q133">IF(OR($C133="",$H133=""),"",(INDEX('Emission factors'!$K$3:$V$381,MATCH('Buildings &amp; stationary assets'!$C133&amp;$D133,'Emission factors'!$J$3:$J$381&amp;'Emission factors'!$K$3:$K$381,0),MATCH(OthergasesTable[[#Headers],[Indirect generation]],'Emission factors'!$K$2:$V$2,0)))*$J133)</f>
        <v/>
      </c>
      <c r="R133" s="288" t="str" cm="1">
        <f t="array" ref="R133">IF(OR($C133="",$H133=""),"",(INDEX('Emission factors'!$K$3:$V$381,MATCH('Buildings &amp; stationary assets'!$C133&amp;$D133,'Emission factors'!$J$3:$J$381&amp;'Emission factors'!$K$3:$K$381,0),MATCH(OthergasesTable[[#Headers],[Indirect service]],'Emission factors'!$K$2:$V$2,0)))*$J133)</f>
        <v/>
      </c>
      <c r="S133" s="288" t="str" cm="1">
        <f t="array" ref="S133">IF(OR($C133="",$H133=""),"",(INDEX('Emission factors'!$K$3:$V$381,MATCH('Buildings &amp; stationary assets'!$C133&amp;$D133,'Emission factors'!$J$3:$J$381&amp;'Emission factors'!$K$3:$K$381,0),MATCH(OthergasesTable[[#Headers],[Indirect T&amp;D]],'Emission factors'!$K$2:$V$2,0)))*$J133)</f>
        <v/>
      </c>
      <c r="T133" s="288" t="str" cm="1">
        <f t="array" ref="T133">IF(OR($C133="",$H133=""),"",(INDEX('Emission factors'!$K$3:$V$381,MATCH('Buildings &amp; stationary assets'!$C133&amp;$D133,'Emission factors'!$J$3:$J$381&amp;'Emission factors'!$K$3:$K$381,0),MATCH(OthergasesTable[[#Headers],[Indirect WTT]],'Emission factors'!$K$2:$V$2,0)))*$J133)</f>
        <v/>
      </c>
      <c r="U133" s="289" t="str">
        <f t="shared" si="5"/>
        <v/>
      </c>
      <c r="V133" s="307" t="str">
        <f t="shared" si="3"/>
        <v/>
      </c>
      <c r="W133" s="288" t="str" cm="1">
        <f t="array" ref="W133">IF(OR($C133="",$H133=""),"",(INDEX('Emission factors'!$K$3:$V$381,MATCH('Buildings &amp; stationary assets'!$C133&amp;$D133,'Emission factors'!$J$3:$J$381&amp;'Emission factors'!$K$3:$K$381,0),MATCH(OthergasesTable[[#Headers],[Outside of scopes]],'Emission factors'!$K$2:$V$2,0)))*$J133)</f>
        <v/>
      </c>
      <c r="Y133" s="76">
        <f t="shared" si="4"/>
        <v>0</v>
      </c>
      <c r="Z133" s="1">
        <f t="shared" si="6"/>
        <v>0</v>
      </c>
    </row>
    <row r="134" spans="2:26" ht="15" outlineLevel="1" thickBot="1" x14ac:dyDescent="0.4">
      <c r="B134" s="474"/>
      <c r="C134" s="421" t="s">
        <v>1018</v>
      </c>
      <c r="D134" s="151"/>
      <c r="E134" s="100"/>
      <c r="F134" s="151"/>
      <c r="G134" s="157" t="str">
        <f>IF(F134="","",INDEX(Lists!$BA$4:$BC$39,MATCH($C134,Lists!$AZ$4:$AZ$39,0),MATCH(F134,Lists!$BA$3:$BC$3,0)))</f>
        <v/>
      </c>
      <c r="H134" s="383"/>
      <c r="I134" s="151"/>
      <c r="J134" s="154" t="str" cm="1">
        <f t="array" ref="J134">IF(OR($D134="",$C134="",$H134="",$I134=""),"",IF(I134=K134,H134,(INDEX('Emission factors'!$K$3:$V$381,MATCH(C134&amp;D134,'Emission factors'!$J$3:$J$381&amp;'Emission factors'!$K$3:$K$381,0),MATCH(OthergasesTable[[#Headers],[Converted data]],'Emission factors'!$K$2:$V$2,0)))*H134))</f>
        <v/>
      </c>
      <c r="K134" s="192" t="str">
        <f>IF(C134="","",INDEX('Emission factors'!$J$3:$V$381,MATCH('Buildings &amp; stationary assets'!$C134,'Emission factors'!$J$3:$J$381,0),MATCH(OthergasesTable[[#Headers],[Standard units]],'Emission factors'!$J$2:$V$2,0)))</f>
        <v>kg</v>
      </c>
      <c r="L134" s="154" t="str" cm="1">
        <f t="array" ref="L134">IF(OR(D134="",H134=""),"",INDEX('Emission factors'!$K$3:$V$381,MATCH('Buildings &amp; stationary assets'!$C134&amp;$D134,'Emission factors'!$J$3:$J$381&amp;'Emission factors'!$K$3:$K$381,0),MATCH(OthergasesTable[[#Headers],[Total EF (kgCO2e/unit)]],'Emission factors'!$K$2:$V$2,0)))</f>
        <v/>
      </c>
      <c r="M134" s="287" t="str">
        <f>IF(OR(J134="",L134=""),"",SUM(OthergasesTable[[#This Row],[Direct]:[Indirect WTT]]))</f>
        <v/>
      </c>
      <c r="N134" s="150"/>
      <c r="O134" s="151"/>
      <c r="P134" s="288" t="str" cm="1">
        <f t="array" ref="P134">IF(OR($C134="",$H134=""),"",(INDEX('Emission factors'!$K$3:$V$381,MATCH('Buildings &amp; stationary assets'!$C134&amp;$D134,'Emission factors'!$J$3:$J$381&amp;'Emission factors'!$K$3:$K$381,0),MATCH(OthergasesTable[[#Headers],[Direct]],'Emission factors'!$K$2:$V$2,0)))*$J134)</f>
        <v/>
      </c>
      <c r="Q134" s="288" t="str" cm="1">
        <f t="array" ref="Q134">IF(OR($C134="",$H134=""),"",(INDEX('Emission factors'!$K$3:$V$381,MATCH('Buildings &amp; stationary assets'!$C134&amp;$D134,'Emission factors'!$J$3:$J$381&amp;'Emission factors'!$K$3:$K$381,0),MATCH(OthergasesTable[[#Headers],[Indirect generation]],'Emission factors'!$K$2:$V$2,0)))*$J134)</f>
        <v/>
      </c>
      <c r="R134" s="288" t="str" cm="1">
        <f t="array" ref="R134">IF(OR($C134="",$H134=""),"",(INDEX('Emission factors'!$K$3:$V$381,MATCH('Buildings &amp; stationary assets'!$C134&amp;$D134,'Emission factors'!$J$3:$J$381&amp;'Emission factors'!$K$3:$K$381,0),MATCH(OthergasesTable[[#Headers],[Indirect service]],'Emission factors'!$K$2:$V$2,0)))*$J134)</f>
        <v/>
      </c>
      <c r="S134" s="288" t="str" cm="1">
        <f t="array" ref="S134">IF(OR($C134="",$H134=""),"",(INDEX('Emission factors'!$K$3:$V$381,MATCH('Buildings &amp; stationary assets'!$C134&amp;$D134,'Emission factors'!$J$3:$J$381&amp;'Emission factors'!$K$3:$K$381,0),MATCH(OthergasesTable[[#Headers],[Indirect T&amp;D]],'Emission factors'!$K$2:$V$2,0)))*$J134)</f>
        <v/>
      </c>
      <c r="T134" s="288" t="str" cm="1">
        <f t="array" ref="T134">IF(OR($C134="",$H134=""),"",(INDEX('Emission factors'!$K$3:$V$381,MATCH('Buildings &amp; stationary assets'!$C134&amp;$D134,'Emission factors'!$J$3:$J$381&amp;'Emission factors'!$K$3:$K$381,0),MATCH(OthergasesTable[[#Headers],[Indirect WTT]],'Emission factors'!$K$2:$V$2,0)))*$J134)</f>
        <v/>
      </c>
      <c r="U134" s="289" t="str">
        <f t="shared" si="5"/>
        <v/>
      </c>
      <c r="V134" s="307" t="str">
        <f t="shared" si="3"/>
        <v/>
      </c>
      <c r="W134" s="288" t="str" cm="1">
        <f t="array" ref="W134">IF(OR($C134="",$H134=""),"",(INDEX('Emission factors'!$K$3:$V$381,MATCH('Buildings &amp; stationary assets'!$C134&amp;$D134,'Emission factors'!$J$3:$J$381&amp;'Emission factors'!$K$3:$K$381,0),MATCH(OthergasesTable[[#Headers],[Outside of scopes]],'Emission factors'!$K$2:$V$2,0)))*$J134)</f>
        <v/>
      </c>
      <c r="Y134" s="76">
        <f t="shared" si="4"/>
        <v>0</v>
      </c>
      <c r="Z134" s="1">
        <f t="shared" si="6"/>
        <v>0</v>
      </c>
    </row>
    <row r="135" spans="2:26" ht="15" outlineLevel="1" thickBot="1" x14ac:dyDescent="0.4">
      <c r="B135" s="474"/>
      <c r="C135" s="421" t="s">
        <v>1018</v>
      </c>
      <c r="D135" s="151"/>
      <c r="E135" s="100"/>
      <c r="F135" s="151"/>
      <c r="G135" s="157" t="str">
        <f>IF(F135="","",INDEX(Lists!$BA$4:$BC$39,MATCH($C135,Lists!$AZ$4:$AZ$39,0),MATCH(F135,Lists!$BA$3:$BC$3,0)))</f>
        <v/>
      </c>
      <c r="H135" s="383"/>
      <c r="I135" s="151"/>
      <c r="J135" s="154" t="str" cm="1">
        <f t="array" ref="J135">IF(OR($D135="",$C135="",$H135="",$I135=""),"",IF(I135=K135,H135,(INDEX('Emission factors'!$K$3:$V$381,MATCH(C135&amp;D135,'Emission factors'!$J$3:$J$381&amp;'Emission factors'!$K$3:$K$381,0),MATCH(OthergasesTable[[#Headers],[Converted data]],'Emission factors'!$K$2:$V$2,0)))*H135))</f>
        <v/>
      </c>
      <c r="K135" s="192" t="str">
        <f>IF(C135="","",INDEX('Emission factors'!$J$3:$V$381,MATCH('Buildings &amp; stationary assets'!$C135,'Emission factors'!$J$3:$J$381,0),MATCH(OthergasesTable[[#Headers],[Standard units]],'Emission factors'!$J$2:$V$2,0)))</f>
        <v>kg</v>
      </c>
      <c r="L135" s="154" t="str" cm="1">
        <f t="array" ref="L135">IF(OR(D135="",H135=""),"",INDEX('Emission factors'!$K$3:$V$381,MATCH('Buildings &amp; stationary assets'!$C135&amp;$D135,'Emission factors'!$J$3:$J$381&amp;'Emission factors'!$K$3:$K$381,0),MATCH(OthergasesTable[[#Headers],[Total EF (kgCO2e/unit)]],'Emission factors'!$K$2:$V$2,0)))</f>
        <v/>
      </c>
      <c r="M135" s="287" t="str">
        <f>IF(OR(J135="",L135=""),"",SUM(OthergasesTable[[#This Row],[Direct]:[Indirect WTT]]))</f>
        <v/>
      </c>
      <c r="N135" s="150"/>
      <c r="O135" s="151"/>
      <c r="P135" s="288" t="str" cm="1">
        <f t="array" ref="P135">IF(OR($C135="",$H135=""),"",(INDEX('Emission factors'!$K$3:$V$381,MATCH('Buildings &amp; stationary assets'!$C135&amp;$D135,'Emission factors'!$J$3:$J$381&amp;'Emission factors'!$K$3:$K$381,0),MATCH(OthergasesTable[[#Headers],[Direct]],'Emission factors'!$K$2:$V$2,0)))*$J135)</f>
        <v/>
      </c>
      <c r="Q135" s="288" t="str" cm="1">
        <f t="array" ref="Q135">IF(OR($C135="",$H135=""),"",(INDEX('Emission factors'!$K$3:$V$381,MATCH('Buildings &amp; stationary assets'!$C135&amp;$D135,'Emission factors'!$J$3:$J$381&amp;'Emission factors'!$K$3:$K$381,0),MATCH(OthergasesTable[[#Headers],[Indirect generation]],'Emission factors'!$K$2:$V$2,0)))*$J135)</f>
        <v/>
      </c>
      <c r="R135" s="288" t="str" cm="1">
        <f t="array" ref="R135">IF(OR($C135="",$H135=""),"",(INDEX('Emission factors'!$K$3:$V$381,MATCH('Buildings &amp; stationary assets'!$C135&amp;$D135,'Emission factors'!$J$3:$J$381&amp;'Emission factors'!$K$3:$K$381,0),MATCH(OthergasesTable[[#Headers],[Indirect service]],'Emission factors'!$K$2:$V$2,0)))*$J135)</f>
        <v/>
      </c>
      <c r="S135" s="288" t="str" cm="1">
        <f t="array" ref="S135">IF(OR($C135="",$H135=""),"",(INDEX('Emission factors'!$K$3:$V$381,MATCH('Buildings &amp; stationary assets'!$C135&amp;$D135,'Emission factors'!$J$3:$J$381&amp;'Emission factors'!$K$3:$K$381,0),MATCH(OthergasesTable[[#Headers],[Indirect T&amp;D]],'Emission factors'!$K$2:$V$2,0)))*$J135)</f>
        <v/>
      </c>
      <c r="T135" s="288" t="str" cm="1">
        <f t="array" ref="T135">IF(OR($C135="",$H135=""),"",(INDEX('Emission factors'!$K$3:$V$381,MATCH('Buildings &amp; stationary assets'!$C135&amp;$D135,'Emission factors'!$J$3:$J$381&amp;'Emission factors'!$K$3:$K$381,0),MATCH(OthergasesTable[[#Headers],[Indirect WTT]],'Emission factors'!$K$2:$V$2,0)))*$J135)</f>
        <v/>
      </c>
      <c r="U135" s="289" t="str">
        <f t="shared" si="5"/>
        <v/>
      </c>
      <c r="V135" s="307" t="str">
        <f t="shared" si="3"/>
        <v/>
      </c>
      <c r="W135" s="288" t="str" cm="1">
        <f t="array" ref="W135">IF(OR($C135="",$H135=""),"",(INDEX('Emission factors'!$K$3:$V$381,MATCH('Buildings &amp; stationary assets'!$C135&amp;$D135,'Emission factors'!$J$3:$J$381&amp;'Emission factors'!$K$3:$K$381,0),MATCH(OthergasesTable[[#Headers],[Outside of scopes]],'Emission factors'!$K$2:$V$2,0)))*$J135)</f>
        <v/>
      </c>
      <c r="Y135" s="76">
        <f t="shared" si="4"/>
        <v>0</v>
      </c>
      <c r="Z135" s="1">
        <f t="shared" si="6"/>
        <v>0</v>
      </c>
    </row>
    <row r="136" spans="2:26" ht="15" outlineLevel="1" thickBot="1" x14ac:dyDescent="0.4">
      <c r="B136" s="474"/>
      <c r="C136" s="421" t="s">
        <v>1018</v>
      </c>
      <c r="D136" s="151"/>
      <c r="E136" s="100"/>
      <c r="F136" s="151"/>
      <c r="G136" s="157" t="str">
        <f>IF(F136="","",INDEX(Lists!$BA$4:$BC$39,MATCH($C136,Lists!$AZ$4:$AZ$39,0),MATCH(F136,Lists!$BA$3:$BC$3,0)))</f>
        <v/>
      </c>
      <c r="H136" s="383"/>
      <c r="I136" s="151"/>
      <c r="J136" s="154" t="str" cm="1">
        <f t="array" ref="J136">IF(OR($D136="",$C136="",$H136="",$I136=""),"",IF(I136=K136,H136,(INDEX('Emission factors'!$K$3:$V$381,MATCH(C136&amp;D136,'Emission factors'!$J$3:$J$381&amp;'Emission factors'!$K$3:$K$381,0),MATCH(OthergasesTable[[#Headers],[Converted data]],'Emission factors'!$K$2:$V$2,0)))*H136))</f>
        <v/>
      </c>
      <c r="K136" s="192" t="str">
        <f>IF(C136="","",INDEX('Emission factors'!$J$3:$V$381,MATCH('Buildings &amp; stationary assets'!$C136,'Emission factors'!$J$3:$J$381,0),MATCH(OthergasesTable[[#Headers],[Standard units]],'Emission factors'!$J$2:$V$2,0)))</f>
        <v>kg</v>
      </c>
      <c r="L136" s="154" t="str" cm="1">
        <f t="array" ref="L136">IF(OR(D136="",H136=""),"",INDEX('Emission factors'!$K$3:$V$381,MATCH('Buildings &amp; stationary assets'!$C136&amp;$D136,'Emission factors'!$J$3:$J$381&amp;'Emission factors'!$K$3:$K$381,0),MATCH(OthergasesTable[[#Headers],[Total EF (kgCO2e/unit)]],'Emission factors'!$K$2:$V$2,0)))</f>
        <v/>
      </c>
      <c r="M136" s="287" t="str">
        <f>IF(OR(J136="",L136=""),"",SUM(OthergasesTable[[#This Row],[Direct]:[Indirect WTT]]))</f>
        <v/>
      </c>
      <c r="N136" s="150"/>
      <c r="O136" s="151"/>
      <c r="P136" s="288" t="str" cm="1">
        <f t="array" ref="P136">IF(OR($C136="",$H136=""),"",(INDEX('Emission factors'!$K$3:$V$381,MATCH('Buildings &amp; stationary assets'!$C136&amp;$D136,'Emission factors'!$J$3:$J$381&amp;'Emission factors'!$K$3:$K$381,0),MATCH(OthergasesTable[[#Headers],[Direct]],'Emission factors'!$K$2:$V$2,0)))*$J136)</f>
        <v/>
      </c>
      <c r="Q136" s="288" t="str" cm="1">
        <f t="array" ref="Q136">IF(OR($C136="",$H136=""),"",(INDEX('Emission factors'!$K$3:$V$381,MATCH('Buildings &amp; stationary assets'!$C136&amp;$D136,'Emission factors'!$J$3:$J$381&amp;'Emission factors'!$K$3:$K$381,0),MATCH(OthergasesTable[[#Headers],[Indirect generation]],'Emission factors'!$K$2:$V$2,0)))*$J136)</f>
        <v/>
      </c>
      <c r="R136" s="288" t="str" cm="1">
        <f t="array" ref="R136">IF(OR($C136="",$H136=""),"",(INDEX('Emission factors'!$K$3:$V$381,MATCH('Buildings &amp; stationary assets'!$C136&amp;$D136,'Emission factors'!$J$3:$J$381&amp;'Emission factors'!$K$3:$K$381,0),MATCH(OthergasesTable[[#Headers],[Indirect service]],'Emission factors'!$K$2:$V$2,0)))*$J136)</f>
        <v/>
      </c>
      <c r="S136" s="288" t="str" cm="1">
        <f t="array" ref="S136">IF(OR($C136="",$H136=""),"",(INDEX('Emission factors'!$K$3:$V$381,MATCH('Buildings &amp; stationary assets'!$C136&amp;$D136,'Emission factors'!$J$3:$J$381&amp;'Emission factors'!$K$3:$K$381,0),MATCH(OthergasesTable[[#Headers],[Indirect T&amp;D]],'Emission factors'!$K$2:$V$2,0)))*$J136)</f>
        <v/>
      </c>
      <c r="T136" s="288" t="str" cm="1">
        <f t="array" ref="T136">IF(OR($C136="",$H136=""),"",(INDEX('Emission factors'!$K$3:$V$381,MATCH('Buildings &amp; stationary assets'!$C136&amp;$D136,'Emission factors'!$J$3:$J$381&amp;'Emission factors'!$K$3:$K$381,0),MATCH(OthergasesTable[[#Headers],[Indirect WTT]],'Emission factors'!$K$2:$V$2,0)))*$J136)</f>
        <v/>
      </c>
      <c r="U136" s="289" t="str">
        <f t="shared" si="5"/>
        <v/>
      </c>
      <c r="V136" s="307" t="str">
        <f t="shared" si="3"/>
        <v/>
      </c>
      <c r="W136" s="288" t="str" cm="1">
        <f t="array" ref="W136">IF(OR($C136="",$H136=""),"",(INDEX('Emission factors'!$K$3:$V$381,MATCH('Buildings &amp; stationary assets'!$C136&amp;$D136,'Emission factors'!$J$3:$J$381&amp;'Emission factors'!$K$3:$K$381,0),MATCH(OthergasesTable[[#Headers],[Outside of scopes]],'Emission factors'!$K$2:$V$2,0)))*$J136)</f>
        <v/>
      </c>
      <c r="Y136" s="76">
        <f t="shared" si="4"/>
        <v>0</v>
      </c>
      <c r="Z136" s="1">
        <f t="shared" si="6"/>
        <v>0</v>
      </c>
    </row>
    <row r="137" spans="2:26" ht="15" outlineLevel="1" thickBot="1" x14ac:dyDescent="0.4">
      <c r="B137" s="474"/>
      <c r="C137" s="421" t="s">
        <v>1018</v>
      </c>
      <c r="D137" s="151"/>
      <c r="E137" s="100"/>
      <c r="F137" s="151"/>
      <c r="G137" s="157" t="str">
        <f>IF(F137="","",INDEX(Lists!$BA$4:$BC$39,MATCH($C137,Lists!$AZ$4:$AZ$39,0),MATCH(F137,Lists!$BA$3:$BC$3,0)))</f>
        <v/>
      </c>
      <c r="H137" s="383"/>
      <c r="I137" s="151"/>
      <c r="J137" s="154" t="str" cm="1">
        <f t="array" ref="J137">IF(OR($D137="",$C137="",$H137="",$I137=""),"",IF(I137=K137,H137,(INDEX('Emission factors'!$K$3:$V$381,MATCH(C137&amp;D137,'Emission factors'!$J$3:$J$381&amp;'Emission factors'!$K$3:$K$381,0),MATCH(OthergasesTable[[#Headers],[Converted data]],'Emission factors'!$K$2:$V$2,0)))*H137))</f>
        <v/>
      </c>
      <c r="K137" s="192" t="str">
        <f>IF(C137="","",INDEX('Emission factors'!$J$3:$V$381,MATCH('Buildings &amp; stationary assets'!$C137,'Emission factors'!$J$3:$J$381,0),MATCH(OthergasesTable[[#Headers],[Standard units]],'Emission factors'!$J$2:$V$2,0)))</f>
        <v>kg</v>
      </c>
      <c r="L137" s="154" t="str" cm="1">
        <f t="array" ref="L137">IF(OR(D137="",H137=""),"",INDEX('Emission factors'!$K$3:$V$381,MATCH('Buildings &amp; stationary assets'!$C137&amp;$D137,'Emission factors'!$J$3:$J$381&amp;'Emission factors'!$K$3:$K$381,0),MATCH(OthergasesTable[[#Headers],[Total EF (kgCO2e/unit)]],'Emission factors'!$K$2:$V$2,0)))</f>
        <v/>
      </c>
      <c r="M137" s="287" t="str">
        <f>IF(OR(J137="",L137=""),"",SUM(OthergasesTable[[#This Row],[Direct]:[Indirect WTT]]))</f>
        <v/>
      </c>
      <c r="N137" s="150"/>
      <c r="O137" s="151"/>
      <c r="P137" s="288" t="str" cm="1">
        <f t="array" ref="P137">IF(OR($C137="",$H137=""),"",(INDEX('Emission factors'!$K$3:$V$381,MATCH('Buildings &amp; stationary assets'!$C137&amp;$D137,'Emission factors'!$J$3:$J$381&amp;'Emission factors'!$K$3:$K$381,0),MATCH(OthergasesTable[[#Headers],[Direct]],'Emission factors'!$K$2:$V$2,0)))*$J137)</f>
        <v/>
      </c>
      <c r="Q137" s="288" t="str" cm="1">
        <f t="array" ref="Q137">IF(OR($C137="",$H137=""),"",(INDEX('Emission factors'!$K$3:$V$381,MATCH('Buildings &amp; stationary assets'!$C137&amp;$D137,'Emission factors'!$J$3:$J$381&amp;'Emission factors'!$K$3:$K$381,0),MATCH(OthergasesTable[[#Headers],[Indirect generation]],'Emission factors'!$K$2:$V$2,0)))*$J137)</f>
        <v/>
      </c>
      <c r="R137" s="288" t="str" cm="1">
        <f t="array" ref="R137">IF(OR($C137="",$H137=""),"",(INDEX('Emission factors'!$K$3:$V$381,MATCH('Buildings &amp; stationary assets'!$C137&amp;$D137,'Emission factors'!$J$3:$J$381&amp;'Emission factors'!$K$3:$K$381,0),MATCH(OthergasesTable[[#Headers],[Indirect service]],'Emission factors'!$K$2:$V$2,0)))*$J137)</f>
        <v/>
      </c>
      <c r="S137" s="288" t="str" cm="1">
        <f t="array" ref="S137">IF(OR($C137="",$H137=""),"",(INDEX('Emission factors'!$K$3:$V$381,MATCH('Buildings &amp; stationary assets'!$C137&amp;$D137,'Emission factors'!$J$3:$J$381&amp;'Emission factors'!$K$3:$K$381,0),MATCH(OthergasesTable[[#Headers],[Indirect T&amp;D]],'Emission factors'!$K$2:$V$2,0)))*$J137)</f>
        <v/>
      </c>
      <c r="T137" s="288" t="str" cm="1">
        <f t="array" ref="T137">IF(OR($C137="",$H137=""),"",(INDEX('Emission factors'!$K$3:$V$381,MATCH('Buildings &amp; stationary assets'!$C137&amp;$D137,'Emission factors'!$J$3:$J$381&amp;'Emission factors'!$K$3:$K$381,0),MATCH(OthergasesTable[[#Headers],[Indirect WTT]],'Emission factors'!$K$2:$V$2,0)))*$J137)</f>
        <v/>
      </c>
      <c r="U137" s="289" t="str">
        <f t="shared" si="5"/>
        <v/>
      </c>
      <c r="V137" s="307" t="str">
        <f t="shared" si="3"/>
        <v/>
      </c>
      <c r="W137" s="288" t="str" cm="1">
        <f t="array" ref="W137">IF(OR($C137="",$H137=""),"",(INDEX('Emission factors'!$K$3:$V$381,MATCH('Buildings &amp; stationary assets'!$C137&amp;$D137,'Emission factors'!$J$3:$J$381&amp;'Emission factors'!$K$3:$K$381,0),MATCH(OthergasesTable[[#Headers],[Outside of scopes]],'Emission factors'!$K$2:$V$2,0)))*$J137)</f>
        <v/>
      </c>
      <c r="Y137" s="76">
        <f t="shared" si="4"/>
        <v>0</v>
      </c>
      <c r="Z137" s="1">
        <f t="shared" si="6"/>
        <v>0</v>
      </c>
    </row>
    <row r="138" spans="2:26" ht="15" outlineLevel="1" thickBot="1" x14ac:dyDescent="0.4">
      <c r="B138" s="474"/>
      <c r="C138" s="421" t="s">
        <v>1018</v>
      </c>
      <c r="D138" s="151"/>
      <c r="E138" s="100"/>
      <c r="F138" s="151"/>
      <c r="G138" s="157" t="str">
        <f>IF(F138="","",INDEX(Lists!$BA$4:$BC$39,MATCH($C138,Lists!$AZ$4:$AZ$39,0),MATCH(F138,Lists!$BA$3:$BC$3,0)))</f>
        <v/>
      </c>
      <c r="H138" s="383"/>
      <c r="I138" s="151"/>
      <c r="J138" s="154" t="str" cm="1">
        <f t="array" ref="J138">IF(OR($D138="",$C138="",$H138="",$I138=""),"",IF(I138=K138,H138,(INDEX('Emission factors'!$K$3:$V$381,MATCH(C138&amp;D138,'Emission factors'!$J$3:$J$381&amp;'Emission factors'!$K$3:$K$381,0),MATCH(OthergasesTable[[#Headers],[Converted data]],'Emission factors'!$K$2:$V$2,0)))*H138))</f>
        <v/>
      </c>
      <c r="K138" s="192" t="str">
        <f>IF(C138="","",INDEX('Emission factors'!$J$3:$V$381,MATCH('Buildings &amp; stationary assets'!$C138,'Emission factors'!$J$3:$J$381,0),MATCH(OthergasesTable[[#Headers],[Standard units]],'Emission factors'!$J$2:$V$2,0)))</f>
        <v>kg</v>
      </c>
      <c r="L138" s="154" t="str" cm="1">
        <f t="array" ref="L138">IF(OR(D138="",H138=""),"",INDEX('Emission factors'!$K$3:$V$381,MATCH('Buildings &amp; stationary assets'!$C138&amp;$D138,'Emission factors'!$J$3:$J$381&amp;'Emission factors'!$K$3:$K$381,0),MATCH(OthergasesTable[[#Headers],[Total EF (kgCO2e/unit)]],'Emission factors'!$K$2:$V$2,0)))</f>
        <v/>
      </c>
      <c r="M138" s="287" t="str">
        <f>IF(OR(J138="",L138=""),"",SUM(OthergasesTable[[#This Row],[Direct]:[Indirect WTT]]))</f>
        <v/>
      </c>
      <c r="N138" s="150"/>
      <c r="O138" s="151"/>
      <c r="P138" s="288" t="str" cm="1">
        <f t="array" ref="P138">IF(OR($C138="",$H138=""),"",(INDEX('Emission factors'!$K$3:$V$381,MATCH('Buildings &amp; stationary assets'!$C138&amp;$D138,'Emission factors'!$J$3:$J$381&amp;'Emission factors'!$K$3:$K$381,0),MATCH(OthergasesTable[[#Headers],[Direct]],'Emission factors'!$K$2:$V$2,0)))*$J138)</f>
        <v/>
      </c>
      <c r="Q138" s="288" t="str" cm="1">
        <f t="array" ref="Q138">IF(OR($C138="",$H138=""),"",(INDEX('Emission factors'!$K$3:$V$381,MATCH('Buildings &amp; stationary assets'!$C138&amp;$D138,'Emission factors'!$J$3:$J$381&amp;'Emission factors'!$K$3:$K$381,0),MATCH(OthergasesTable[[#Headers],[Indirect generation]],'Emission factors'!$K$2:$V$2,0)))*$J138)</f>
        <v/>
      </c>
      <c r="R138" s="288" t="str" cm="1">
        <f t="array" ref="R138">IF(OR($C138="",$H138=""),"",(INDEX('Emission factors'!$K$3:$V$381,MATCH('Buildings &amp; stationary assets'!$C138&amp;$D138,'Emission factors'!$J$3:$J$381&amp;'Emission factors'!$K$3:$K$381,0),MATCH(OthergasesTable[[#Headers],[Indirect service]],'Emission factors'!$K$2:$V$2,0)))*$J138)</f>
        <v/>
      </c>
      <c r="S138" s="288" t="str" cm="1">
        <f t="array" ref="S138">IF(OR($C138="",$H138=""),"",(INDEX('Emission factors'!$K$3:$V$381,MATCH('Buildings &amp; stationary assets'!$C138&amp;$D138,'Emission factors'!$J$3:$J$381&amp;'Emission factors'!$K$3:$K$381,0),MATCH(OthergasesTable[[#Headers],[Indirect T&amp;D]],'Emission factors'!$K$2:$V$2,0)))*$J138)</f>
        <v/>
      </c>
      <c r="T138" s="288" t="str" cm="1">
        <f t="array" ref="T138">IF(OR($C138="",$H138=""),"",(INDEX('Emission factors'!$K$3:$V$381,MATCH('Buildings &amp; stationary assets'!$C138&amp;$D138,'Emission factors'!$J$3:$J$381&amp;'Emission factors'!$K$3:$K$381,0),MATCH(OthergasesTable[[#Headers],[Indirect WTT]],'Emission factors'!$K$2:$V$2,0)))*$J138)</f>
        <v/>
      </c>
      <c r="U138" s="289" t="str">
        <f t="shared" si="5"/>
        <v/>
      </c>
      <c r="V138" s="307" t="str">
        <f t="shared" si="3"/>
        <v/>
      </c>
      <c r="W138" s="288" t="str" cm="1">
        <f t="array" ref="W138">IF(OR($C138="",$H138=""),"",(INDEX('Emission factors'!$K$3:$V$381,MATCH('Buildings &amp; stationary assets'!$C138&amp;$D138,'Emission factors'!$J$3:$J$381&amp;'Emission factors'!$K$3:$K$381,0),MATCH(OthergasesTable[[#Headers],[Outside of scopes]],'Emission factors'!$K$2:$V$2,0)))*$J138)</f>
        <v/>
      </c>
      <c r="Y138" s="76">
        <f t="shared" si="4"/>
        <v>0</v>
      </c>
      <c r="Z138" s="1">
        <f t="shared" si="6"/>
        <v>0</v>
      </c>
    </row>
    <row r="139" spans="2:26" ht="15" outlineLevel="1" thickBot="1" x14ac:dyDescent="0.4">
      <c r="B139" s="474"/>
      <c r="C139" s="421" t="s">
        <v>1018</v>
      </c>
      <c r="D139" s="151"/>
      <c r="E139" s="100"/>
      <c r="F139" s="151"/>
      <c r="G139" s="157" t="str">
        <f>IF(F139="","",INDEX(Lists!$BA$4:$BC$39,MATCH($C139,Lists!$AZ$4:$AZ$39,0),MATCH(F139,Lists!$BA$3:$BC$3,0)))</f>
        <v/>
      </c>
      <c r="H139" s="383"/>
      <c r="I139" s="151"/>
      <c r="J139" s="154" t="str" cm="1">
        <f t="array" ref="J139">IF(OR($D139="",$C139="",$H139="",$I139=""),"",IF(I139=K139,H139,(INDEX('Emission factors'!$K$3:$V$381,MATCH(C139&amp;D139,'Emission factors'!$J$3:$J$381&amp;'Emission factors'!$K$3:$K$381,0),MATCH(OthergasesTable[[#Headers],[Converted data]],'Emission factors'!$K$2:$V$2,0)))*H139))</f>
        <v/>
      </c>
      <c r="K139" s="192" t="str">
        <f>IF(C139="","",INDEX('Emission factors'!$J$3:$V$381,MATCH('Buildings &amp; stationary assets'!$C139,'Emission factors'!$J$3:$J$381,0),MATCH(OthergasesTable[[#Headers],[Standard units]],'Emission factors'!$J$2:$V$2,0)))</f>
        <v>kg</v>
      </c>
      <c r="L139" s="154" t="str" cm="1">
        <f t="array" ref="L139">IF(OR(D139="",H139=""),"",INDEX('Emission factors'!$K$3:$V$381,MATCH('Buildings &amp; stationary assets'!$C139&amp;$D139,'Emission factors'!$J$3:$J$381&amp;'Emission factors'!$K$3:$K$381,0),MATCH(OthergasesTable[[#Headers],[Total EF (kgCO2e/unit)]],'Emission factors'!$K$2:$V$2,0)))</f>
        <v/>
      </c>
      <c r="M139" s="287" t="str">
        <f>IF(OR(J139="",L139=""),"",SUM(OthergasesTable[[#This Row],[Direct]:[Indirect WTT]]))</f>
        <v/>
      </c>
      <c r="N139" s="150"/>
      <c r="O139" s="151"/>
      <c r="P139" s="288" t="str" cm="1">
        <f t="array" ref="P139">IF(OR($C139="",$H139=""),"",(INDEX('Emission factors'!$K$3:$V$381,MATCH('Buildings &amp; stationary assets'!$C139&amp;$D139,'Emission factors'!$J$3:$J$381&amp;'Emission factors'!$K$3:$K$381,0),MATCH(OthergasesTable[[#Headers],[Direct]],'Emission factors'!$K$2:$V$2,0)))*$J139)</f>
        <v/>
      </c>
      <c r="Q139" s="288" t="str" cm="1">
        <f t="array" ref="Q139">IF(OR($C139="",$H139=""),"",(INDEX('Emission factors'!$K$3:$V$381,MATCH('Buildings &amp; stationary assets'!$C139&amp;$D139,'Emission factors'!$J$3:$J$381&amp;'Emission factors'!$K$3:$K$381,0),MATCH(OthergasesTable[[#Headers],[Indirect generation]],'Emission factors'!$K$2:$V$2,0)))*$J139)</f>
        <v/>
      </c>
      <c r="R139" s="288" t="str" cm="1">
        <f t="array" ref="R139">IF(OR($C139="",$H139=""),"",(INDEX('Emission factors'!$K$3:$V$381,MATCH('Buildings &amp; stationary assets'!$C139&amp;$D139,'Emission factors'!$J$3:$J$381&amp;'Emission factors'!$K$3:$K$381,0),MATCH(OthergasesTable[[#Headers],[Indirect service]],'Emission factors'!$K$2:$V$2,0)))*$J139)</f>
        <v/>
      </c>
      <c r="S139" s="288" t="str" cm="1">
        <f t="array" ref="S139">IF(OR($C139="",$H139=""),"",(INDEX('Emission factors'!$K$3:$V$381,MATCH('Buildings &amp; stationary assets'!$C139&amp;$D139,'Emission factors'!$J$3:$J$381&amp;'Emission factors'!$K$3:$K$381,0),MATCH(OthergasesTable[[#Headers],[Indirect T&amp;D]],'Emission factors'!$K$2:$V$2,0)))*$J139)</f>
        <v/>
      </c>
      <c r="T139" s="288" t="str" cm="1">
        <f t="array" ref="T139">IF(OR($C139="",$H139=""),"",(INDEX('Emission factors'!$K$3:$V$381,MATCH('Buildings &amp; stationary assets'!$C139&amp;$D139,'Emission factors'!$J$3:$J$381&amp;'Emission factors'!$K$3:$K$381,0),MATCH(OthergasesTable[[#Headers],[Indirect WTT]],'Emission factors'!$K$2:$V$2,0)))*$J139)</f>
        <v/>
      </c>
      <c r="U139" s="289" t="str">
        <f t="shared" si="5"/>
        <v/>
      </c>
      <c r="V139" s="307" t="str">
        <f t="shared" si="3"/>
        <v/>
      </c>
      <c r="W139" s="288" t="str" cm="1">
        <f t="array" ref="W139">IF(OR($C139="",$H139=""),"",(INDEX('Emission factors'!$K$3:$V$381,MATCH('Buildings &amp; stationary assets'!$C139&amp;$D139,'Emission factors'!$J$3:$J$381&amp;'Emission factors'!$K$3:$K$381,0),MATCH(OthergasesTable[[#Headers],[Outside of scopes]],'Emission factors'!$K$2:$V$2,0)))*$J139)</f>
        <v/>
      </c>
      <c r="Y139" s="76">
        <f t="shared" si="4"/>
        <v>0</v>
      </c>
      <c r="Z139" s="1">
        <f t="shared" si="6"/>
        <v>0</v>
      </c>
    </row>
    <row r="140" spans="2:26" ht="15" outlineLevel="1" thickBot="1" x14ac:dyDescent="0.4">
      <c r="B140" s="474"/>
      <c r="C140" s="421" t="s">
        <v>1018</v>
      </c>
      <c r="D140" s="151"/>
      <c r="E140" s="100"/>
      <c r="F140" s="151"/>
      <c r="G140" s="157" t="str">
        <f>IF(F140="","",INDEX(Lists!$BA$4:$BC$39,MATCH($C140,Lists!$AZ$4:$AZ$39,0),MATCH(F140,Lists!$BA$3:$BC$3,0)))</f>
        <v/>
      </c>
      <c r="H140" s="383"/>
      <c r="I140" s="151"/>
      <c r="J140" s="154" t="str" cm="1">
        <f t="array" ref="J140">IF(OR($D140="",$C140="",$H140="",$I140=""),"",IF(I140=K140,H140,(INDEX('Emission factors'!$K$3:$V$381,MATCH(C140&amp;D140,'Emission factors'!$J$3:$J$381&amp;'Emission factors'!$K$3:$K$381,0),MATCH(OthergasesTable[[#Headers],[Converted data]],'Emission factors'!$K$2:$V$2,0)))*H140))</f>
        <v/>
      </c>
      <c r="K140" s="192" t="str">
        <f>IF(C140="","",INDEX('Emission factors'!$J$3:$V$381,MATCH('Buildings &amp; stationary assets'!$C140,'Emission factors'!$J$3:$J$381,0),MATCH(OthergasesTable[[#Headers],[Standard units]],'Emission factors'!$J$2:$V$2,0)))</f>
        <v>kg</v>
      </c>
      <c r="L140" s="154" t="str" cm="1">
        <f t="array" ref="L140">IF(OR(D140="",H140=""),"",INDEX('Emission factors'!$K$3:$V$381,MATCH('Buildings &amp; stationary assets'!$C140&amp;$D140,'Emission factors'!$J$3:$J$381&amp;'Emission factors'!$K$3:$K$381,0),MATCH(OthergasesTable[[#Headers],[Total EF (kgCO2e/unit)]],'Emission factors'!$K$2:$V$2,0)))</f>
        <v/>
      </c>
      <c r="M140" s="287" t="str">
        <f>IF(OR(J140="",L140=""),"",SUM(OthergasesTable[[#This Row],[Direct]:[Indirect WTT]]))</f>
        <v/>
      </c>
      <c r="N140" s="150"/>
      <c r="O140" s="151"/>
      <c r="P140" s="288" t="str" cm="1">
        <f t="array" ref="P140">IF(OR($C140="",$H140=""),"",(INDEX('Emission factors'!$K$3:$V$381,MATCH('Buildings &amp; stationary assets'!$C140&amp;$D140,'Emission factors'!$J$3:$J$381&amp;'Emission factors'!$K$3:$K$381,0),MATCH(OthergasesTable[[#Headers],[Direct]],'Emission factors'!$K$2:$V$2,0)))*$J140)</f>
        <v/>
      </c>
      <c r="Q140" s="288" t="str" cm="1">
        <f t="array" ref="Q140">IF(OR($C140="",$H140=""),"",(INDEX('Emission factors'!$K$3:$V$381,MATCH('Buildings &amp; stationary assets'!$C140&amp;$D140,'Emission factors'!$J$3:$J$381&amp;'Emission factors'!$K$3:$K$381,0),MATCH(OthergasesTable[[#Headers],[Indirect generation]],'Emission factors'!$K$2:$V$2,0)))*$J140)</f>
        <v/>
      </c>
      <c r="R140" s="288" t="str" cm="1">
        <f t="array" ref="R140">IF(OR($C140="",$H140=""),"",(INDEX('Emission factors'!$K$3:$V$381,MATCH('Buildings &amp; stationary assets'!$C140&amp;$D140,'Emission factors'!$J$3:$J$381&amp;'Emission factors'!$K$3:$K$381,0),MATCH(OthergasesTable[[#Headers],[Indirect service]],'Emission factors'!$K$2:$V$2,0)))*$J140)</f>
        <v/>
      </c>
      <c r="S140" s="288" t="str" cm="1">
        <f t="array" ref="S140">IF(OR($C140="",$H140=""),"",(INDEX('Emission factors'!$K$3:$V$381,MATCH('Buildings &amp; stationary assets'!$C140&amp;$D140,'Emission factors'!$J$3:$J$381&amp;'Emission factors'!$K$3:$K$381,0),MATCH(OthergasesTable[[#Headers],[Indirect T&amp;D]],'Emission factors'!$K$2:$V$2,0)))*$J140)</f>
        <v/>
      </c>
      <c r="T140" s="288" t="str" cm="1">
        <f t="array" ref="T140">IF(OR($C140="",$H140=""),"",(INDEX('Emission factors'!$K$3:$V$381,MATCH('Buildings &amp; stationary assets'!$C140&amp;$D140,'Emission factors'!$J$3:$J$381&amp;'Emission factors'!$K$3:$K$381,0),MATCH(OthergasesTable[[#Headers],[Indirect WTT]],'Emission factors'!$K$2:$V$2,0)))*$J140)</f>
        <v/>
      </c>
      <c r="U140" s="289" t="str">
        <f t="shared" si="5"/>
        <v/>
      </c>
      <c r="V140" s="307" t="str">
        <f t="shared" si="3"/>
        <v/>
      </c>
      <c r="W140" s="288" t="str" cm="1">
        <f t="array" ref="W140">IF(OR($C140="",$H140=""),"",(INDEX('Emission factors'!$K$3:$V$381,MATCH('Buildings &amp; stationary assets'!$C140&amp;$D140,'Emission factors'!$J$3:$J$381&amp;'Emission factors'!$K$3:$K$381,0),MATCH(OthergasesTable[[#Headers],[Outside of scopes]],'Emission factors'!$K$2:$V$2,0)))*$J140)</f>
        <v/>
      </c>
      <c r="Y140" s="76">
        <f t="shared" si="4"/>
        <v>0</v>
      </c>
      <c r="Z140" s="1">
        <f t="shared" si="6"/>
        <v>0</v>
      </c>
    </row>
    <row r="141" spans="2:26" ht="15" outlineLevel="1" thickBot="1" x14ac:dyDescent="0.4">
      <c r="B141" s="474"/>
      <c r="C141" s="421" t="s">
        <v>1018</v>
      </c>
      <c r="D141" s="151"/>
      <c r="E141" s="100"/>
      <c r="F141" s="151"/>
      <c r="G141" s="157" t="str">
        <f>IF(F141="","",INDEX(Lists!$BA$4:$BC$39,MATCH($C141,Lists!$AZ$4:$AZ$39,0),MATCH(F141,Lists!$BA$3:$BC$3,0)))</f>
        <v/>
      </c>
      <c r="H141" s="383"/>
      <c r="I141" s="151"/>
      <c r="J141" s="154" t="str" cm="1">
        <f t="array" ref="J141">IF(OR($D141="",$C141="",$H141="",$I141=""),"",IF(I141=K141,H141,(INDEX('Emission factors'!$K$3:$V$381,MATCH(C141&amp;D141,'Emission factors'!$J$3:$J$381&amp;'Emission factors'!$K$3:$K$381,0),MATCH(OthergasesTable[[#Headers],[Converted data]],'Emission factors'!$K$2:$V$2,0)))*H141))</f>
        <v/>
      </c>
      <c r="K141" s="192" t="str">
        <f>IF(C141="","",INDEX('Emission factors'!$J$3:$V$381,MATCH('Buildings &amp; stationary assets'!$C141,'Emission factors'!$J$3:$J$381,0),MATCH(OthergasesTable[[#Headers],[Standard units]],'Emission factors'!$J$2:$V$2,0)))</f>
        <v>kg</v>
      </c>
      <c r="L141" s="154" t="str" cm="1">
        <f t="array" ref="L141">IF(OR(D141="",H141=""),"",INDEX('Emission factors'!$K$3:$V$381,MATCH('Buildings &amp; stationary assets'!$C141&amp;$D141,'Emission factors'!$J$3:$J$381&amp;'Emission factors'!$K$3:$K$381,0),MATCH(OthergasesTable[[#Headers],[Total EF (kgCO2e/unit)]],'Emission factors'!$K$2:$V$2,0)))</f>
        <v/>
      </c>
      <c r="M141" s="287" t="str">
        <f>IF(OR(J141="",L141=""),"",SUM(OthergasesTable[[#This Row],[Direct]:[Indirect WTT]]))</f>
        <v/>
      </c>
      <c r="N141" s="150"/>
      <c r="O141" s="151"/>
      <c r="P141" s="288" t="str" cm="1">
        <f t="array" ref="P141">IF(OR($C141="",$H141=""),"",(INDEX('Emission factors'!$K$3:$V$381,MATCH('Buildings &amp; stationary assets'!$C141&amp;$D141,'Emission factors'!$J$3:$J$381&amp;'Emission factors'!$K$3:$K$381,0),MATCH(OthergasesTable[[#Headers],[Direct]],'Emission factors'!$K$2:$V$2,0)))*$J141)</f>
        <v/>
      </c>
      <c r="Q141" s="288" t="str" cm="1">
        <f t="array" ref="Q141">IF(OR($C141="",$H141=""),"",(INDEX('Emission factors'!$K$3:$V$381,MATCH('Buildings &amp; stationary assets'!$C141&amp;$D141,'Emission factors'!$J$3:$J$381&amp;'Emission factors'!$K$3:$K$381,0),MATCH(OthergasesTable[[#Headers],[Indirect generation]],'Emission factors'!$K$2:$V$2,0)))*$J141)</f>
        <v/>
      </c>
      <c r="R141" s="288" t="str" cm="1">
        <f t="array" ref="R141">IF(OR($C141="",$H141=""),"",(INDEX('Emission factors'!$K$3:$V$381,MATCH('Buildings &amp; stationary assets'!$C141&amp;$D141,'Emission factors'!$J$3:$J$381&amp;'Emission factors'!$K$3:$K$381,0),MATCH(OthergasesTable[[#Headers],[Indirect service]],'Emission factors'!$K$2:$V$2,0)))*$J141)</f>
        <v/>
      </c>
      <c r="S141" s="288" t="str" cm="1">
        <f t="array" ref="S141">IF(OR($C141="",$H141=""),"",(INDEX('Emission factors'!$K$3:$V$381,MATCH('Buildings &amp; stationary assets'!$C141&amp;$D141,'Emission factors'!$J$3:$J$381&amp;'Emission factors'!$K$3:$K$381,0),MATCH(OthergasesTable[[#Headers],[Indirect T&amp;D]],'Emission factors'!$K$2:$V$2,0)))*$J141)</f>
        <v/>
      </c>
      <c r="T141" s="288" t="str" cm="1">
        <f t="array" ref="T141">IF(OR($C141="",$H141=""),"",(INDEX('Emission factors'!$K$3:$V$381,MATCH('Buildings &amp; stationary assets'!$C141&amp;$D141,'Emission factors'!$J$3:$J$381&amp;'Emission factors'!$K$3:$K$381,0),MATCH(OthergasesTable[[#Headers],[Indirect WTT]],'Emission factors'!$K$2:$V$2,0)))*$J141)</f>
        <v/>
      </c>
      <c r="U141" s="289" t="str">
        <f t="shared" si="5"/>
        <v/>
      </c>
      <c r="V141" s="307" t="str">
        <f t="shared" si="3"/>
        <v/>
      </c>
      <c r="W141" s="288" t="str" cm="1">
        <f t="array" ref="W141">IF(OR($C141="",$H141=""),"",(INDEX('Emission factors'!$K$3:$V$381,MATCH('Buildings &amp; stationary assets'!$C141&amp;$D141,'Emission factors'!$J$3:$J$381&amp;'Emission factors'!$K$3:$K$381,0),MATCH(OthergasesTable[[#Headers],[Outside of scopes]],'Emission factors'!$K$2:$V$2,0)))*$J141)</f>
        <v/>
      </c>
      <c r="Y141" s="76">
        <f t="shared" si="4"/>
        <v>0</v>
      </c>
      <c r="Z141" s="1">
        <f t="shared" si="6"/>
        <v>0</v>
      </c>
    </row>
    <row r="142" spans="2:26" ht="15" outlineLevel="1" thickBot="1" x14ac:dyDescent="0.4">
      <c r="B142" s="474"/>
      <c r="C142" s="421" t="s">
        <v>1018</v>
      </c>
      <c r="D142" s="151"/>
      <c r="E142" s="100"/>
      <c r="F142" s="151"/>
      <c r="G142" s="157" t="str">
        <f>IF(F142="","",INDEX(Lists!$BA$4:$BC$39,MATCH($C142,Lists!$AZ$4:$AZ$39,0),MATCH(F142,Lists!$BA$3:$BC$3,0)))</f>
        <v/>
      </c>
      <c r="H142" s="383"/>
      <c r="I142" s="151"/>
      <c r="J142" s="154" t="str" cm="1">
        <f t="array" ref="J142">IF(OR($D142="",$C142="",$H142="",$I142=""),"",IF(I142=K142,H142,(INDEX('Emission factors'!$K$3:$V$381,MATCH(C142&amp;D142,'Emission factors'!$J$3:$J$381&amp;'Emission factors'!$K$3:$K$381,0),MATCH(OthergasesTable[[#Headers],[Converted data]],'Emission factors'!$K$2:$V$2,0)))*H142))</f>
        <v/>
      </c>
      <c r="K142" s="192" t="str">
        <f>IF(C142="","",INDEX('Emission factors'!$J$3:$V$381,MATCH('Buildings &amp; stationary assets'!$C142,'Emission factors'!$J$3:$J$381,0),MATCH(OthergasesTable[[#Headers],[Standard units]],'Emission factors'!$J$2:$V$2,0)))</f>
        <v>kg</v>
      </c>
      <c r="L142" s="154" t="str" cm="1">
        <f t="array" ref="L142">IF(OR(D142="",H142=""),"",INDEX('Emission factors'!$K$3:$V$381,MATCH('Buildings &amp; stationary assets'!$C142&amp;$D142,'Emission factors'!$J$3:$J$381&amp;'Emission factors'!$K$3:$K$381,0),MATCH(OthergasesTable[[#Headers],[Total EF (kgCO2e/unit)]],'Emission factors'!$K$2:$V$2,0)))</f>
        <v/>
      </c>
      <c r="M142" s="287" t="str">
        <f>IF(OR(J142="",L142=""),"",SUM(OthergasesTable[[#This Row],[Direct]:[Indirect WTT]]))</f>
        <v/>
      </c>
      <c r="N142" s="150"/>
      <c r="O142" s="151"/>
      <c r="P142" s="288" t="str" cm="1">
        <f t="array" ref="P142">IF(OR($C142="",$H142=""),"",(INDEX('Emission factors'!$K$3:$V$381,MATCH('Buildings &amp; stationary assets'!$C142&amp;$D142,'Emission factors'!$J$3:$J$381&amp;'Emission factors'!$K$3:$K$381,0),MATCH(OthergasesTable[[#Headers],[Direct]],'Emission factors'!$K$2:$V$2,0)))*$J142)</f>
        <v/>
      </c>
      <c r="Q142" s="288" t="str" cm="1">
        <f t="array" ref="Q142">IF(OR($C142="",$H142=""),"",(INDEX('Emission factors'!$K$3:$V$381,MATCH('Buildings &amp; stationary assets'!$C142&amp;$D142,'Emission factors'!$J$3:$J$381&amp;'Emission factors'!$K$3:$K$381,0),MATCH(OthergasesTable[[#Headers],[Indirect generation]],'Emission factors'!$K$2:$V$2,0)))*$J142)</f>
        <v/>
      </c>
      <c r="R142" s="288" t="str" cm="1">
        <f t="array" ref="R142">IF(OR($C142="",$H142=""),"",(INDEX('Emission factors'!$K$3:$V$381,MATCH('Buildings &amp; stationary assets'!$C142&amp;$D142,'Emission factors'!$J$3:$J$381&amp;'Emission factors'!$K$3:$K$381,0),MATCH(OthergasesTable[[#Headers],[Indirect service]],'Emission factors'!$K$2:$V$2,0)))*$J142)</f>
        <v/>
      </c>
      <c r="S142" s="288" t="str" cm="1">
        <f t="array" ref="S142">IF(OR($C142="",$H142=""),"",(INDEX('Emission factors'!$K$3:$V$381,MATCH('Buildings &amp; stationary assets'!$C142&amp;$D142,'Emission factors'!$J$3:$J$381&amp;'Emission factors'!$K$3:$K$381,0),MATCH(OthergasesTable[[#Headers],[Indirect T&amp;D]],'Emission factors'!$K$2:$V$2,0)))*$J142)</f>
        <v/>
      </c>
      <c r="T142" s="288" t="str" cm="1">
        <f t="array" ref="T142">IF(OR($C142="",$H142=""),"",(INDEX('Emission factors'!$K$3:$V$381,MATCH('Buildings &amp; stationary assets'!$C142&amp;$D142,'Emission factors'!$J$3:$J$381&amp;'Emission factors'!$K$3:$K$381,0),MATCH(OthergasesTable[[#Headers],[Indirect WTT]],'Emission factors'!$K$2:$V$2,0)))*$J142)</f>
        <v/>
      </c>
      <c r="U142" s="289" t="str">
        <f t="shared" si="5"/>
        <v/>
      </c>
      <c r="V142" s="307" t="str">
        <f t="shared" si="3"/>
        <v/>
      </c>
      <c r="W142" s="288" t="str" cm="1">
        <f t="array" ref="W142">IF(OR($C142="",$H142=""),"",(INDEX('Emission factors'!$K$3:$V$381,MATCH('Buildings &amp; stationary assets'!$C142&amp;$D142,'Emission factors'!$J$3:$J$381&amp;'Emission factors'!$K$3:$K$381,0),MATCH(OthergasesTable[[#Headers],[Outside of scopes]],'Emission factors'!$K$2:$V$2,0)))*$J142)</f>
        <v/>
      </c>
      <c r="Y142" s="76">
        <f t="shared" si="4"/>
        <v>0</v>
      </c>
      <c r="Z142" s="1">
        <f t="shared" si="6"/>
        <v>0</v>
      </c>
    </row>
    <row r="143" spans="2:26" ht="15" outlineLevel="1" thickBot="1" x14ac:dyDescent="0.4">
      <c r="B143" s="474"/>
      <c r="C143" s="421" t="s">
        <v>1018</v>
      </c>
      <c r="D143" s="151"/>
      <c r="E143" s="100"/>
      <c r="F143" s="151"/>
      <c r="G143" s="157" t="str">
        <f>IF(F143="","",INDEX(Lists!$BA$4:$BC$39,MATCH($C143,Lists!$AZ$4:$AZ$39,0),MATCH(F143,Lists!$BA$3:$BC$3,0)))</f>
        <v/>
      </c>
      <c r="H143" s="383"/>
      <c r="I143" s="151"/>
      <c r="J143" s="154" t="str" cm="1">
        <f t="array" ref="J143">IF(OR($D143="",$C143="",$H143="",$I143=""),"",IF(I143=K143,H143,(INDEX('Emission factors'!$K$3:$V$381,MATCH(C143&amp;D143,'Emission factors'!$J$3:$J$381&amp;'Emission factors'!$K$3:$K$381,0),MATCH(OthergasesTable[[#Headers],[Converted data]],'Emission factors'!$K$2:$V$2,0)))*H143))</f>
        <v/>
      </c>
      <c r="K143" s="192" t="str">
        <f>IF(C143="","",INDEX('Emission factors'!$J$3:$V$381,MATCH('Buildings &amp; stationary assets'!$C143,'Emission factors'!$J$3:$J$381,0),MATCH(OthergasesTable[[#Headers],[Standard units]],'Emission factors'!$J$2:$V$2,0)))</f>
        <v>kg</v>
      </c>
      <c r="L143" s="154" t="str" cm="1">
        <f t="array" ref="L143">IF(OR(D143="",H143=""),"",INDEX('Emission factors'!$K$3:$V$381,MATCH('Buildings &amp; stationary assets'!$C143&amp;$D143,'Emission factors'!$J$3:$J$381&amp;'Emission factors'!$K$3:$K$381,0),MATCH(OthergasesTable[[#Headers],[Total EF (kgCO2e/unit)]],'Emission factors'!$K$2:$V$2,0)))</f>
        <v/>
      </c>
      <c r="M143" s="287" t="str">
        <f>IF(OR(J143="",L143=""),"",SUM(OthergasesTable[[#This Row],[Direct]:[Indirect WTT]]))</f>
        <v/>
      </c>
      <c r="N143" s="150"/>
      <c r="O143" s="151"/>
      <c r="P143" s="288" t="str" cm="1">
        <f t="array" ref="P143">IF(OR($C143="",$H143=""),"",(INDEX('Emission factors'!$K$3:$V$381,MATCH('Buildings &amp; stationary assets'!$C143&amp;$D143,'Emission factors'!$J$3:$J$381&amp;'Emission factors'!$K$3:$K$381,0),MATCH(OthergasesTable[[#Headers],[Direct]],'Emission factors'!$K$2:$V$2,0)))*$J143)</f>
        <v/>
      </c>
      <c r="Q143" s="288" t="str" cm="1">
        <f t="array" ref="Q143">IF(OR($C143="",$H143=""),"",(INDEX('Emission factors'!$K$3:$V$381,MATCH('Buildings &amp; stationary assets'!$C143&amp;$D143,'Emission factors'!$J$3:$J$381&amp;'Emission factors'!$K$3:$K$381,0),MATCH(OthergasesTable[[#Headers],[Indirect generation]],'Emission factors'!$K$2:$V$2,0)))*$J143)</f>
        <v/>
      </c>
      <c r="R143" s="288" t="str" cm="1">
        <f t="array" ref="R143">IF(OR($C143="",$H143=""),"",(INDEX('Emission factors'!$K$3:$V$381,MATCH('Buildings &amp; stationary assets'!$C143&amp;$D143,'Emission factors'!$J$3:$J$381&amp;'Emission factors'!$K$3:$K$381,0),MATCH(OthergasesTable[[#Headers],[Indirect service]],'Emission factors'!$K$2:$V$2,0)))*$J143)</f>
        <v/>
      </c>
      <c r="S143" s="288" t="str" cm="1">
        <f t="array" ref="S143">IF(OR($C143="",$H143=""),"",(INDEX('Emission factors'!$K$3:$V$381,MATCH('Buildings &amp; stationary assets'!$C143&amp;$D143,'Emission factors'!$J$3:$J$381&amp;'Emission factors'!$K$3:$K$381,0),MATCH(OthergasesTable[[#Headers],[Indirect T&amp;D]],'Emission factors'!$K$2:$V$2,0)))*$J143)</f>
        <v/>
      </c>
      <c r="T143" s="288" t="str" cm="1">
        <f t="array" ref="T143">IF(OR($C143="",$H143=""),"",(INDEX('Emission factors'!$K$3:$V$381,MATCH('Buildings &amp; stationary assets'!$C143&amp;$D143,'Emission factors'!$J$3:$J$381&amp;'Emission factors'!$K$3:$K$381,0),MATCH(OthergasesTable[[#Headers],[Indirect WTT]],'Emission factors'!$K$2:$V$2,0)))*$J143)</f>
        <v/>
      </c>
      <c r="U143" s="289" t="str">
        <f t="shared" si="5"/>
        <v/>
      </c>
      <c r="V143" s="307" t="str">
        <f t="shared" si="3"/>
        <v/>
      </c>
      <c r="W143" s="288" t="str" cm="1">
        <f t="array" ref="W143">IF(OR($C143="",$H143=""),"",(INDEX('Emission factors'!$K$3:$V$381,MATCH('Buildings &amp; stationary assets'!$C143&amp;$D143,'Emission factors'!$J$3:$J$381&amp;'Emission factors'!$K$3:$K$381,0),MATCH(OthergasesTable[[#Headers],[Outside of scopes]],'Emission factors'!$K$2:$V$2,0)))*$J143)</f>
        <v/>
      </c>
      <c r="Y143" s="76">
        <f t="shared" si="4"/>
        <v>0</v>
      </c>
      <c r="Z143" s="1">
        <f t="shared" si="6"/>
        <v>0</v>
      </c>
    </row>
    <row r="144" spans="2:26" ht="15" outlineLevel="1" thickBot="1" x14ac:dyDescent="0.4">
      <c r="B144" s="474"/>
      <c r="C144" s="421" t="s">
        <v>1018</v>
      </c>
      <c r="D144" s="151"/>
      <c r="E144" s="100"/>
      <c r="F144" s="151"/>
      <c r="G144" s="157" t="str">
        <f>IF(F144="","",INDEX(Lists!$BA$4:$BC$39,MATCH($C144,Lists!$AZ$4:$AZ$39,0),MATCH(F144,Lists!$BA$3:$BC$3,0)))</f>
        <v/>
      </c>
      <c r="H144" s="383"/>
      <c r="I144" s="151"/>
      <c r="J144" s="154" t="str" cm="1">
        <f t="array" ref="J144">IF(OR($D144="",$C144="",$H144="",$I144=""),"",IF(I144=K144,H144,(INDEX('Emission factors'!$K$3:$V$381,MATCH(C144&amp;D144,'Emission factors'!$J$3:$J$381&amp;'Emission factors'!$K$3:$K$381,0),MATCH(OthergasesTable[[#Headers],[Converted data]],'Emission factors'!$K$2:$V$2,0)))*H144))</f>
        <v/>
      </c>
      <c r="K144" s="192" t="str">
        <f>IF(C144="","",INDEX('Emission factors'!$J$3:$V$381,MATCH('Buildings &amp; stationary assets'!$C144,'Emission factors'!$J$3:$J$381,0),MATCH(OthergasesTable[[#Headers],[Standard units]],'Emission factors'!$J$2:$V$2,0)))</f>
        <v>kg</v>
      </c>
      <c r="L144" s="154" t="str" cm="1">
        <f t="array" ref="L144">IF(OR(D144="",H144=""),"",INDEX('Emission factors'!$K$3:$V$381,MATCH('Buildings &amp; stationary assets'!$C144&amp;$D144,'Emission factors'!$J$3:$J$381&amp;'Emission factors'!$K$3:$K$381,0),MATCH(OthergasesTable[[#Headers],[Total EF (kgCO2e/unit)]],'Emission factors'!$K$2:$V$2,0)))</f>
        <v/>
      </c>
      <c r="M144" s="287" t="str">
        <f>IF(OR(J144="",L144=""),"",SUM(OthergasesTable[[#This Row],[Direct]:[Indirect WTT]]))</f>
        <v/>
      </c>
      <c r="N144" s="150"/>
      <c r="O144" s="151"/>
      <c r="P144" s="288" t="str" cm="1">
        <f t="array" ref="P144">IF(OR($C144="",$H144=""),"",(INDEX('Emission factors'!$K$3:$V$381,MATCH('Buildings &amp; stationary assets'!$C144&amp;$D144,'Emission factors'!$J$3:$J$381&amp;'Emission factors'!$K$3:$K$381,0),MATCH(OthergasesTable[[#Headers],[Direct]],'Emission factors'!$K$2:$V$2,0)))*$J144)</f>
        <v/>
      </c>
      <c r="Q144" s="288" t="str" cm="1">
        <f t="array" ref="Q144">IF(OR($C144="",$H144=""),"",(INDEX('Emission factors'!$K$3:$V$381,MATCH('Buildings &amp; stationary assets'!$C144&amp;$D144,'Emission factors'!$J$3:$J$381&amp;'Emission factors'!$K$3:$K$381,0),MATCH(OthergasesTable[[#Headers],[Indirect generation]],'Emission factors'!$K$2:$V$2,0)))*$J144)</f>
        <v/>
      </c>
      <c r="R144" s="288" t="str" cm="1">
        <f t="array" ref="R144">IF(OR($C144="",$H144=""),"",(INDEX('Emission factors'!$K$3:$V$381,MATCH('Buildings &amp; stationary assets'!$C144&amp;$D144,'Emission factors'!$J$3:$J$381&amp;'Emission factors'!$K$3:$K$381,0),MATCH(OthergasesTable[[#Headers],[Indirect service]],'Emission factors'!$K$2:$V$2,0)))*$J144)</f>
        <v/>
      </c>
      <c r="S144" s="288" t="str" cm="1">
        <f t="array" ref="S144">IF(OR($C144="",$H144=""),"",(INDEX('Emission factors'!$K$3:$V$381,MATCH('Buildings &amp; stationary assets'!$C144&amp;$D144,'Emission factors'!$J$3:$J$381&amp;'Emission factors'!$K$3:$K$381,0),MATCH(OthergasesTable[[#Headers],[Indirect T&amp;D]],'Emission factors'!$K$2:$V$2,0)))*$J144)</f>
        <v/>
      </c>
      <c r="T144" s="288" t="str" cm="1">
        <f t="array" ref="T144">IF(OR($C144="",$H144=""),"",(INDEX('Emission factors'!$K$3:$V$381,MATCH('Buildings &amp; stationary assets'!$C144&amp;$D144,'Emission factors'!$J$3:$J$381&amp;'Emission factors'!$K$3:$K$381,0),MATCH(OthergasesTable[[#Headers],[Indirect WTT]],'Emission factors'!$K$2:$V$2,0)))*$J144)</f>
        <v/>
      </c>
      <c r="U144" s="289" t="str">
        <f t="shared" si="5"/>
        <v/>
      </c>
      <c r="V144" s="307" t="str">
        <f t="shared" si="3"/>
        <v/>
      </c>
      <c r="W144" s="288" t="str" cm="1">
        <f t="array" ref="W144">IF(OR($C144="",$H144=""),"",(INDEX('Emission factors'!$K$3:$V$381,MATCH('Buildings &amp; stationary assets'!$C144&amp;$D144,'Emission factors'!$J$3:$J$381&amp;'Emission factors'!$K$3:$K$381,0),MATCH(OthergasesTable[[#Headers],[Outside of scopes]],'Emission factors'!$K$2:$V$2,0)))*$J144)</f>
        <v/>
      </c>
      <c r="Y144" s="76">
        <f t="shared" si="4"/>
        <v>0</v>
      </c>
      <c r="Z144" s="1">
        <f t="shared" si="6"/>
        <v>0</v>
      </c>
    </row>
    <row r="145" spans="1:26" ht="15" outlineLevel="1" thickBot="1" x14ac:dyDescent="0.4">
      <c r="B145" s="474"/>
      <c r="C145" s="421" t="s">
        <v>1018</v>
      </c>
      <c r="D145" s="151"/>
      <c r="E145" s="100"/>
      <c r="F145" s="151"/>
      <c r="G145" s="157" t="str">
        <f>IF(F145="","",INDEX(Lists!$BA$4:$BC$39,MATCH($C145,Lists!$AZ$4:$AZ$39,0),MATCH(F145,Lists!$BA$3:$BC$3,0)))</f>
        <v/>
      </c>
      <c r="H145" s="383"/>
      <c r="I145" s="151"/>
      <c r="J145" s="154" t="str" cm="1">
        <f t="array" ref="J145">IF(OR($D145="",$C145="",$H145="",$I145=""),"",IF(I145=K145,H145,(INDEX('Emission factors'!$K$3:$V$381,MATCH(C145&amp;D145,'Emission factors'!$J$3:$J$381&amp;'Emission factors'!$K$3:$K$381,0),MATCH(OthergasesTable[[#Headers],[Converted data]],'Emission factors'!$K$2:$V$2,0)))*H145))</f>
        <v/>
      </c>
      <c r="K145" s="192" t="str">
        <f>IF(C145="","",INDEX('Emission factors'!$J$3:$V$381,MATCH('Buildings &amp; stationary assets'!$C145,'Emission factors'!$J$3:$J$381,0),MATCH(OthergasesTable[[#Headers],[Standard units]],'Emission factors'!$J$2:$V$2,0)))</f>
        <v>kg</v>
      </c>
      <c r="L145" s="154" t="str" cm="1">
        <f t="array" ref="L145">IF(OR(D145="",H145=""),"",INDEX('Emission factors'!$K$3:$V$381,MATCH('Buildings &amp; stationary assets'!$C145&amp;$D145,'Emission factors'!$J$3:$J$381&amp;'Emission factors'!$K$3:$K$381,0),MATCH(OthergasesTable[[#Headers],[Total EF (kgCO2e/unit)]],'Emission factors'!$K$2:$V$2,0)))</f>
        <v/>
      </c>
      <c r="M145" s="287" t="str">
        <f>IF(OR(J145="",L145=""),"",SUM(OthergasesTable[[#This Row],[Direct]:[Indirect WTT]]))</f>
        <v/>
      </c>
      <c r="N145" s="150"/>
      <c r="O145" s="151"/>
      <c r="P145" s="288" t="str" cm="1">
        <f t="array" ref="P145">IF(OR($C145="",$H145=""),"",(INDEX('Emission factors'!$K$3:$V$381,MATCH('Buildings &amp; stationary assets'!$C145&amp;$D145,'Emission factors'!$J$3:$J$381&amp;'Emission factors'!$K$3:$K$381,0),MATCH(OthergasesTable[[#Headers],[Direct]],'Emission factors'!$K$2:$V$2,0)))*$J145)</f>
        <v/>
      </c>
      <c r="Q145" s="288" t="str" cm="1">
        <f t="array" ref="Q145">IF(OR($C145="",$H145=""),"",(INDEX('Emission factors'!$K$3:$V$381,MATCH('Buildings &amp; stationary assets'!$C145&amp;$D145,'Emission factors'!$J$3:$J$381&amp;'Emission factors'!$K$3:$K$381,0),MATCH(OthergasesTable[[#Headers],[Indirect generation]],'Emission factors'!$K$2:$V$2,0)))*$J145)</f>
        <v/>
      </c>
      <c r="R145" s="288" t="str" cm="1">
        <f t="array" ref="R145">IF(OR($C145="",$H145=""),"",(INDEX('Emission factors'!$K$3:$V$381,MATCH('Buildings &amp; stationary assets'!$C145&amp;$D145,'Emission factors'!$J$3:$J$381&amp;'Emission factors'!$K$3:$K$381,0),MATCH(OthergasesTable[[#Headers],[Indirect service]],'Emission factors'!$K$2:$V$2,0)))*$J145)</f>
        <v/>
      </c>
      <c r="S145" s="288" t="str" cm="1">
        <f t="array" ref="S145">IF(OR($C145="",$H145=""),"",(INDEX('Emission factors'!$K$3:$V$381,MATCH('Buildings &amp; stationary assets'!$C145&amp;$D145,'Emission factors'!$J$3:$J$381&amp;'Emission factors'!$K$3:$K$381,0),MATCH(OthergasesTable[[#Headers],[Indirect T&amp;D]],'Emission factors'!$K$2:$V$2,0)))*$J145)</f>
        <v/>
      </c>
      <c r="T145" s="288" t="str" cm="1">
        <f t="array" ref="T145">IF(OR($C145="",$H145=""),"",(INDEX('Emission factors'!$K$3:$V$381,MATCH('Buildings &amp; stationary assets'!$C145&amp;$D145,'Emission factors'!$J$3:$J$381&amp;'Emission factors'!$K$3:$K$381,0),MATCH(OthergasesTable[[#Headers],[Indirect WTT]],'Emission factors'!$K$2:$V$2,0)))*$J145)</f>
        <v/>
      </c>
      <c r="U145" s="289" t="str">
        <f t="shared" si="5"/>
        <v/>
      </c>
      <c r="V145" s="307" t="str">
        <f t="shared" si="3"/>
        <v/>
      </c>
      <c r="W145" s="288" t="str" cm="1">
        <f t="array" ref="W145">IF(OR($C145="",$H145=""),"",(INDEX('Emission factors'!$K$3:$V$381,MATCH('Buildings &amp; stationary assets'!$C145&amp;$D145,'Emission factors'!$J$3:$J$381&amp;'Emission factors'!$K$3:$K$381,0),MATCH(OthergasesTable[[#Headers],[Outside of scopes]],'Emission factors'!$K$2:$V$2,0)))*$J145)</f>
        <v/>
      </c>
      <c r="Y145" s="76">
        <f t="shared" si="4"/>
        <v>0</v>
      </c>
      <c r="Z145" s="1">
        <f t="shared" si="6"/>
        <v>0</v>
      </c>
    </row>
    <row r="146" spans="1:26" ht="15" outlineLevel="1" thickBot="1" x14ac:dyDescent="0.4">
      <c r="B146" s="475"/>
      <c r="C146" s="421" t="s">
        <v>1018</v>
      </c>
      <c r="D146" s="151"/>
      <c r="E146" s="100"/>
      <c r="F146" s="151"/>
      <c r="G146" s="157" t="str">
        <f>IF(F146="","",INDEX(Lists!$BA$4:$BC$39,MATCH($C146,Lists!$AZ$4:$AZ$39,0),MATCH(F146,Lists!$BA$3:$BC$3,0)))</f>
        <v/>
      </c>
      <c r="H146" s="383"/>
      <c r="I146" s="151"/>
      <c r="J146" s="154" t="str" cm="1">
        <f t="array" ref="J146">IF(OR($D146="",$C146="",$H146="",$I146=""),"",IF(I146=K146,H146,(INDEX('Emission factors'!$K$3:$V$381,MATCH(C146&amp;D146,'Emission factors'!$J$3:$J$381&amp;'Emission factors'!$K$3:$K$381,0),MATCH(OthergasesTable[[#Headers],[Converted data]],'Emission factors'!$K$2:$V$2,0)))*H146))</f>
        <v/>
      </c>
      <c r="K146" s="192" t="str">
        <f>IF(C146="","",INDEX('Emission factors'!$J$3:$V$381,MATCH('Buildings &amp; stationary assets'!$C146,'Emission factors'!$J$3:$J$381,0),MATCH(OthergasesTable[[#Headers],[Standard units]],'Emission factors'!$J$2:$V$2,0)))</f>
        <v>kg</v>
      </c>
      <c r="L146" s="154" t="str" cm="1">
        <f t="array" ref="L146">IF(OR(D146="",H146=""),"",INDEX('Emission factors'!$K$3:$V$381,MATCH('Buildings &amp; stationary assets'!$C146&amp;$D146,'Emission factors'!$J$3:$J$381&amp;'Emission factors'!$K$3:$K$381,0),MATCH(OthergasesTable[[#Headers],[Total EF (kgCO2e/unit)]],'Emission factors'!$K$2:$V$2,0)))</f>
        <v/>
      </c>
      <c r="M146" s="287" t="str">
        <f>IF(OR(J146="",L146=""),"",SUM(OthergasesTable[[#This Row],[Direct]:[Indirect WTT]]))</f>
        <v/>
      </c>
      <c r="N146" s="150"/>
      <c r="O146" s="151"/>
      <c r="P146" s="288" t="str" cm="1">
        <f t="array" ref="P146">IF(OR($C146="",$H146=""),"",(INDEX('Emission factors'!$K$3:$V$381,MATCH('Buildings &amp; stationary assets'!$C146&amp;$D146,'Emission factors'!$J$3:$J$381&amp;'Emission factors'!$K$3:$K$381,0),MATCH(OthergasesTable[[#Headers],[Direct]],'Emission factors'!$K$2:$V$2,0)))*$J146)</f>
        <v/>
      </c>
      <c r="Q146" s="288" t="str" cm="1">
        <f t="array" ref="Q146">IF(OR($C146="",$H146=""),"",(INDEX('Emission factors'!$K$3:$V$381,MATCH('Buildings &amp; stationary assets'!$C146&amp;$D146,'Emission factors'!$J$3:$J$381&amp;'Emission factors'!$K$3:$K$381,0),MATCH(OthergasesTable[[#Headers],[Indirect generation]],'Emission factors'!$K$2:$V$2,0)))*$J146)</f>
        <v/>
      </c>
      <c r="R146" s="288" t="str" cm="1">
        <f t="array" ref="R146">IF(OR($C146="",$H146=""),"",(INDEX('Emission factors'!$K$3:$V$381,MATCH('Buildings &amp; stationary assets'!$C146&amp;$D146,'Emission factors'!$J$3:$J$381&amp;'Emission factors'!$K$3:$K$381,0),MATCH(OthergasesTable[[#Headers],[Indirect service]],'Emission factors'!$K$2:$V$2,0)))*$J146)</f>
        <v/>
      </c>
      <c r="S146" s="288" t="str" cm="1">
        <f t="array" ref="S146">IF(OR($C146="",$H146=""),"",(INDEX('Emission factors'!$K$3:$V$381,MATCH('Buildings &amp; stationary assets'!$C146&amp;$D146,'Emission factors'!$J$3:$J$381&amp;'Emission factors'!$K$3:$K$381,0),MATCH(OthergasesTable[[#Headers],[Indirect T&amp;D]],'Emission factors'!$K$2:$V$2,0)))*$J146)</f>
        <v/>
      </c>
      <c r="T146" s="288" t="str" cm="1">
        <f t="array" ref="T146">IF(OR($C146="",$H146=""),"",(INDEX('Emission factors'!$K$3:$V$381,MATCH('Buildings &amp; stationary assets'!$C146&amp;$D146,'Emission factors'!$J$3:$J$381&amp;'Emission factors'!$K$3:$K$381,0),MATCH(OthergasesTable[[#Headers],[Indirect WTT]],'Emission factors'!$K$2:$V$2,0)))*$J146)</f>
        <v/>
      </c>
      <c r="U146" s="289" t="str">
        <f t="shared" si="5"/>
        <v/>
      </c>
      <c r="V146" s="307" t="str">
        <f t="shared" si="3"/>
        <v/>
      </c>
      <c r="W146" s="288" t="str" cm="1">
        <f t="array" ref="W146">IF(OR($C146="",$H146=""),"",(INDEX('Emission factors'!$K$3:$V$381,MATCH('Buildings &amp; stationary assets'!$C146&amp;$D146,'Emission factors'!$J$3:$J$381&amp;'Emission factors'!$K$3:$K$381,0),MATCH(OthergasesTable[[#Headers],[Outside of scopes]],'Emission factors'!$K$2:$V$2,0)))*$J146)</f>
        <v/>
      </c>
      <c r="Y146" s="76">
        <f t="shared" si="4"/>
        <v>0</v>
      </c>
      <c r="Z146" s="1">
        <f>IF(AND(D146="",H146="",I146=""),0,1)</f>
        <v>0</v>
      </c>
    </row>
    <row r="147" spans="1:26" x14ac:dyDescent="0.35">
      <c r="A147" s="463" t="s">
        <v>1212</v>
      </c>
      <c r="U147" s="311"/>
      <c r="V147" s="305"/>
    </row>
    <row r="148" spans="1:26" x14ac:dyDescent="0.35">
      <c r="U148" s="311"/>
      <c r="V148" s="305"/>
    </row>
    <row r="149" spans="1:26" s="1" customFormat="1" x14ac:dyDescent="0.35">
      <c r="A149" s="41"/>
    </row>
    <row r="150" spans="1:26" s="1" customFormat="1" ht="32.5" customHeight="1" x14ac:dyDescent="0.35">
      <c r="A150" s="41"/>
    </row>
    <row r="151" spans="1:26" s="1" customFormat="1" x14ac:dyDescent="0.35">
      <c r="A151" s="41"/>
    </row>
    <row r="152" spans="1:26" s="1" customFormat="1" x14ac:dyDescent="0.35">
      <c r="A152" s="41"/>
    </row>
    <row r="153" spans="1:26" s="1" customFormat="1" x14ac:dyDescent="0.35">
      <c r="A153" s="41"/>
    </row>
    <row r="154" spans="1:26" s="1" customFormat="1" x14ac:dyDescent="0.35">
      <c r="A154" s="41"/>
    </row>
    <row r="155" spans="1:26" s="1" customFormat="1" x14ac:dyDescent="0.35">
      <c r="A155" s="41"/>
    </row>
    <row r="156" spans="1:26" s="1" customFormat="1" x14ac:dyDescent="0.35">
      <c r="A156" s="41"/>
    </row>
    <row r="157" spans="1:26" s="1" customFormat="1" ht="14.5" customHeight="1" x14ac:dyDescent="0.35">
      <c r="A157" s="41"/>
    </row>
    <row r="158" spans="1:26" s="1" customFormat="1" ht="15" customHeight="1" x14ac:dyDescent="0.35">
      <c r="A158" s="41"/>
    </row>
    <row r="159" spans="1:26" s="1" customFormat="1" ht="15" customHeight="1" x14ac:dyDescent="0.35">
      <c r="A159" s="41"/>
    </row>
    <row r="160" spans="1:26" s="1" customFormat="1" x14ac:dyDescent="0.35">
      <c r="A160" s="41"/>
    </row>
    <row r="161" spans="1:22" s="1" customFormat="1" x14ac:dyDescent="0.35">
      <c r="A161" s="41"/>
    </row>
    <row r="162" spans="1:22" s="1" customFormat="1" x14ac:dyDescent="0.35">
      <c r="A162" s="41"/>
    </row>
    <row r="163" spans="1:22" s="1" customFormat="1" x14ac:dyDescent="0.35">
      <c r="A163" s="41"/>
    </row>
    <row r="164" spans="1:22" s="1" customFormat="1" x14ac:dyDescent="0.35">
      <c r="A164" s="41"/>
    </row>
    <row r="165" spans="1:22" s="1" customFormat="1" x14ac:dyDescent="0.35">
      <c r="A165" s="41"/>
    </row>
    <row r="166" spans="1:22" s="1" customFormat="1" x14ac:dyDescent="0.35">
      <c r="A166" s="41"/>
    </row>
    <row r="167" spans="1:22" s="1" customFormat="1" x14ac:dyDescent="0.35">
      <c r="A167" s="41"/>
      <c r="B167" s="33"/>
      <c r="C167" s="33"/>
      <c r="D167" s="33"/>
      <c r="E167" s="33"/>
      <c r="F167" s="33"/>
      <c r="G167" s="33"/>
      <c r="H167" s="33"/>
      <c r="I167" s="33"/>
      <c r="J167" s="33"/>
      <c r="K167" s="33"/>
      <c r="L167" s="33"/>
      <c r="M167" s="33"/>
      <c r="N167" s="33"/>
      <c r="O167" s="33"/>
      <c r="P167" s="33"/>
      <c r="Q167" s="33"/>
      <c r="R167" s="33"/>
      <c r="S167" s="33"/>
      <c r="T167" s="33"/>
      <c r="U167" s="33"/>
      <c r="V167" s="33"/>
    </row>
  </sheetData>
  <sheetProtection algorithmName="SHA-512" hashValue="YqhiYIArlun/3Ef25fniN1RzjrD+QbugFk2TywYRLPWkYkYDwsxdrGiHUw8OGfBmpX7QxasZma3FIwnEm/YApw==" saltValue="nbSoXwy1eLSt+UwvM8w4fg==" spinCount="100000" sheet="1" objects="1" scenarios="1" formatRows="0"/>
  <mergeCells count="7">
    <mergeCell ref="Q1:R1"/>
    <mergeCell ref="Q2:R2"/>
    <mergeCell ref="B2:M2"/>
    <mergeCell ref="B3:M3"/>
    <mergeCell ref="B4:M4"/>
    <mergeCell ref="O2:P2"/>
    <mergeCell ref="O1:P1"/>
  </mergeCells>
  <phoneticPr fontId="20" type="noConversion"/>
  <conditionalFormatting sqref="B7:W117 B121:W126 B130:W146">
    <cfRule type="expression" dxfId="58" priority="8">
      <formula>IF($Y7=1,1,0)</formula>
    </cfRule>
  </conditionalFormatting>
  <conditionalFormatting sqref="I5">
    <cfRule type="containsText" dxfId="57" priority="5" operator="containsText" text="There are errors">
      <formula>NOT(ISERROR(SEARCH("There are errors",I5)))</formula>
    </cfRule>
    <cfRule type="containsText" dxfId="56" priority="6" operator="containsText" text="No errors in this table">
      <formula>NOT(ISERROR(SEARCH("No errors in this table",I5)))</formula>
    </cfRule>
  </conditionalFormatting>
  <conditionalFormatting sqref="I119">
    <cfRule type="containsText" dxfId="55" priority="3" operator="containsText" text="There are errors">
      <formula>NOT(ISERROR(SEARCH("There are errors",I119)))</formula>
    </cfRule>
    <cfRule type="containsText" dxfId="54" priority="4" operator="containsText" text="No errors in this table">
      <formula>NOT(ISERROR(SEARCH("No errors in this table",I119)))</formula>
    </cfRule>
  </conditionalFormatting>
  <conditionalFormatting sqref="I128">
    <cfRule type="containsText" dxfId="53" priority="1" operator="containsText" text="There are errors">
      <formula>NOT(ISERROR(SEARCH("There are errors",I128)))</formula>
    </cfRule>
    <cfRule type="containsText" dxfId="52" priority="2" operator="containsText" text="No errors in this table">
      <formula>NOT(ISERROR(SEARCH("No errors in this table",I128)))</formula>
    </cfRule>
  </conditionalFormatting>
  <dataValidations count="21">
    <dataValidation type="list" allowBlank="1" showInputMessage="1" showErrorMessage="1" sqref="F7:F117 F121:F126" xr:uid="{00000000-0002-0000-0200-000000000000}">
      <formula1>Methodologyall</formula1>
    </dataValidation>
    <dataValidation type="list" allowBlank="1" showInputMessage="1" showErrorMessage="1" sqref="O121:O126 O7:O117 O130:O146" xr:uid="{00000000-0002-0000-0200-000001000000}">
      <formula1>Ease</formula1>
    </dataValidation>
    <dataValidation type="list" allowBlank="1" showInputMessage="1" showErrorMessage="1" sqref="D121:D126" xr:uid="{00000000-0002-0000-0200-000002000000}">
      <formula1>INDIRECT(SUBSTITUTE($B$119," ",""))</formula1>
    </dataValidation>
    <dataValidation type="list" allowBlank="1" showInputMessage="1" showErrorMessage="1" sqref="E121:E126" xr:uid="{00000000-0002-0000-0200-000005000000}">
      <formula1>INDIRECT(CONCATENATE(SUBSTITUTE($D$121," ","")&amp;SUBSTITUTE(E$120," ","")))</formula1>
    </dataValidation>
    <dataValidation type="list" allowBlank="1" showInputMessage="1" showErrorMessage="1" sqref="C121:C126" xr:uid="{00000000-0002-0000-0200-000006000000}">
      <formula1>INDIRECT(SUBSTITUTE($C$120," ",""))</formula1>
    </dataValidation>
    <dataValidation type="list" allowBlank="1" showInputMessage="1" showErrorMessage="1" sqref="C7:C117" xr:uid="{00000000-0002-0000-0200-00000D000000}">
      <formula1>Buildingsownership</formula1>
    </dataValidation>
    <dataValidation type="decimal" operator="greaterThan" allowBlank="1" showInputMessage="1" showErrorMessage="1" errorTitle="Numeric data" error="Please enter a number greater than zero" sqref="H121:H126 H130:H146 H7:H117" xr:uid="{00000000-0002-0000-0200-00000F000000}">
      <formula1>0</formula1>
    </dataValidation>
    <dataValidation type="list" allowBlank="1" showInputMessage="1" showErrorMessage="1" sqref="I121:I126" xr:uid="{E425075D-512E-459F-AEC2-CB89F9FDE944}">
      <formula1>INDIRECT(CONCATENATE(SUBSTITUTE($D121," ","")&amp;$I$120))</formula1>
    </dataValidation>
    <dataValidation type="list" allowBlank="1" showInputMessage="1" showErrorMessage="1" sqref="E7:E117" xr:uid="{00000000-0002-0000-0200-00000E000000}">
      <formula1>INDIRECT(CONCATENATE(SUBSTITUTE($D7," ","")&amp;SUBSTITUTE($E$6," ","")))</formula1>
    </dataValidation>
    <dataValidation type="list" allowBlank="1" showInputMessage="1" showErrorMessage="1" sqref="I7:I117" xr:uid="{7D52FEAC-3BE5-4DC9-B029-4819DC2F5DC6}">
      <formula1>INDIRECT(CONCATENATE(SUBSTITUTE($D7," ","")&amp;$I$6))</formula1>
    </dataValidation>
    <dataValidation type="list" allowBlank="1" showInputMessage="1" showErrorMessage="1" sqref="D7:D117" xr:uid="{45D5ECC5-A18B-4C61-BB48-EEC5A8A1C32A}">
      <formula1>INDIRECT(SUBSTITUTE(LEFT($C7,9)," ",""))</formula1>
    </dataValidation>
    <dataValidation type="list" allowBlank="1" showInputMessage="1" showErrorMessage="1" sqref="F130:F146" xr:uid="{46519B36-DDC0-4B7B-B6B0-E18E951F6AEB}">
      <formula1>Methodologytier3</formula1>
    </dataValidation>
    <dataValidation type="list" allowBlank="1" showInputMessage="1" showErrorMessage="1" sqref="D130:D146" xr:uid="{00000000-0002-0000-0200-00000B000000}">
      <formula1>INDIRECT(SUBSTITUTE($C130," ",""))</formula1>
    </dataValidation>
    <dataValidation type="list" allowBlank="1" showInputMessage="1" showErrorMessage="1" sqref="I130:I146" xr:uid="{2343FA8D-0E14-4DCD-87B7-DCD23A1F202A}">
      <formula1>INDIRECT(CONCATENATE(SUBSTITUTE($C130," ","")&amp;$I$129))</formula1>
    </dataValidation>
    <dataValidation allowBlank="1" showInputMessage="1" showErrorMessage="1" promptTitle="Info" prompt="Please add the building name here, if aggregating energy for all sites then please add the name: 'All sites'" sqref="B6" xr:uid="{4DBCC632-8214-48F4-B7AF-CA103DBBF7F1}"/>
    <dataValidation allowBlank="1" showInputMessage="1" showErrorMessage="1" promptTitle="Info" prompt="Please enter ownership struture, this determines where emissions are allocated with regards to scope. See guidance - table 6 for details" sqref="C6" xr:uid="{26DECE18-C427-42D4-AEE0-3B248988141A}"/>
    <dataValidation allowBlank="1" showInputMessage="1" showErrorMessage="1" promptTitle="Info" prompt="Please select the emissions or fuel source from the dropdown. Further details can be found in the guidance - section 7.2" sqref="D6" xr:uid="{F3C591A3-C18F-4329-B211-C76316CA1B90}"/>
    <dataValidation allowBlank="1" showInputMessage="1" showErrorMessage="1" promptTitle="Info" prompt="Please add further details about the fuel/emissions source from the dropdown. See guidance - section 7.2 for further information." sqref="E6" xr:uid="{1417E841-0EF0-444B-8126-115D67E43F93}"/>
    <dataValidation allowBlank="1" showInputMessage="1" showErrorMessage="1" promptTitle="Info" prompt="This is the uncertainty in the data and is calculated automatically. See guidance - section 4 for more details" sqref="G6" xr:uid="{AFB13E70-2D5A-4929-A5ED-921F40920640}"/>
    <dataValidation allowBlank="1" showInputMessage="1" showErrorMessage="1" promptTitle="Info" prompt="The tier reflects the relevance of the data, see guidance - table 7 for more details." sqref="F6" xr:uid="{24895648-A0BA-4941-8AEE-EA1F06CAFC6F}"/>
    <dataValidation allowBlank="1" showInputMessage="1" showErrorMessage="1" promptTitle="Info" prompt="Please select the relevant unit from the dropdown for the data entered." sqref="I6" xr:uid="{5CA4A6BE-8D0A-4F25-9468-2D5AD4CC2711}"/>
  </dataValidations>
  <pageMargins left="0.7" right="0.7" top="0.75" bottom="0.75" header="0.3" footer="0.3"/>
  <pageSetup paperSize="9" orientation="portrait" r:id="rId1"/>
  <tableParts count="3">
    <tablePart r:id="rId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4ABF8-9B7F-4DEF-8F8D-EF50B4EC5092}">
  <sheetPr>
    <tabColor rgb="FF27CCF9"/>
  </sheetPr>
  <dimension ref="A1:Z54"/>
  <sheetViews>
    <sheetView workbookViewId="0">
      <selection activeCell="B1" sqref="B1"/>
    </sheetView>
  </sheetViews>
  <sheetFormatPr defaultColWidth="8.54296875" defaultRowHeight="14.5" x14ac:dyDescent="0.35"/>
  <cols>
    <col min="1" max="1" width="1.81640625" style="156" customWidth="1"/>
    <col min="2" max="2" width="27.81640625" style="149" customWidth="1"/>
    <col min="3" max="3" width="29.453125" style="149" customWidth="1"/>
    <col min="4" max="4" width="20.1796875" style="149" customWidth="1"/>
    <col min="5" max="5" width="16.81640625" style="149" customWidth="1"/>
    <col min="6" max="6" width="11.453125" style="149" customWidth="1"/>
    <col min="7" max="7" width="14.81640625" style="149" customWidth="1"/>
    <col min="8" max="8" width="11.453125" style="149" customWidth="1"/>
    <col min="9" max="9" width="19.54296875" style="149" customWidth="1"/>
    <col min="10" max="10" width="19" style="149" customWidth="1"/>
    <col min="11" max="11" width="19.453125" style="149" customWidth="1"/>
    <col min="12" max="12" width="18.81640625" style="149" customWidth="1"/>
    <col min="13" max="13" width="20.54296875" style="149" customWidth="1"/>
    <col min="14" max="14" width="22.453125" style="149" customWidth="1"/>
    <col min="15" max="15" width="12.1796875" style="149" customWidth="1"/>
    <col min="16" max="16" width="13.1796875" style="149" customWidth="1"/>
    <col min="17" max="17" width="12.1796875" style="149" customWidth="1"/>
    <col min="18" max="18" width="10.81640625" style="149" customWidth="1"/>
    <col min="19" max="19" width="11.54296875" style="149" customWidth="1"/>
    <col min="20" max="20" width="10.54296875" style="149" customWidth="1"/>
    <col min="21" max="21" width="11.08984375" style="149" customWidth="1"/>
    <col min="22" max="22" width="10.81640625" style="149" customWidth="1"/>
    <col min="23" max="23" width="8.54296875" style="149"/>
    <col min="24" max="25" width="8.54296875" style="1" hidden="1" customWidth="1"/>
    <col min="26" max="27" width="8.54296875" style="149"/>
    <col min="28" max="28" width="14.453125" style="149" bestFit="1" customWidth="1"/>
    <col min="29" max="16384" width="8.54296875" style="149"/>
  </cols>
  <sheetData>
    <row r="1" spans="1:26" s="1" customFormat="1" ht="15" thickBot="1" x14ac:dyDescent="0.4">
      <c r="A1" s="41"/>
      <c r="D1" s="18"/>
      <c r="N1" s="188" t="s">
        <v>108</v>
      </c>
      <c r="O1" s="520" t="s">
        <v>8</v>
      </c>
      <c r="P1" s="521"/>
      <c r="Q1" s="508" t="s">
        <v>12</v>
      </c>
      <c r="R1" s="509"/>
      <c r="S1" s="66"/>
    </row>
    <row r="2" spans="1:26" s="1" customFormat="1" ht="19" thickBot="1" x14ac:dyDescent="0.4">
      <c r="A2" s="41"/>
      <c r="B2" s="512" t="s">
        <v>1183</v>
      </c>
      <c r="C2" s="513"/>
      <c r="D2" s="513"/>
      <c r="E2" s="513"/>
      <c r="F2" s="513"/>
      <c r="G2" s="513"/>
      <c r="H2" s="513"/>
      <c r="I2" s="513"/>
      <c r="J2" s="513"/>
      <c r="K2" s="513"/>
      <c r="L2" s="513"/>
      <c r="M2" s="514"/>
      <c r="N2" s="32"/>
      <c r="O2" s="518" t="s">
        <v>10</v>
      </c>
      <c r="P2" s="519"/>
      <c r="Q2" s="510" t="s">
        <v>13</v>
      </c>
      <c r="R2" s="511"/>
      <c r="S2" s="66"/>
    </row>
    <row r="3" spans="1:26" s="1" customFormat="1" ht="50.4" customHeight="1" thickBot="1" x14ac:dyDescent="0.4">
      <c r="A3" s="41"/>
      <c r="B3" s="515" t="s">
        <v>1118</v>
      </c>
      <c r="C3" s="516"/>
      <c r="D3" s="516"/>
      <c r="E3" s="516"/>
      <c r="F3" s="516"/>
      <c r="G3" s="516"/>
      <c r="H3" s="516"/>
      <c r="I3" s="516"/>
      <c r="J3" s="516"/>
      <c r="K3" s="516"/>
      <c r="L3" s="516"/>
      <c r="M3" s="517"/>
      <c r="O3" s="33"/>
      <c r="P3" s="33"/>
      <c r="Q3" s="33"/>
      <c r="R3" s="33"/>
    </row>
    <row r="4" spans="1:26" s="1" customFormat="1" ht="109.75" customHeight="1" x14ac:dyDescent="0.35">
      <c r="A4" s="41"/>
      <c r="B4" s="515" t="s">
        <v>1066</v>
      </c>
      <c r="C4" s="516"/>
      <c r="D4" s="516"/>
      <c r="E4" s="516"/>
      <c r="F4" s="516"/>
      <c r="G4" s="516"/>
      <c r="H4" s="516"/>
      <c r="I4" s="516"/>
      <c r="J4" s="516"/>
      <c r="K4" s="516"/>
      <c r="L4" s="516"/>
      <c r="M4" s="516"/>
      <c r="O4" s="18"/>
    </row>
    <row r="5" spans="1:26" s="1" customFormat="1" x14ac:dyDescent="0.35">
      <c r="A5" s="56"/>
      <c r="B5" s="58"/>
      <c r="C5" s="58"/>
      <c r="D5" s="58"/>
      <c r="E5" s="33"/>
      <c r="F5" s="33"/>
      <c r="G5" s="33"/>
      <c r="H5" s="33"/>
      <c r="I5" s="33"/>
      <c r="J5" s="33"/>
      <c r="K5" s="33"/>
      <c r="L5" s="33"/>
      <c r="M5" s="33"/>
      <c r="N5" s="33"/>
      <c r="O5" s="33"/>
      <c r="P5" s="33"/>
      <c r="Q5" s="33"/>
      <c r="R5" s="33"/>
      <c r="S5" s="33"/>
      <c r="T5" s="33"/>
      <c r="U5" s="33"/>
      <c r="V5" s="33"/>
      <c r="W5" s="76"/>
      <c r="X5" s="76"/>
      <c r="Y5" s="76"/>
      <c r="Z5" s="76"/>
    </row>
    <row r="6" spans="1:26" s="1" customFormat="1" ht="19" thickBot="1" x14ac:dyDescent="0.5">
      <c r="A6" s="41"/>
      <c r="B6" s="194" t="s">
        <v>146</v>
      </c>
      <c r="H6" s="441" t="str">
        <f>IF($Y$7=0,"No data entered",IF($X$7=0,"No errors in this table","There are errors in this table see highlighted row(s)"))</f>
        <v>No data entered</v>
      </c>
      <c r="O6" s="51" t="s">
        <v>830</v>
      </c>
      <c r="T6" s="56"/>
      <c r="W6" s="76"/>
      <c r="X6" s="15" t="s">
        <v>1188</v>
      </c>
      <c r="Y6" s="15" t="s">
        <v>1189</v>
      </c>
      <c r="Z6" s="76"/>
    </row>
    <row r="7" spans="1:26" s="1" customFormat="1" ht="33" customHeight="1" thickBot="1" x14ac:dyDescent="0.4">
      <c r="A7" s="41"/>
      <c r="B7" s="190" t="s">
        <v>147</v>
      </c>
      <c r="C7" s="191" t="s">
        <v>148</v>
      </c>
      <c r="D7" s="191" t="s">
        <v>114</v>
      </c>
      <c r="E7" s="191" t="s">
        <v>115</v>
      </c>
      <c r="F7" s="191" t="s">
        <v>116</v>
      </c>
      <c r="G7" s="191" t="s">
        <v>117</v>
      </c>
      <c r="H7" s="191" t="s">
        <v>118</v>
      </c>
      <c r="I7" s="191" t="s">
        <v>119</v>
      </c>
      <c r="J7" s="191" t="s">
        <v>120</v>
      </c>
      <c r="K7" s="191" t="s">
        <v>828</v>
      </c>
      <c r="L7" s="191" t="s">
        <v>829</v>
      </c>
      <c r="M7" s="191" t="s">
        <v>122</v>
      </c>
      <c r="N7" s="191" t="s">
        <v>123</v>
      </c>
      <c r="O7" s="12" t="s">
        <v>59</v>
      </c>
      <c r="P7" s="12" t="s">
        <v>124</v>
      </c>
      <c r="Q7" s="12" t="s">
        <v>125</v>
      </c>
      <c r="R7" s="12" t="s">
        <v>126</v>
      </c>
      <c r="S7" s="12" t="s">
        <v>127</v>
      </c>
      <c r="T7" s="12" t="s">
        <v>67</v>
      </c>
      <c r="U7" s="306" t="s">
        <v>68</v>
      </c>
      <c r="V7" s="303" t="s">
        <v>63</v>
      </c>
      <c r="X7" s="15">
        <f>SUM(X8:X27)</f>
        <v>0</v>
      </c>
      <c r="Y7" s="15">
        <f>SUM(Y8:Y27)</f>
        <v>0</v>
      </c>
    </row>
    <row r="8" spans="1:26" s="1" customFormat="1" ht="15" thickBot="1" x14ac:dyDescent="0.4">
      <c r="A8" s="41"/>
      <c r="B8" s="155"/>
      <c r="C8" s="151"/>
      <c r="D8" s="151"/>
      <c r="E8" s="151"/>
      <c r="F8" s="157" t="str">
        <f>IF(E8="","",INDEX(Lists!$BA$4:$BC$31,MATCH(C8,Lists!$AZ$4:$AZ$31,0),MATCH(E8,Lists!$BA$3:$BC$3,0)))</f>
        <v/>
      </c>
      <c r="G8" s="148"/>
      <c r="H8" s="151"/>
      <c r="I8" s="154" t="str" cm="1">
        <f t="array" ref="I8">IF(OR($C8="",$B8="",$G8="",$H8=""),"",IF(H8=J8,G8,(INDEX('Emission factors'!$K$3:$V$201,MATCH(C8&amp;D8,'Emission factors'!$J$3:$J$201&amp;'Emission factors'!$K$3:$K$201,0),MATCH(I$7,'Emission factors'!$K$2:$V$2,0)))*G8))</f>
        <v/>
      </c>
      <c r="J8" s="192" t="str">
        <f>IF(OR($C8="",$B8="",$G8="",$H8=""),"",INDEX('Emission factors'!$K$3:$V$201,MATCH(Fleet!$C8,'Emission factors'!$J$3:$J$201,0),MATCH($J$7,'Emission factors'!$K$2:$V$2,0)))</f>
        <v/>
      </c>
      <c r="K8" s="193" t="str" cm="1">
        <f t="array" ref="K8">IF(OR(C8="",G8="",FleetTableFuel[[#This Row],[Units]]=""),"",INDEX('Emission factors'!$K$3:$V$201,MATCH(FleetTableFuel[[#This Row],[Fuel]]&amp;D8,'Emission factors'!$J$3:$J$201&amp;'Emission factors'!$K$3:$K$201,0),MATCH(FleetTableFuel[[#Headers],[Total EF (kgCO2e/unit)]],'Emission factors'!$K$2:$V$2,0)))</f>
        <v/>
      </c>
      <c r="L8" s="287" t="str">
        <f>IF(OR(I8="",K8=""),"",SUM(FleetTableFuel[[#This Row],[Direct]:[Indirect WTT]]))</f>
        <v/>
      </c>
      <c r="M8" s="150"/>
      <c r="N8" s="151"/>
      <c r="O8" s="288" t="str" cm="1">
        <f t="array" ref="O8">IF(OR($C8="",$G8=""),"",(INDEX('Emission factors'!$K$3:$V$201,MATCH(Fleet!$C8&amp;$D8,'Emission factors'!$J$3:$J$201&amp;'Emission factors'!$K$3:$K$201,0),MATCH(FleetTableFuel[[#Headers],[Direct]],'Emission factors'!$K$2:$V$2,0)))*$I8)</f>
        <v/>
      </c>
      <c r="P8" s="288" t="str" cm="1">
        <f t="array" ref="P8">IF(OR($C8="",$G8=""),"",(INDEX('Emission factors'!$K$3:$V$201,MATCH(Fleet!$C8&amp;$D8,'Emission factors'!$J$3:$J$201&amp;'Emission factors'!$K$3:$K$201,0),MATCH(FleetTableFuel[[#Headers],[Indirect generation]],'Emission factors'!$K$2:$V$2,0)))*$I8)</f>
        <v/>
      </c>
      <c r="Q8" s="288" t="str" cm="1">
        <f t="array" ref="Q8">IF(OR($C8="",$G8=""),"",(INDEX('Emission factors'!$K$3:$V$201,MATCH(Fleet!$C8&amp;$D8,'Emission factors'!$J$3:$J$201&amp;'Emission factors'!$K$3:$K$201,0),MATCH(FleetTableFuel[[#Headers],[Indirect service]],'Emission factors'!$K$2:$V$2,0)))*$I8)</f>
        <v/>
      </c>
      <c r="R8" s="288" t="str" cm="1">
        <f t="array" ref="R8">IF(OR($C8="",$G8=""),"",(INDEX('Emission factors'!$K$3:$V$201,MATCH(Fleet!$C8&amp;$D8,'Emission factors'!$J$3:$J$201&amp;'Emission factors'!$K$3:$K$201,0),MATCH(FleetTableFuel[[#Headers],[Indirect T&amp;D]],'Emission factors'!$K$2:$V$2,0)))*$I8)</f>
        <v/>
      </c>
      <c r="S8" s="288" t="str" cm="1">
        <f t="array" ref="S8">IF(OR($C8="",$G8=""),"",(INDEX('Emission factors'!$K$3:$V$201,MATCH(Fleet!$C8&amp;$D8,'Emission factors'!$J$3:$J$201&amp;'Emission factors'!$K$3:$K$201,0),MATCH(FleetTableFuel[[#Headers],[Indirect WTT]],'Emission factors'!$K$2:$V$2,0)))*$I8)</f>
        <v/>
      </c>
      <c r="T8" s="289" t="str">
        <f>IF(OR($L8="",FleetTableFuel[[#This Row],[RSD]]=""),"",FleetTableFuel[[#This Row],[Total emissions (kgCO2e)]]*(1+FleetTableFuel[[#This Row],[RSD]]))</f>
        <v/>
      </c>
      <c r="U8" s="307" t="str">
        <f>IF(OR($L8="",FleetTableFuel[[#This Row],[RSD]]=""),"",FleetTableFuel[[#This Row],[Total emissions (kgCO2e)]]*(1-FleetTableFuel[[#This Row],[RSD]]))</f>
        <v/>
      </c>
      <c r="V8" s="304" t="str" cm="1">
        <f t="array" ref="V8">IF(OR($C8="",$G8=""),"",(INDEX('Emission factors'!$K$3:$V$201,MATCH(Fleet!$C8&amp;$D8,'Emission factors'!$J$3:$J$201&amp;'Emission factors'!$K$3:$K$201,0),MATCH(FleetTableFuel[[#Headers],[Outside of scopes]],'Emission factors'!$K$2:$V$2,0)))*$I8)</f>
        <v/>
      </c>
      <c r="X8" s="1" cm="1">
        <f t="array" ref="X8">IF(OR(ISERROR(B8:V8)),1,0)</f>
        <v>0</v>
      </c>
      <c r="Y8" s="1">
        <f>IF(AND(C8="",G8="",H8=""),0,1)</f>
        <v>0</v>
      </c>
    </row>
    <row r="9" spans="1:26" s="1" customFormat="1" ht="15" thickBot="1" x14ac:dyDescent="0.4">
      <c r="A9" s="41"/>
      <c r="B9" s="155"/>
      <c r="C9" s="151"/>
      <c r="D9" s="151"/>
      <c r="E9" s="151"/>
      <c r="F9" s="157" t="str">
        <f>IF(E9="","",INDEX(Lists!$BA$4:$BC$31,MATCH(C9,Lists!$AZ$4:$AZ$31,0),MATCH(E9,Lists!$BA$3:$BC$3,0)))</f>
        <v/>
      </c>
      <c r="G9" s="148"/>
      <c r="H9" s="151"/>
      <c r="I9" s="154" t="str" cm="1">
        <f t="array" ref="I9">IF(OR($C9="",$B9="",$G9="",$H9=""),"",IF(H9=J9,G9,(INDEX('Emission factors'!$K$3:$V$201,MATCH(C9&amp;D9,'Emission factors'!$J$3:$J$201&amp;'Emission factors'!$K$3:$K$201,0),MATCH(I$7,'Emission factors'!$K$2:$V$2,0)))*G9))</f>
        <v/>
      </c>
      <c r="J9" s="192" t="str">
        <f>IF(OR($C9="",$B9="",$G9="",$H9=""),"",INDEX('Emission factors'!$K$3:$V$201,MATCH(Fleet!$C9,'Emission factors'!$J$3:$J$201,0),MATCH($J$7,'Emission factors'!$K$2:$V$2,0)))</f>
        <v/>
      </c>
      <c r="K9" s="193" t="str" cm="1">
        <f t="array" ref="K9">IF(OR(C9="",G9="",FleetTableFuel[[#This Row],[Units]]=""),"",INDEX('Emission factors'!$K$3:$V$201,MATCH(FleetTableFuel[[#This Row],[Fuel]]&amp;D9,'Emission factors'!$J$3:$J$201&amp;'Emission factors'!$K$3:$K$201,0),MATCH(FleetTableFuel[[#Headers],[Total EF (kgCO2e/unit)]],'Emission factors'!$K$2:$V$2,0)))</f>
        <v/>
      </c>
      <c r="L9" s="287" t="str">
        <f>IF(OR(I9="",K9=""),"",SUM(FleetTableFuel[[#This Row],[Direct]:[Indirect WTT]]))</f>
        <v/>
      </c>
      <c r="M9" s="150"/>
      <c r="N9" s="151"/>
      <c r="O9" s="288" t="str" cm="1">
        <f t="array" ref="O9">IF(OR($C9="",$G9=""),"",(INDEX('Emission factors'!$K$3:$V$201,MATCH(Fleet!$C9&amp;$D9,'Emission factors'!$J$3:$J$201&amp;'Emission factors'!$K$3:$K$201,0),MATCH(FleetTableFuel[[#Headers],[Direct]],'Emission factors'!$K$2:$V$2,0)))*$I9)</f>
        <v/>
      </c>
      <c r="P9" s="288" t="str" cm="1">
        <f t="array" ref="P9">IF(OR($C9="",$G9=""),"",(INDEX('Emission factors'!$K$3:$V$201,MATCH(Fleet!$C9&amp;$D9,'Emission factors'!$J$3:$J$201&amp;'Emission factors'!$K$3:$K$201,0),MATCH(FleetTableFuel[[#Headers],[Indirect generation]],'Emission factors'!$K$2:$V$2,0)))*$I9)</f>
        <v/>
      </c>
      <c r="Q9" s="288" t="str" cm="1">
        <f t="array" ref="Q9">IF(OR($C9="",$G9=""),"",(INDEX('Emission factors'!$K$3:$V$201,MATCH(Fleet!$C9&amp;$D9,'Emission factors'!$J$3:$J$201&amp;'Emission factors'!$K$3:$K$201,0),MATCH(FleetTableFuel[[#Headers],[Indirect service]],'Emission factors'!$K$2:$V$2,0)))*$I9)</f>
        <v/>
      </c>
      <c r="R9" s="288" t="str" cm="1">
        <f t="array" ref="R9">IF(OR($C9="",$G9=""),"",(INDEX('Emission factors'!$K$3:$V$201,MATCH(Fleet!$C9&amp;$D9,'Emission factors'!$J$3:$J$201&amp;'Emission factors'!$K$3:$K$201,0),MATCH(FleetTableFuel[[#Headers],[Indirect T&amp;D]],'Emission factors'!$K$2:$V$2,0)))*$I9)</f>
        <v/>
      </c>
      <c r="S9" s="288" t="str" cm="1">
        <f t="array" ref="S9">IF(OR($C9="",$G9=""),"",(INDEX('Emission factors'!$K$3:$V$201,MATCH(Fleet!$C9&amp;$D9,'Emission factors'!$J$3:$J$201&amp;'Emission factors'!$K$3:$K$201,0),MATCH(FleetTableFuel[[#Headers],[Indirect WTT]],'Emission factors'!$K$2:$V$2,0)))*$I9)</f>
        <v/>
      </c>
      <c r="T9" s="289" t="str">
        <f>IF(OR($L9="",FleetTableFuel[[#This Row],[RSD]]=""),"",FleetTableFuel[[#This Row],[Total emissions (kgCO2e)]]*(1+FleetTableFuel[[#This Row],[RSD]]))</f>
        <v/>
      </c>
      <c r="U9" s="307" t="str">
        <f>IF(OR($L9="",FleetTableFuel[[#This Row],[RSD]]=""),"",FleetTableFuel[[#This Row],[Total emissions (kgCO2e)]]*(1-FleetTableFuel[[#This Row],[RSD]]))</f>
        <v/>
      </c>
      <c r="V9" s="445" t="str" cm="1">
        <f t="array" ref="V9">IF(OR($C9="",$G9=""),"",(INDEX('Emission factors'!$K$3:$V$201,MATCH(Fleet!$C9&amp;$D9,'Emission factors'!$J$3:$J$201&amp;'Emission factors'!$K$3:$K$201,0),MATCH(FleetTableFuel[[#Headers],[Outside of scopes]],'Emission factors'!$K$2:$V$2,0)))*$I9)</f>
        <v/>
      </c>
      <c r="X9" s="1" cm="1">
        <f t="array" ref="X9">IF(OR(ISERROR(B9:V9)),1,0)</f>
        <v>0</v>
      </c>
      <c r="Y9" s="1">
        <f t="shared" ref="Y9:Y27" si="0">IF(AND(C9="",G9="",H9=""),0,1)</f>
        <v>0</v>
      </c>
    </row>
    <row r="10" spans="1:26" s="1" customFormat="1" ht="15" thickBot="1" x14ac:dyDescent="0.4">
      <c r="A10" s="41"/>
      <c r="B10" s="155"/>
      <c r="C10" s="151"/>
      <c r="D10" s="151"/>
      <c r="E10" s="151"/>
      <c r="F10" s="157" t="str">
        <f>IF(E10="","",INDEX(Lists!$BA$4:$BC$31,MATCH(C10,Lists!$AZ$4:$AZ$31,0),MATCH(E10,Lists!$BA$3:$BC$3,0)))</f>
        <v/>
      </c>
      <c r="G10" s="148"/>
      <c r="H10" s="151"/>
      <c r="I10" s="154" t="str" cm="1">
        <f t="array" ref="I10">IF(OR($C10="",$B10="",$G10="",$H10=""),"",IF(H10=J10,G10,(INDEX('Emission factors'!$K$3:$V$201,MATCH(C10&amp;D10,'Emission factors'!$J$3:$J$201&amp;'Emission factors'!$K$3:$K$201,0),MATCH(I$7,'Emission factors'!$K$2:$V$2,0)))*G10))</f>
        <v/>
      </c>
      <c r="J10" s="192" t="str">
        <f>IF(OR($C10="",$B10="",$G10="",$H10=""),"",INDEX('Emission factors'!$K$3:$V$201,MATCH(Fleet!$C10,'Emission factors'!$J$3:$J$201,0),MATCH($J$7,'Emission factors'!$K$2:$V$2,0)))</f>
        <v/>
      </c>
      <c r="K10" s="193" t="str" cm="1">
        <f t="array" ref="K10">IF(OR(C10="",G10="",FleetTableFuel[[#This Row],[Units]]=""),"",INDEX('Emission factors'!$K$3:$V$201,MATCH(FleetTableFuel[[#This Row],[Fuel]]&amp;D10,'Emission factors'!$J$3:$J$201&amp;'Emission factors'!$K$3:$K$201,0),MATCH(FleetTableFuel[[#Headers],[Total EF (kgCO2e/unit)]],'Emission factors'!$K$2:$V$2,0)))</f>
        <v/>
      </c>
      <c r="L10" s="287" t="str">
        <f>IF(OR(I10="",K10=""),"",SUM(FleetTableFuel[[#This Row],[Direct]:[Indirect WTT]]))</f>
        <v/>
      </c>
      <c r="M10" s="150"/>
      <c r="N10" s="151"/>
      <c r="O10" s="288" t="str" cm="1">
        <f t="array" ref="O10">IF(OR($C10="",$G10=""),"",(INDEX('Emission factors'!$K$3:$V$201,MATCH(Fleet!$C10&amp;$D10,'Emission factors'!$J$3:$J$201&amp;'Emission factors'!$K$3:$K$201,0),MATCH(FleetTableFuel[[#Headers],[Direct]],'Emission factors'!$K$2:$V$2,0)))*$I10)</f>
        <v/>
      </c>
      <c r="P10" s="288" t="str" cm="1">
        <f t="array" ref="P10">IF(OR($C10="",$G10=""),"",(INDEX('Emission factors'!$K$3:$V$201,MATCH(Fleet!$C10&amp;$D10,'Emission factors'!$J$3:$J$201&amp;'Emission factors'!$K$3:$K$201,0),MATCH(FleetTableFuel[[#Headers],[Indirect generation]],'Emission factors'!$K$2:$V$2,0)))*$I10)</f>
        <v/>
      </c>
      <c r="Q10" s="288" t="str" cm="1">
        <f t="array" ref="Q10">IF(OR($C10="",$G10=""),"",(INDEX('Emission factors'!$K$3:$V$201,MATCH(Fleet!$C10&amp;$D10,'Emission factors'!$J$3:$J$201&amp;'Emission factors'!$K$3:$K$201,0),MATCH(FleetTableFuel[[#Headers],[Indirect service]],'Emission factors'!$K$2:$V$2,0)))*$I10)</f>
        <v/>
      </c>
      <c r="R10" s="288" t="str" cm="1">
        <f t="array" ref="R10">IF(OR($C10="",$G10=""),"",(INDEX('Emission factors'!$K$3:$V$201,MATCH(Fleet!$C10&amp;$D10,'Emission factors'!$J$3:$J$201&amp;'Emission factors'!$K$3:$K$201,0),MATCH(FleetTableFuel[[#Headers],[Indirect T&amp;D]],'Emission factors'!$K$2:$V$2,0)))*$I10)</f>
        <v/>
      </c>
      <c r="S10" s="288" t="str" cm="1">
        <f t="array" ref="S10">IF(OR($C10="",$G10=""),"",(INDEX('Emission factors'!$K$3:$V$201,MATCH(Fleet!$C10&amp;$D10,'Emission factors'!$J$3:$J$201&amp;'Emission factors'!$K$3:$K$201,0),MATCH(FleetTableFuel[[#Headers],[Indirect WTT]],'Emission factors'!$K$2:$V$2,0)))*$I10)</f>
        <v/>
      </c>
      <c r="T10" s="289" t="str">
        <f>IF(OR($L10="",FleetTableFuel[[#This Row],[RSD]]=""),"",FleetTableFuel[[#This Row],[Total emissions (kgCO2e)]]*(1+FleetTableFuel[[#This Row],[RSD]]))</f>
        <v/>
      </c>
      <c r="U10" s="307" t="str">
        <f>IF(OR($L10="",FleetTableFuel[[#This Row],[RSD]]=""),"",FleetTableFuel[[#This Row],[Total emissions (kgCO2e)]]*(1-FleetTableFuel[[#This Row],[RSD]]))</f>
        <v/>
      </c>
      <c r="V10" s="445" t="str" cm="1">
        <f t="array" ref="V10">IF(OR($C10="",$G10=""),"",(INDEX('Emission factors'!$K$3:$V$201,MATCH(Fleet!$C10&amp;$D10,'Emission factors'!$J$3:$J$201&amp;'Emission factors'!$K$3:$K$201,0),MATCH(FleetTableFuel[[#Headers],[Outside of scopes]],'Emission factors'!$K$2:$V$2,0)))*$I10)</f>
        <v/>
      </c>
      <c r="X10" s="1" cm="1">
        <f t="array" ref="X10">IF(OR(ISERROR(B10:V10)),1,0)</f>
        <v>0</v>
      </c>
      <c r="Y10" s="1">
        <f t="shared" si="0"/>
        <v>0</v>
      </c>
    </row>
    <row r="11" spans="1:26" s="1" customFormat="1" ht="15" thickBot="1" x14ac:dyDescent="0.4">
      <c r="A11" s="41"/>
      <c r="B11" s="155"/>
      <c r="C11" s="151"/>
      <c r="D11" s="151"/>
      <c r="E11" s="151"/>
      <c r="F11" s="157" t="str">
        <f>IF(E11="","",INDEX(Lists!$BA$4:$BC$31,MATCH(C11,Lists!$AZ$4:$AZ$31,0),MATCH(E11,Lists!$BA$3:$BC$3,0)))</f>
        <v/>
      </c>
      <c r="G11" s="148"/>
      <c r="H11" s="151"/>
      <c r="I11" s="154" t="str" cm="1">
        <f t="array" ref="I11">IF(OR($C11="",$B11="",$G11="",$H11=""),"",IF(H11=J11,G11,(INDEX('Emission factors'!$K$3:$V$201,MATCH(C11&amp;D11,'Emission factors'!$J$3:$J$201&amp;'Emission factors'!$K$3:$K$201,0),MATCH(I$7,'Emission factors'!$K$2:$V$2,0)))*G11))</f>
        <v/>
      </c>
      <c r="J11" s="192" t="str">
        <f>IF(OR($C11="",$B11="",$G11="",$H11=""),"",INDEX('Emission factors'!$K$3:$V$201,MATCH(Fleet!$C11,'Emission factors'!$J$3:$J$201,0),MATCH($J$7,'Emission factors'!$K$2:$V$2,0)))</f>
        <v/>
      </c>
      <c r="K11" s="193" t="str" cm="1">
        <f t="array" ref="K11">IF(OR(C11="",G11="",FleetTableFuel[[#This Row],[Units]]=""),"",INDEX('Emission factors'!$K$3:$V$201,MATCH(FleetTableFuel[[#This Row],[Fuel]]&amp;D11,'Emission factors'!$J$3:$J$201&amp;'Emission factors'!$K$3:$K$201,0),MATCH(FleetTableFuel[[#Headers],[Total EF (kgCO2e/unit)]],'Emission factors'!$K$2:$V$2,0)))</f>
        <v/>
      </c>
      <c r="L11" s="287" t="str">
        <f>IF(OR(I11="",K11=""),"",SUM(FleetTableFuel[[#This Row],[Direct]:[Indirect WTT]]))</f>
        <v/>
      </c>
      <c r="M11" s="150"/>
      <c r="N11" s="151"/>
      <c r="O11" s="288" t="str" cm="1">
        <f t="array" ref="O11">IF(OR($C11="",$G11=""),"",(INDEX('Emission factors'!$K$3:$V$201,MATCH(Fleet!$C11&amp;$D11,'Emission factors'!$J$3:$J$201&amp;'Emission factors'!$K$3:$K$201,0),MATCH(FleetTableFuel[[#Headers],[Direct]],'Emission factors'!$K$2:$V$2,0)))*$I11)</f>
        <v/>
      </c>
      <c r="P11" s="288" t="str" cm="1">
        <f t="array" ref="P11">IF(OR($C11="",$G11=""),"",(INDEX('Emission factors'!$K$3:$V$201,MATCH(Fleet!$C11&amp;$D11,'Emission factors'!$J$3:$J$201&amp;'Emission factors'!$K$3:$K$201,0),MATCH(FleetTableFuel[[#Headers],[Indirect generation]],'Emission factors'!$K$2:$V$2,0)))*$I11)</f>
        <v/>
      </c>
      <c r="Q11" s="288" t="str" cm="1">
        <f t="array" ref="Q11">IF(OR($C11="",$G11=""),"",(INDEX('Emission factors'!$K$3:$V$201,MATCH(Fleet!$C11&amp;$D11,'Emission factors'!$J$3:$J$201&amp;'Emission factors'!$K$3:$K$201,0),MATCH(FleetTableFuel[[#Headers],[Indirect service]],'Emission factors'!$K$2:$V$2,0)))*$I11)</f>
        <v/>
      </c>
      <c r="R11" s="288" t="str" cm="1">
        <f t="array" ref="R11">IF(OR($C11="",$G11=""),"",(INDEX('Emission factors'!$K$3:$V$201,MATCH(Fleet!$C11&amp;$D11,'Emission factors'!$J$3:$J$201&amp;'Emission factors'!$K$3:$K$201,0),MATCH(FleetTableFuel[[#Headers],[Indirect T&amp;D]],'Emission factors'!$K$2:$V$2,0)))*$I11)</f>
        <v/>
      </c>
      <c r="S11" s="288" t="str" cm="1">
        <f t="array" ref="S11">IF(OR($C11="",$G11=""),"",(INDEX('Emission factors'!$K$3:$V$201,MATCH(Fleet!$C11&amp;$D11,'Emission factors'!$J$3:$J$201&amp;'Emission factors'!$K$3:$K$201,0),MATCH(FleetTableFuel[[#Headers],[Indirect WTT]],'Emission factors'!$K$2:$V$2,0)))*$I11)</f>
        <v/>
      </c>
      <c r="T11" s="289" t="str">
        <f>IF(OR($L11="",FleetTableFuel[[#This Row],[RSD]]=""),"",FleetTableFuel[[#This Row],[Total emissions (kgCO2e)]]*(1+FleetTableFuel[[#This Row],[RSD]]))</f>
        <v/>
      </c>
      <c r="U11" s="307" t="str">
        <f>IF(OR($L11="",FleetTableFuel[[#This Row],[RSD]]=""),"",FleetTableFuel[[#This Row],[Total emissions (kgCO2e)]]*(1-FleetTableFuel[[#This Row],[RSD]]))</f>
        <v/>
      </c>
      <c r="V11" s="445" t="str" cm="1">
        <f t="array" ref="V11">IF(OR($C11="",$G11=""),"",(INDEX('Emission factors'!$K$3:$V$201,MATCH(Fleet!$C11&amp;$D11,'Emission factors'!$J$3:$J$201&amp;'Emission factors'!$K$3:$K$201,0),MATCH(FleetTableFuel[[#Headers],[Outside of scopes]],'Emission factors'!$K$2:$V$2,0)))*$I11)</f>
        <v/>
      </c>
      <c r="X11" s="1" cm="1">
        <f t="array" ref="X11">IF(OR(ISERROR(B11:V11)),1,0)</f>
        <v>0</v>
      </c>
      <c r="Y11" s="1">
        <f t="shared" si="0"/>
        <v>0</v>
      </c>
    </row>
    <row r="12" spans="1:26" s="1" customFormat="1" ht="15" thickBot="1" x14ac:dyDescent="0.4">
      <c r="A12" s="41"/>
      <c r="B12" s="155"/>
      <c r="C12" s="151"/>
      <c r="D12" s="151"/>
      <c r="E12" s="151"/>
      <c r="F12" s="157" t="str">
        <f>IF(E12="","",INDEX(Lists!$BA$4:$BC$31,MATCH(C12,Lists!$AZ$4:$AZ$31,0),MATCH(E12,Lists!$BA$3:$BC$3,0)))</f>
        <v/>
      </c>
      <c r="G12" s="148"/>
      <c r="H12" s="151"/>
      <c r="I12" s="154" t="str" cm="1">
        <f t="array" ref="I12">IF(OR($C12="",$B12="",$G12="",$H12=""),"",IF(H12=J12,G12,(INDEX('Emission factors'!$K$3:$V$201,MATCH(C12&amp;D12,'Emission factors'!$J$3:$J$201&amp;'Emission factors'!$K$3:$K$201,0),MATCH(I$7,'Emission factors'!$K$2:$V$2,0)))*G12))</f>
        <v/>
      </c>
      <c r="J12" s="192" t="str">
        <f>IF(OR($C12="",$B12="",$G12="",$H12=""),"",INDEX('Emission factors'!$K$3:$V$201,MATCH(Fleet!$C12,'Emission factors'!$J$3:$J$201,0),MATCH($J$7,'Emission factors'!$K$2:$V$2,0)))</f>
        <v/>
      </c>
      <c r="K12" s="193" t="str" cm="1">
        <f t="array" ref="K12">IF(OR(C12="",G12="",FleetTableFuel[[#This Row],[Units]]=""),"",INDEX('Emission factors'!$K$3:$V$201,MATCH(FleetTableFuel[[#This Row],[Fuel]]&amp;D12,'Emission factors'!$J$3:$J$201&amp;'Emission factors'!$K$3:$K$201,0),MATCH(FleetTableFuel[[#Headers],[Total EF (kgCO2e/unit)]],'Emission factors'!$K$2:$V$2,0)))</f>
        <v/>
      </c>
      <c r="L12" s="287" t="str">
        <f>IF(OR(I12="",K12=""),"",SUM(FleetTableFuel[[#This Row],[Direct]:[Indirect WTT]]))</f>
        <v/>
      </c>
      <c r="M12" s="150"/>
      <c r="N12" s="151"/>
      <c r="O12" s="288" t="str" cm="1">
        <f t="array" ref="O12">IF(OR($C12="",$G12=""),"",(INDEX('Emission factors'!$K$3:$V$201,MATCH(Fleet!$C12&amp;$D12,'Emission factors'!$J$3:$J$201&amp;'Emission factors'!$K$3:$K$201,0),MATCH(FleetTableFuel[[#Headers],[Direct]],'Emission factors'!$K$2:$V$2,0)))*$I12)</f>
        <v/>
      </c>
      <c r="P12" s="288" t="str" cm="1">
        <f t="array" ref="P12">IF(OR($C12="",$G12=""),"",(INDEX('Emission factors'!$K$3:$V$201,MATCH(Fleet!$C12&amp;$D12,'Emission factors'!$J$3:$J$201&amp;'Emission factors'!$K$3:$K$201,0),MATCH(FleetTableFuel[[#Headers],[Indirect generation]],'Emission factors'!$K$2:$V$2,0)))*$I12)</f>
        <v/>
      </c>
      <c r="Q12" s="288" t="str" cm="1">
        <f t="array" ref="Q12">IF(OR($C12="",$G12=""),"",(INDEX('Emission factors'!$K$3:$V$201,MATCH(Fleet!$C12&amp;$D12,'Emission factors'!$J$3:$J$201&amp;'Emission factors'!$K$3:$K$201,0),MATCH(FleetTableFuel[[#Headers],[Indirect service]],'Emission factors'!$K$2:$V$2,0)))*$I12)</f>
        <v/>
      </c>
      <c r="R12" s="288" t="str" cm="1">
        <f t="array" ref="R12">IF(OR($C12="",$G12=""),"",(INDEX('Emission factors'!$K$3:$V$201,MATCH(Fleet!$C12&amp;$D12,'Emission factors'!$J$3:$J$201&amp;'Emission factors'!$K$3:$K$201,0),MATCH(FleetTableFuel[[#Headers],[Indirect T&amp;D]],'Emission factors'!$K$2:$V$2,0)))*$I12)</f>
        <v/>
      </c>
      <c r="S12" s="288" t="str" cm="1">
        <f t="array" ref="S12">IF(OR($C12="",$G12=""),"",(INDEX('Emission factors'!$K$3:$V$201,MATCH(Fleet!$C12&amp;$D12,'Emission factors'!$J$3:$J$201&amp;'Emission factors'!$K$3:$K$201,0),MATCH(FleetTableFuel[[#Headers],[Indirect WTT]],'Emission factors'!$K$2:$V$2,0)))*$I12)</f>
        <v/>
      </c>
      <c r="T12" s="289" t="str">
        <f>IF(OR($L12="",FleetTableFuel[[#This Row],[RSD]]=""),"",FleetTableFuel[[#This Row],[Total emissions (kgCO2e)]]*(1+FleetTableFuel[[#This Row],[RSD]]))</f>
        <v/>
      </c>
      <c r="U12" s="307" t="str">
        <f>IF(OR($L12="",FleetTableFuel[[#This Row],[RSD]]=""),"",FleetTableFuel[[#This Row],[Total emissions (kgCO2e)]]*(1-FleetTableFuel[[#This Row],[RSD]]))</f>
        <v/>
      </c>
      <c r="V12" s="445" t="str" cm="1">
        <f t="array" ref="V12">IF(OR($C12="",$G12=""),"",(INDEX('Emission factors'!$K$3:$V$201,MATCH(Fleet!$C12&amp;$D12,'Emission factors'!$J$3:$J$201&amp;'Emission factors'!$K$3:$K$201,0),MATCH(FleetTableFuel[[#Headers],[Outside of scopes]],'Emission factors'!$K$2:$V$2,0)))*$I12)</f>
        <v/>
      </c>
      <c r="X12" s="1" cm="1">
        <f t="array" ref="X12">IF(OR(ISERROR(B12:V12)),1,0)</f>
        <v>0</v>
      </c>
      <c r="Y12" s="1">
        <f t="shared" si="0"/>
        <v>0</v>
      </c>
    </row>
    <row r="13" spans="1:26" s="1" customFormat="1" ht="15" thickBot="1" x14ac:dyDescent="0.4">
      <c r="A13" s="41"/>
      <c r="B13" s="155"/>
      <c r="C13" s="151"/>
      <c r="D13" s="151"/>
      <c r="E13" s="151"/>
      <c r="F13" s="157" t="str">
        <f>IF(E13="","",INDEX(Lists!$BA$4:$BC$31,MATCH(C13,Lists!$AZ$4:$AZ$31,0),MATCH(E13,Lists!$BA$3:$BC$3,0)))</f>
        <v/>
      </c>
      <c r="G13" s="148"/>
      <c r="H13" s="151"/>
      <c r="I13" s="154" t="str" cm="1">
        <f t="array" ref="I13">IF(OR($C13="",$B13="",$G13="",$H13=""),"",IF(H13=J13,G13,(INDEX('Emission factors'!$K$3:$V$201,MATCH(C13&amp;D13,'Emission factors'!$J$3:$J$201&amp;'Emission factors'!$K$3:$K$201,0),MATCH(I$7,'Emission factors'!$K$2:$V$2,0)))*G13))</f>
        <v/>
      </c>
      <c r="J13" s="192" t="str">
        <f>IF(OR($C13="",$B13="",$G13="",$H13=""),"",INDEX('Emission factors'!$K$3:$V$201,MATCH(Fleet!$C13,'Emission factors'!$J$3:$J$201,0),MATCH($J$7,'Emission factors'!$K$2:$V$2,0)))</f>
        <v/>
      </c>
      <c r="K13" s="193" t="str" cm="1">
        <f t="array" ref="K13">IF(OR(C13="",G13="",FleetTableFuel[[#This Row],[Units]]=""),"",INDEX('Emission factors'!$K$3:$V$201,MATCH(FleetTableFuel[[#This Row],[Fuel]]&amp;D13,'Emission factors'!$J$3:$J$201&amp;'Emission factors'!$K$3:$K$201,0),MATCH(FleetTableFuel[[#Headers],[Total EF (kgCO2e/unit)]],'Emission factors'!$K$2:$V$2,0)))</f>
        <v/>
      </c>
      <c r="L13" s="287" t="str">
        <f>IF(OR(I13="",K13=""),"",SUM(FleetTableFuel[[#This Row],[Direct]:[Indirect WTT]]))</f>
        <v/>
      </c>
      <c r="M13" s="150"/>
      <c r="N13" s="151"/>
      <c r="O13" s="288" t="str" cm="1">
        <f t="array" ref="O13">IF(OR($C13="",$G13=""),"",(INDEX('Emission factors'!$K$3:$V$201,MATCH(Fleet!$C13&amp;$D13,'Emission factors'!$J$3:$J$201&amp;'Emission factors'!$K$3:$K$201,0),MATCH(FleetTableFuel[[#Headers],[Direct]],'Emission factors'!$K$2:$V$2,0)))*$I13)</f>
        <v/>
      </c>
      <c r="P13" s="288" t="str" cm="1">
        <f t="array" ref="P13">IF(OR($C13="",$G13=""),"",(INDEX('Emission factors'!$K$3:$V$201,MATCH(Fleet!$C13&amp;$D13,'Emission factors'!$J$3:$J$201&amp;'Emission factors'!$K$3:$K$201,0),MATCH(FleetTableFuel[[#Headers],[Indirect generation]],'Emission factors'!$K$2:$V$2,0)))*$I13)</f>
        <v/>
      </c>
      <c r="Q13" s="288" t="str" cm="1">
        <f t="array" ref="Q13">IF(OR($C13="",$G13=""),"",(INDEX('Emission factors'!$K$3:$V$201,MATCH(Fleet!$C13&amp;$D13,'Emission factors'!$J$3:$J$201&amp;'Emission factors'!$K$3:$K$201,0),MATCH(FleetTableFuel[[#Headers],[Indirect service]],'Emission factors'!$K$2:$V$2,0)))*$I13)</f>
        <v/>
      </c>
      <c r="R13" s="288" t="str" cm="1">
        <f t="array" ref="R13">IF(OR($C13="",$G13=""),"",(INDEX('Emission factors'!$K$3:$V$201,MATCH(Fleet!$C13&amp;$D13,'Emission factors'!$J$3:$J$201&amp;'Emission factors'!$K$3:$K$201,0),MATCH(FleetTableFuel[[#Headers],[Indirect T&amp;D]],'Emission factors'!$K$2:$V$2,0)))*$I13)</f>
        <v/>
      </c>
      <c r="S13" s="288" t="str" cm="1">
        <f t="array" ref="S13">IF(OR($C13="",$G13=""),"",(INDEX('Emission factors'!$K$3:$V$201,MATCH(Fleet!$C13&amp;$D13,'Emission factors'!$J$3:$J$201&amp;'Emission factors'!$K$3:$K$201,0),MATCH(FleetTableFuel[[#Headers],[Indirect WTT]],'Emission factors'!$K$2:$V$2,0)))*$I13)</f>
        <v/>
      </c>
      <c r="T13" s="289" t="str">
        <f>IF(OR($L13="",FleetTableFuel[[#This Row],[RSD]]=""),"",FleetTableFuel[[#This Row],[Total emissions (kgCO2e)]]*(1+FleetTableFuel[[#This Row],[RSD]]))</f>
        <v/>
      </c>
      <c r="U13" s="307" t="str">
        <f>IF(OR($L13="",FleetTableFuel[[#This Row],[RSD]]=""),"",FleetTableFuel[[#This Row],[Total emissions (kgCO2e)]]*(1-FleetTableFuel[[#This Row],[RSD]]))</f>
        <v/>
      </c>
      <c r="V13" s="445" t="str" cm="1">
        <f t="array" ref="V13">IF(OR($C13="",$G13=""),"",(INDEX('Emission factors'!$K$3:$V$201,MATCH(Fleet!$C13&amp;$D13,'Emission factors'!$J$3:$J$201&amp;'Emission factors'!$K$3:$K$201,0),MATCH(FleetTableFuel[[#Headers],[Outside of scopes]],'Emission factors'!$K$2:$V$2,0)))*$I13)</f>
        <v/>
      </c>
      <c r="X13" s="1" cm="1">
        <f t="array" ref="X13">IF(OR(ISERROR(B13:V13)),1,0)</f>
        <v>0</v>
      </c>
      <c r="Y13" s="1">
        <f t="shared" si="0"/>
        <v>0</v>
      </c>
    </row>
    <row r="14" spans="1:26" s="1" customFormat="1" ht="15" thickBot="1" x14ac:dyDescent="0.4">
      <c r="A14" s="41"/>
      <c r="B14" s="155"/>
      <c r="C14" s="151"/>
      <c r="D14" s="151"/>
      <c r="E14" s="151"/>
      <c r="F14" s="157" t="str">
        <f>IF(E14="","",INDEX(Lists!$BA$4:$BC$31,MATCH(C14,Lists!$AZ$4:$AZ$31,0),MATCH(E14,Lists!$BA$3:$BC$3,0)))</f>
        <v/>
      </c>
      <c r="G14" s="148"/>
      <c r="H14" s="151"/>
      <c r="I14" s="154" t="str" cm="1">
        <f t="array" ref="I14">IF(OR($C14="",$B14="",$G14="",$H14=""),"",IF(H14=J14,G14,(INDEX('Emission factors'!$K$3:$V$201,MATCH(C14&amp;D14,'Emission factors'!$J$3:$J$201&amp;'Emission factors'!$K$3:$K$201,0),MATCH(I$7,'Emission factors'!$K$2:$V$2,0)))*G14))</f>
        <v/>
      </c>
      <c r="J14" s="192" t="str">
        <f>IF(OR($C14="",$B14="",$G14="",$H14=""),"",INDEX('Emission factors'!$K$3:$V$201,MATCH(Fleet!$C14,'Emission factors'!$J$3:$J$201,0),MATCH($J$7,'Emission factors'!$K$2:$V$2,0)))</f>
        <v/>
      </c>
      <c r="K14" s="193" t="str" cm="1">
        <f t="array" ref="K14">IF(OR(C14="",G14="",FleetTableFuel[[#This Row],[Units]]=""),"",INDEX('Emission factors'!$K$3:$V$201,MATCH(FleetTableFuel[[#This Row],[Fuel]]&amp;D14,'Emission factors'!$J$3:$J$201&amp;'Emission factors'!$K$3:$K$201,0),MATCH(FleetTableFuel[[#Headers],[Total EF (kgCO2e/unit)]],'Emission factors'!$K$2:$V$2,0)))</f>
        <v/>
      </c>
      <c r="L14" s="287" t="str">
        <f>IF(OR(I14="",K14=""),"",SUM(FleetTableFuel[[#This Row],[Direct]:[Indirect WTT]]))</f>
        <v/>
      </c>
      <c r="M14" s="150"/>
      <c r="N14" s="151"/>
      <c r="O14" s="288" t="str" cm="1">
        <f t="array" ref="O14">IF(OR($C14="",$G14=""),"",(INDEX('Emission factors'!$K$3:$V$201,MATCH(Fleet!$C14&amp;$D14,'Emission factors'!$J$3:$J$201&amp;'Emission factors'!$K$3:$K$201,0),MATCH(FleetTableFuel[[#Headers],[Direct]],'Emission factors'!$K$2:$V$2,0)))*$I14)</f>
        <v/>
      </c>
      <c r="P14" s="288" t="str" cm="1">
        <f t="array" ref="P14">IF(OR($C14="",$G14=""),"",(INDEX('Emission factors'!$K$3:$V$201,MATCH(Fleet!$C14&amp;$D14,'Emission factors'!$J$3:$J$201&amp;'Emission factors'!$K$3:$K$201,0),MATCH(FleetTableFuel[[#Headers],[Indirect generation]],'Emission factors'!$K$2:$V$2,0)))*$I14)</f>
        <v/>
      </c>
      <c r="Q14" s="288" t="str" cm="1">
        <f t="array" ref="Q14">IF(OR($C14="",$G14=""),"",(INDEX('Emission factors'!$K$3:$V$201,MATCH(Fleet!$C14&amp;$D14,'Emission factors'!$J$3:$J$201&amp;'Emission factors'!$K$3:$K$201,0),MATCH(FleetTableFuel[[#Headers],[Indirect service]],'Emission factors'!$K$2:$V$2,0)))*$I14)</f>
        <v/>
      </c>
      <c r="R14" s="288" t="str" cm="1">
        <f t="array" ref="R14">IF(OR($C14="",$G14=""),"",(INDEX('Emission factors'!$K$3:$V$201,MATCH(Fleet!$C14&amp;$D14,'Emission factors'!$J$3:$J$201&amp;'Emission factors'!$K$3:$K$201,0),MATCH(FleetTableFuel[[#Headers],[Indirect T&amp;D]],'Emission factors'!$K$2:$V$2,0)))*$I14)</f>
        <v/>
      </c>
      <c r="S14" s="288" t="str" cm="1">
        <f t="array" ref="S14">IF(OR($C14="",$G14=""),"",(INDEX('Emission factors'!$K$3:$V$201,MATCH(Fleet!$C14&amp;$D14,'Emission factors'!$J$3:$J$201&amp;'Emission factors'!$K$3:$K$201,0),MATCH(FleetTableFuel[[#Headers],[Indirect WTT]],'Emission factors'!$K$2:$V$2,0)))*$I14)</f>
        <v/>
      </c>
      <c r="T14" s="289" t="str">
        <f>IF(OR($L14="",FleetTableFuel[[#This Row],[RSD]]=""),"",FleetTableFuel[[#This Row],[Total emissions (kgCO2e)]]*(1+FleetTableFuel[[#This Row],[RSD]]))</f>
        <v/>
      </c>
      <c r="U14" s="307" t="str">
        <f>IF(OR($L14="",FleetTableFuel[[#This Row],[RSD]]=""),"",FleetTableFuel[[#This Row],[Total emissions (kgCO2e)]]*(1-FleetTableFuel[[#This Row],[RSD]]))</f>
        <v/>
      </c>
      <c r="V14" s="445" t="str" cm="1">
        <f t="array" ref="V14">IF(OR($C14="",$G14=""),"",(INDEX('Emission factors'!$K$3:$V$201,MATCH(Fleet!$C14&amp;$D14,'Emission factors'!$J$3:$J$201&amp;'Emission factors'!$K$3:$K$201,0),MATCH(FleetTableFuel[[#Headers],[Outside of scopes]],'Emission factors'!$K$2:$V$2,0)))*$I14)</f>
        <v/>
      </c>
      <c r="X14" s="1" cm="1">
        <f t="array" ref="X14">IF(OR(ISERROR(B14:V14)),1,0)</f>
        <v>0</v>
      </c>
      <c r="Y14" s="1">
        <f t="shared" si="0"/>
        <v>0</v>
      </c>
    </row>
    <row r="15" spans="1:26" s="1" customFormat="1" ht="15" thickBot="1" x14ac:dyDescent="0.4">
      <c r="A15" s="41"/>
      <c r="B15" s="155"/>
      <c r="C15" s="151"/>
      <c r="D15" s="151"/>
      <c r="E15" s="151"/>
      <c r="F15" s="157" t="str">
        <f>IF(E15="","",INDEX(Lists!$BA$4:$BC$31,MATCH(C15,Lists!$AZ$4:$AZ$31,0),MATCH(E15,Lists!$BA$3:$BC$3,0)))</f>
        <v/>
      </c>
      <c r="G15" s="148"/>
      <c r="H15" s="151"/>
      <c r="I15" s="154" t="str" cm="1">
        <f t="array" ref="I15">IF(OR($C15="",$B15="",$G15="",$H15=""),"",IF(H15=J15,G15,(INDEX('Emission factors'!$K$3:$V$201,MATCH(C15&amp;D15,'Emission factors'!$J$3:$J$201&amp;'Emission factors'!$K$3:$K$201,0),MATCH(I$7,'Emission factors'!$K$2:$V$2,0)))*G15))</f>
        <v/>
      </c>
      <c r="J15" s="192" t="str">
        <f>IF(OR($C15="",$B15="",$G15="",$H15=""),"",INDEX('Emission factors'!$K$3:$V$201,MATCH(Fleet!$C15,'Emission factors'!$J$3:$J$201,0),MATCH($J$7,'Emission factors'!$K$2:$V$2,0)))</f>
        <v/>
      </c>
      <c r="K15" s="193" t="str" cm="1">
        <f t="array" ref="K15">IF(OR(C15="",G15="",FleetTableFuel[[#This Row],[Units]]=""),"",INDEX('Emission factors'!$K$3:$V$201,MATCH(FleetTableFuel[[#This Row],[Fuel]]&amp;D15,'Emission factors'!$J$3:$J$201&amp;'Emission factors'!$K$3:$K$201,0),MATCH(FleetTableFuel[[#Headers],[Total EF (kgCO2e/unit)]],'Emission factors'!$K$2:$V$2,0)))</f>
        <v/>
      </c>
      <c r="L15" s="287" t="str">
        <f>IF(OR(I15="",K15=""),"",SUM(FleetTableFuel[[#This Row],[Direct]:[Indirect WTT]]))</f>
        <v/>
      </c>
      <c r="M15" s="150"/>
      <c r="N15" s="151"/>
      <c r="O15" s="288" t="str" cm="1">
        <f t="array" ref="O15">IF(OR($C15="",$G15=""),"",(INDEX('Emission factors'!$K$3:$V$201,MATCH(Fleet!$C15&amp;$D15,'Emission factors'!$J$3:$J$201&amp;'Emission factors'!$K$3:$K$201,0),MATCH(FleetTableFuel[[#Headers],[Direct]],'Emission factors'!$K$2:$V$2,0)))*$I15)</f>
        <v/>
      </c>
      <c r="P15" s="288" t="str" cm="1">
        <f t="array" ref="P15">IF(OR($C15="",$G15=""),"",(INDEX('Emission factors'!$K$3:$V$201,MATCH(Fleet!$C15&amp;$D15,'Emission factors'!$J$3:$J$201&amp;'Emission factors'!$K$3:$K$201,0),MATCH(FleetTableFuel[[#Headers],[Indirect generation]],'Emission factors'!$K$2:$V$2,0)))*$I15)</f>
        <v/>
      </c>
      <c r="Q15" s="288" t="str" cm="1">
        <f t="array" ref="Q15">IF(OR($C15="",$G15=""),"",(INDEX('Emission factors'!$K$3:$V$201,MATCH(Fleet!$C15&amp;$D15,'Emission factors'!$J$3:$J$201&amp;'Emission factors'!$K$3:$K$201,0),MATCH(FleetTableFuel[[#Headers],[Indirect service]],'Emission factors'!$K$2:$V$2,0)))*$I15)</f>
        <v/>
      </c>
      <c r="R15" s="288" t="str" cm="1">
        <f t="array" ref="R15">IF(OR($C15="",$G15=""),"",(INDEX('Emission factors'!$K$3:$V$201,MATCH(Fleet!$C15&amp;$D15,'Emission factors'!$J$3:$J$201&amp;'Emission factors'!$K$3:$K$201,0),MATCH(FleetTableFuel[[#Headers],[Indirect T&amp;D]],'Emission factors'!$K$2:$V$2,0)))*$I15)</f>
        <v/>
      </c>
      <c r="S15" s="288" t="str" cm="1">
        <f t="array" ref="S15">IF(OR($C15="",$G15=""),"",(INDEX('Emission factors'!$K$3:$V$201,MATCH(Fleet!$C15&amp;$D15,'Emission factors'!$J$3:$J$201&amp;'Emission factors'!$K$3:$K$201,0),MATCH(FleetTableFuel[[#Headers],[Indirect WTT]],'Emission factors'!$K$2:$V$2,0)))*$I15)</f>
        <v/>
      </c>
      <c r="T15" s="289" t="str">
        <f>IF(OR($L15="",FleetTableFuel[[#This Row],[RSD]]=""),"",FleetTableFuel[[#This Row],[Total emissions (kgCO2e)]]*(1+FleetTableFuel[[#This Row],[RSD]]))</f>
        <v/>
      </c>
      <c r="U15" s="307" t="str">
        <f>IF(OR($L15="",FleetTableFuel[[#This Row],[RSD]]=""),"",FleetTableFuel[[#This Row],[Total emissions (kgCO2e)]]*(1-FleetTableFuel[[#This Row],[RSD]]))</f>
        <v/>
      </c>
      <c r="V15" s="445" t="str" cm="1">
        <f t="array" ref="V15">IF(OR($C15="",$G15=""),"",(INDEX('Emission factors'!$K$3:$V$201,MATCH(Fleet!$C15&amp;$D15,'Emission factors'!$J$3:$J$201&amp;'Emission factors'!$K$3:$K$201,0),MATCH(FleetTableFuel[[#Headers],[Outside of scopes]],'Emission factors'!$K$2:$V$2,0)))*$I15)</f>
        <v/>
      </c>
      <c r="X15" s="1" cm="1">
        <f t="array" ref="X15">IF(OR(ISERROR(B15:V15)),1,0)</f>
        <v>0</v>
      </c>
      <c r="Y15" s="1">
        <f t="shared" si="0"/>
        <v>0</v>
      </c>
    </row>
    <row r="16" spans="1:26" s="1" customFormat="1" ht="15" thickBot="1" x14ac:dyDescent="0.4">
      <c r="A16" s="41"/>
      <c r="B16" s="155"/>
      <c r="C16" s="151"/>
      <c r="D16" s="151"/>
      <c r="E16" s="151"/>
      <c r="F16" s="157" t="str">
        <f>IF(E16="","",INDEX(Lists!$BA$4:$BC$31,MATCH(C16,Lists!$AZ$4:$AZ$31,0),MATCH(E16,Lists!$BA$3:$BC$3,0)))</f>
        <v/>
      </c>
      <c r="G16" s="148"/>
      <c r="H16" s="151"/>
      <c r="I16" s="154" t="str" cm="1">
        <f t="array" ref="I16">IF(OR($C16="",$B16="",$G16="",$H16=""),"",IF(H16=J16,G16,(INDEX('Emission factors'!$K$3:$V$201,MATCH(C16&amp;D16,'Emission factors'!$J$3:$J$201&amp;'Emission factors'!$K$3:$K$201,0),MATCH(I$7,'Emission factors'!$K$2:$V$2,0)))*G16))</f>
        <v/>
      </c>
      <c r="J16" s="192" t="str">
        <f>IF(OR($C16="",$B16="",$G16="",$H16=""),"",INDEX('Emission factors'!$K$3:$V$201,MATCH(Fleet!$C16,'Emission factors'!$J$3:$J$201,0),MATCH($J$7,'Emission factors'!$K$2:$V$2,0)))</f>
        <v/>
      </c>
      <c r="K16" s="193" t="str" cm="1">
        <f t="array" ref="K16">IF(OR(C16="",G16="",FleetTableFuel[[#This Row],[Units]]=""),"",INDEX('Emission factors'!$K$3:$V$201,MATCH(FleetTableFuel[[#This Row],[Fuel]]&amp;D16,'Emission factors'!$J$3:$J$201&amp;'Emission factors'!$K$3:$K$201,0),MATCH(FleetTableFuel[[#Headers],[Total EF (kgCO2e/unit)]],'Emission factors'!$K$2:$V$2,0)))</f>
        <v/>
      </c>
      <c r="L16" s="287" t="str">
        <f>IF(OR(I16="",K16=""),"",SUM(FleetTableFuel[[#This Row],[Direct]:[Indirect WTT]]))</f>
        <v/>
      </c>
      <c r="M16" s="150"/>
      <c r="N16" s="151"/>
      <c r="O16" s="288" t="str" cm="1">
        <f t="array" ref="O16">IF(OR($C16="",$G16=""),"",(INDEX('Emission factors'!$K$3:$V$201,MATCH(Fleet!$C16&amp;$D16,'Emission factors'!$J$3:$J$201&amp;'Emission factors'!$K$3:$K$201,0),MATCH(FleetTableFuel[[#Headers],[Direct]],'Emission factors'!$K$2:$V$2,0)))*$I16)</f>
        <v/>
      </c>
      <c r="P16" s="288" t="str" cm="1">
        <f t="array" ref="P16">IF(OR($C16="",$G16=""),"",(INDEX('Emission factors'!$K$3:$V$201,MATCH(Fleet!$C16&amp;$D16,'Emission factors'!$J$3:$J$201&amp;'Emission factors'!$K$3:$K$201,0),MATCH(FleetTableFuel[[#Headers],[Indirect generation]],'Emission factors'!$K$2:$V$2,0)))*$I16)</f>
        <v/>
      </c>
      <c r="Q16" s="288" t="str" cm="1">
        <f t="array" ref="Q16">IF(OR($C16="",$G16=""),"",(INDEX('Emission factors'!$K$3:$V$201,MATCH(Fleet!$C16&amp;$D16,'Emission factors'!$J$3:$J$201&amp;'Emission factors'!$K$3:$K$201,0),MATCH(FleetTableFuel[[#Headers],[Indirect service]],'Emission factors'!$K$2:$V$2,0)))*$I16)</f>
        <v/>
      </c>
      <c r="R16" s="288" t="str" cm="1">
        <f t="array" ref="R16">IF(OR($C16="",$G16=""),"",(INDEX('Emission factors'!$K$3:$V$201,MATCH(Fleet!$C16&amp;$D16,'Emission factors'!$J$3:$J$201&amp;'Emission factors'!$K$3:$K$201,0),MATCH(FleetTableFuel[[#Headers],[Indirect T&amp;D]],'Emission factors'!$K$2:$V$2,0)))*$I16)</f>
        <v/>
      </c>
      <c r="S16" s="288" t="str" cm="1">
        <f t="array" ref="S16">IF(OR($C16="",$G16=""),"",(INDEX('Emission factors'!$K$3:$V$201,MATCH(Fleet!$C16&amp;$D16,'Emission factors'!$J$3:$J$201&amp;'Emission factors'!$K$3:$K$201,0),MATCH(FleetTableFuel[[#Headers],[Indirect WTT]],'Emission factors'!$K$2:$V$2,0)))*$I16)</f>
        <v/>
      </c>
      <c r="T16" s="289" t="str">
        <f>IF(OR($L16="",FleetTableFuel[[#This Row],[RSD]]=""),"",FleetTableFuel[[#This Row],[Total emissions (kgCO2e)]]*(1+FleetTableFuel[[#This Row],[RSD]]))</f>
        <v/>
      </c>
      <c r="U16" s="307" t="str">
        <f>IF(OR($L16="",FleetTableFuel[[#This Row],[RSD]]=""),"",FleetTableFuel[[#This Row],[Total emissions (kgCO2e)]]*(1-FleetTableFuel[[#This Row],[RSD]]))</f>
        <v/>
      </c>
      <c r="V16" s="445" t="str" cm="1">
        <f t="array" ref="V16">IF(OR($C16="",$G16=""),"",(INDEX('Emission factors'!$K$3:$V$201,MATCH(Fleet!$C16&amp;$D16,'Emission factors'!$J$3:$J$201&amp;'Emission factors'!$K$3:$K$201,0),MATCH(FleetTableFuel[[#Headers],[Outside of scopes]],'Emission factors'!$K$2:$V$2,0)))*$I16)</f>
        <v/>
      </c>
      <c r="X16" s="1" cm="1">
        <f t="array" ref="X16">IF(OR(ISERROR(B16:V16)),1,0)</f>
        <v>0</v>
      </c>
      <c r="Y16" s="1">
        <f t="shared" si="0"/>
        <v>0</v>
      </c>
    </row>
    <row r="17" spans="1:25" s="1" customFormat="1" ht="15" thickBot="1" x14ac:dyDescent="0.4">
      <c r="A17" s="41"/>
      <c r="B17" s="155"/>
      <c r="C17" s="151"/>
      <c r="D17" s="151"/>
      <c r="E17" s="151"/>
      <c r="F17" s="157" t="str">
        <f>IF(E17="","",INDEX(Lists!$BA$4:$BC$31,MATCH(C17,Lists!$AZ$4:$AZ$31,0),MATCH(E17,Lists!$BA$3:$BC$3,0)))</f>
        <v/>
      </c>
      <c r="G17" s="148"/>
      <c r="H17" s="151"/>
      <c r="I17" s="154" t="str" cm="1">
        <f t="array" ref="I17">IF(OR($C17="",$B17="",$G17="",$H17=""),"",IF(H17=J17,G17,(INDEX('Emission factors'!$K$3:$V$201,MATCH(C17&amp;D17,'Emission factors'!$J$3:$J$201&amp;'Emission factors'!$K$3:$K$201,0),MATCH(I$7,'Emission factors'!$K$2:$V$2,0)))*G17))</f>
        <v/>
      </c>
      <c r="J17" s="192" t="str">
        <f>IF(OR($C17="",$B17="",$G17="",$H17=""),"",INDEX('Emission factors'!$K$3:$V$201,MATCH(Fleet!$C17,'Emission factors'!$J$3:$J$201,0),MATCH($J$7,'Emission factors'!$K$2:$V$2,0)))</f>
        <v/>
      </c>
      <c r="K17" s="193" t="str" cm="1">
        <f t="array" ref="K17">IF(OR(C17="",G17="",FleetTableFuel[[#This Row],[Units]]=""),"",INDEX('Emission factors'!$K$3:$V$201,MATCH(FleetTableFuel[[#This Row],[Fuel]]&amp;D17,'Emission factors'!$J$3:$J$201&amp;'Emission factors'!$K$3:$K$201,0),MATCH(FleetTableFuel[[#Headers],[Total EF (kgCO2e/unit)]],'Emission factors'!$K$2:$V$2,0)))</f>
        <v/>
      </c>
      <c r="L17" s="287" t="str">
        <f>IF(OR(I17="",K17=""),"",SUM(FleetTableFuel[[#This Row],[Direct]:[Indirect WTT]]))</f>
        <v/>
      </c>
      <c r="M17" s="150"/>
      <c r="N17" s="151"/>
      <c r="O17" s="288" t="str" cm="1">
        <f t="array" ref="O17">IF(OR($C17="",$G17=""),"",(INDEX('Emission factors'!$K$3:$V$201,MATCH(Fleet!$C17&amp;$D17,'Emission factors'!$J$3:$J$201&amp;'Emission factors'!$K$3:$K$201,0),MATCH(FleetTableFuel[[#Headers],[Direct]],'Emission factors'!$K$2:$V$2,0)))*$I17)</f>
        <v/>
      </c>
      <c r="P17" s="288" t="str" cm="1">
        <f t="array" ref="P17">IF(OR($C17="",$G17=""),"",(INDEX('Emission factors'!$K$3:$V$201,MATCH(Fleet!$C17&amp;$D17,'Emission factors'!$J$3:$J$201&amp;'Emission factors'!$K$3:$K$201,0),MATCH(FleetTableFuel[[#Headers],[Indirect generation]],'Emission factors'!$K$2:$V$2,0)))*$I17)</f>
        <v/>
      </c>
      <c r="Q17" s="288" t="str" cm="1">
        <f t="array" ref="Q17">IF(OR($C17="",$G17=""),"",(INDEX('Emission factors'!$K$3:$V$201,MATCH(Fleet!$C17&amp;$D17,'Emission factors'!$J$3:$J$201&amp;'Emission factors'!$K$3:$K$201,0),MATCH(FleetTableFuel[[#Headers],[Indirect service]],'Emission factors'!$K$2:$V$2,0)))*$I17)</f>
        <v/>
      </c>
      <c r="R17" s="288" t="str" cm="1">
        <f t="array" ref="R17">IF(OR($C17="",$G17=""),"",(INDEX('Emission factors'!$K$3:$V$201,MATCH(Fleet!$C17&amp;$D17,'Emission factors'!$J$3:$J$201&amp;'Emission factors'!$K$3:$K$201,0),MATCH(FleetTableFuel[[#Headers],[Indirect T&amp;D]],'Emission factors'!$K$2:$V$2,0)))*$I17)</f>
        <v/>
      </c>
      <c r="S17" s="288" t="str" cm="1">
        <f t="array" ref="S17">IF(OR($C17="",$G17=""),"",(INDEX('Emission factors'!$K$3:$V$201,MATCH(Fleet!$C17&amp;$D17,'Emission factors'!$J$3:$J$201&amp;'Emission factors'!$K$3:$K$201,0),MATCH(FleetTableFuel[[#Headers],[Indirect WTT]],'Emission factors'!$K$2:$V$2,0)))*$I17)</f>
        <v/>
      </c>
      <c r="T17" s="289" t="str">
        <f>IF(OR($L17="",FleetTableFuel[[#This Row],[RSD]]=""),"",FleetTableFuel[[#This Row],[Total emissions (kgCO2e)]]*(1+FleetTableFuel[[#This Row],[RSD]]))</f>
        <v/>
      </c>
      <c r="U17" s="307" t="str">
        <f>IF(OR($L17="",FleetTableFuel[[#This Row],[RSD]]=""),"",FleetTableFuel[[#This Row],[Total emissions (kgCO2e)]]*(1-FleetTableFuel[[#This Row],[RSD]]))</f>
        <v/>
      </c>
      <c r="V17" s="445" t="str" cm="1">
        <f t="array" ref="V17">IF(OR($C17="",$G17=""),"",(INDEX('Emission factors'!$K$3:$V$201,MATCH(Fleet!$C17&amp;$D17,'Emission factors'!$J$3:$J$201&amp;'Emission factors'!$K$3:$K$201,0),MATCH(FleetTableFuel[[#Headers],[Outside of scopes]],'Emission factors'!$K$2:$V$2,0)))*$I17)</f>
        <v/>
      </c>
      <c r="X17" s="1" cm="1">
        <f t="array" ref="X17">IF(OR(ISERROR(B17:V17)),1,0)</f>
        <v>0</v>
      </c>
      <c r="Y17" s="1">
        <f t="shared" si="0"/>
        <v>0</v>
      </c>
    </row>
    <row r="18" spans="1:25" s="1" customFormat="1" ht="15" thickBot="1" x14ac:dyDescent="0.4">
      <c r="A18" s="41"/>
      <c r="B18" s="155"/>
      <c r="C18" s="151"/>
      <c r="D18" s="151"/>
      <c r="E18" s="151"/>
      <c r="F18" s="157" t="str">
        <f>IF(E18="","",INDEX(Lists!$BA$4:$BC$31,MATCH(C18,Lists!$AZ$4:$AZ$31,0),MATCH(E18,Lists!$BA$3:$BC$3,0)))</f>
        <v/>
      </c>
      <c r="G18" s="148"/>
      <c r="H18" s="151"/>
      <c r="I18" s="154" t="str" cm="1">
        <f t="array" ref="I18">IF(OR($C18="",$B18="",$G18="",$H18=""),"",IF(H18=J18,G18,(INDEX('Emission factors'!$K$3:$V$201,MATCH(C18&amp;D18,'Emission factors'!$J$3:$J$201&amp;'Emission factors'!$K$3:$K$201,0),MATCH(I$7,'Emission factors'!$K$2:$V$2,0)))*G18))</f>
        <v/>
      </c>
      <c r="J18" s="192" t="str">
        <f>IF(OR($C18="",$B18="",$G18="",$H18=""),"",INDEX('Emission factors'!$K$3:$V$201,MATCH(Fleet!$C18,'Emission factors'!$J$3:$J$201,0),MATCH($J$7,'Emission factors'!$K$2:$V$2,0)))</f>
        <v/>
      </c>
      <c r="K18" s="193" t="str" cm="1">
        <f t="array" ref="K18">IF(OR(C18="",G18="",FleetTableFuel[[#This Row],[Units]]=""),"",INDEX('Emission factors'!$K$3:$V$201,MATCH(FleetTableFuel[[#This Row],[Fuel]]&amp;D18,'Emission factors'!$J$3:$J$201&amp;'Emission factors'!$K$3:$K$201,0),MATCH(FleetTableFuel[[#Headers],[Total EF (kgCO2e/unit)]],'Emission factors'!$K$2:$V$2,0)))</f>
        <v/>
      </c>
      <c r="L18" s="287" t="str">
        <f>IF(OR(I18="",K18=""),"",SUM(FleetTableFuel[[#This Row],[Direct]:[Indirect WTT]]))</f>
        <v/>
      </c>
      <c r="M18" s="150"/>
      <c r="N18" s="151"/>
      <c r="O18" s="288" t="str" cm="1">
        <f t="array" ref="O18">IF(OR($C18="",$G18=""),"",(INDEX('Emission factors'!$K$3:$V$201,MATCH(Fleet!$C18&amp;$D18,'Emission factors'!$J$3:$J$201&amp;'Emission factors'!$K$3:$K$201,0),MATCH(FleetTableFuel[[#Headers],[Direct]],'Emission factors'!$K$2:$V$2,0)))*$I18)</f>
        <v/>
      </c>
      <c r="P18" s="288" t="str" cm="1">
        <f t="array" ref="P18">IF(OR($C18="",$G18=""),"",(INDEX('Emission factors'!$K$3:$V$201,MATCH(Fleet!$C18&amp;$D18,'Emission factors'!$J$3:$J$201&amp;'Emission factors'!$K$3:$K$201,0),MATCH(FleetTableFuel[[#Headers],[Indirect generation]],'Emission factors'!$K$2:$V$2,0)))*$I18)</f>
        <v/>
      </c>
      <c r="Q18" s="288" t="str" cm="1">
        <f t="array" ref="Q18">IF(OR($C18="",$G18=""),"",(INDEX('Emission factors'!$K$3:$V$201,MATCH(Fleet!$C18&amp;$D18,'Emission factors'!$J$3:$J$201&amp;'Emission factors'!$K$3:$K$201,0),MATCH(FleetTableFuel[[#Headers],[Indirect service]],'Emission factors'!$K$2:$V$2,0)))*$I18)</f>
        <v/>
      </c>
      <c r="R18" s="288" t="str" cm="1">
        <f t="array" ref="R18">IF(OR($C18="",$G18=""),"",(INDEX('Emission factors'!$K$3:$V$201,MATCH(Fleet!$C18&amp;$D18,'Emission factors'!$J$3:$J$201&amp;'Emission factors'!$K$3:$K$201,0),MATCH(FleetTableFuel[[#Headers],[Indirect T&amp;D]],'Emission factors'!$K$2:$V$2,0)))*$I18)</f>
        <v/>
      </c>
      <c r="S18" s="288" t="str" cm="1">
        <f t="array" ref="S18">IF(OR($C18="",$G18=""),"",(INDEX('Emission factors'!$K$3:$V$201,MATCH(Fleet!$C18&amp;$D18,'Emission factors'!$J$3:$J$201&amp;'Emission factors'!$K$3:$K$201,0),MATCH(FleetTableFuel[[#Headers],[Indirect WTT]],'Emission factors'!$K$2:$V$2,0)))*$I18)</f>
        <v/>
      </c>
      <c r="T18" s="289" t="str">
        <f>IF(OR($L18="",FleetTableFuel[[#This Row],[RSD]]=""),"",FleetTableFuel[[#This Row],[Total emissions (kgCO2e)]]*(1+FleetTableFuel[[#This Row],[RSD]]))</f>
        <v/>
      </c>
      <c r="U18" s="307" t="str">
        <f>IF(OR($L18="",FleetTableFuel[[#This Row],[RSD]]=""),"",FleetTableFuel[[#This Row],[Total emissions (kgCO2e)]]*(1-FleetTableFuel[[#This Row],[RSD]]))</f>
        <v/>
      </c>
      <c r="V18" s="288" t="str" cm="1">
        <f t="array" ref="V18">IF(OR($C18="",$G18=""),"",(INDEX('Emission factors'!$K$3:$V$201,MATCH(Fleet!$C18&amp;$D18,'Emission factors'!$J$3:$J$201&amp;'Emission factors'!$K$3:$K$201,0),MATCH(FleetTableFuel[[#Headers],[Outside of scopes]],'Emission factors'!$K$2:$V$2,0)))*$I18)</f>
        <v/>
      </c>
      <c r="X18" s="1" cm="1">
        <f t="array" ref="X18">IF(OR(ISERROR(B18:V18)),1,0)</f>
        <v>0</v>
      </c>
      <c r="Y18" s="1">
        <f t="shared" si="0"/>
        <v>0</v>
      </c>
    </row>
    <row r="19" spans="1:25" s="1" customFormat="1" ht="15" thickBot="1" x14ac:dyDescent="0.4">
      <c r="A19" s="41"/>
      <c r="B19" s="155"/>
      <c r="C19" s="151"/>
      <c r="D19" s="151"/>
      <c r="E19" s="151"/>
      <c r="F19" s="157" t="str">
        <f>IF(E19="","",INDEX(Lists!$BA$4:$BC$31,MATCH(C19,Lists!$AZ$4:$AZ$31,0),MATCH(E19,Lists!$BA$3:$BC$3,0)))</f>
        <v/>
      </c>
      <c r="G19" s="148"/>
      <c r="H19" s="151"/>
      <c r="I19" s="154" t="str" cm="1">
        <f t="array" ref="I19">IF(OR($C19="",$B19="",$G19="",$H19=""),"",IF(H19=J19,G19,(INDEX('Emission factors'!$K$3:$V$201,MATCH(C19&amp;D19,'Emission factors'!$J$3:$J$201&amp;'Emission factors'!$K$3:$K$201,0),MATCH(I$7,'Emission factors'!$K$2:$V$2,0)))*G19))</f>
        <v/>
      </c>
      <c r="J19" s="192" t="str">
        <f>IF(OR($C19="",$B19="",$G19="",$H19=""),"",INDEX('Emission factors'!$K$3:$V$201,MATCH(Fleet!$C19,'Emission factors'!$J$3:$J$201,0),MATCH($J$7,'Emission factors'!$K$2:$V$2,0)))</f>
        <v/>
      </c>
      <c r="K19" s="193" t="str" cm="1">
        <f t="array" ref="K19">IF(OR(C19="",G19="",FleetTableFuel[[#This Row],[Units]]=""),"",INDEX('Emission factors'!$K$3:$V$201,MATCH(FleetTableFuel[[#This Row],[Fuel]]&amp;D19,'Emission factors'!$J$3:$J$201&amp;'Emission factors'!$K$3:$K$201,0),MATCH(FleetTableFuel[[#Headers],[Total EF (kgCO2e/unit)]],'Emission factors'!$K$2:$V$2,0)))</f>
        <v/>
      </c>
      <c r="L19" s="287" t="str">
        <f>IF(OR(I19="",K19=""),"",SUM(FleetTableFuel[[#This Row],[Direct]:[Indirect WTT]]))</f>
        <v/>
      </c>
      <c r="M19" s="150"/>
      <c r="N19" s="151"/>
      <c r="O19" s="288" t="str" cm="1">
        <f t="array" ref="O19">IF(OR($C19="",$G19=""),"",(INDEX('Emission factors'!$K$3:$V$201,MATCH(Fleet!$C19&amp;$D19,'Emission factors'!$J$3:$J$201&amp;'Emission factors'!$K$3:$K$201,0),MATCH(FleetTableFuel[[#Headers],[Direct]],'Emission factors'!$K$2:$V$2,0)))*$I19)</f>
        <v/>
      </c>
      <c r="P19" s="288" t="str" cm="1">
        <f t="array" ref="P19">IF(OR($C19="",$G19=""),"",(INDEX('Emission factors'!$K$3:$V$201,MATCH(Fleet!$C19&amp;$D19,'Emission factors'!$J$3:$J$201&amp;'Emission factors'!$K$3:$K$201,0),MATCH(FleetTableFuel[[#Headers],[Indirect generation]],'Emission factors'!$K$2:$V$2,0)))*$I19)</f>
        <v/>
      </c>
      <c r="Q19" s="288" t="str" cm="1">
        <f t="array" ref="Q19">IF(OR($C19="",$G19=""),"",(INDEX('Emission factors'!$K$3:$V$201,MATCH(Fleet!$C19&amp;$D19,'Emission factors'!$J$3:$J$201&amp;'Emission factors'!$K$3:$K$201,0),MATCH(FleetTableFuel[[#Headers],[Indirect service]],'Emission factors'!$K$2:$V$2,0)))*$I19)</f>
        <v/>
      </c>
      <c r="R19" s="288" t="str" cm="1">
        <f t="array" ref="R19">IF(OR($C19="",$G19=""),"",(INDEX('Emission factors'!$K$3:$V$201,MATCH(Fleet!$C19&amp;$D19,'Emission factors'!$J$3:$J$201&amp;'Emission factors'!$K$3:$K$201,0),MATCH(FleetTableFuel[[#Headers],[Indirect T&amp;D]],'Emission factors'!$K$2:$V$2,0)))*$I19)</f>
        <v/>
      </c>
      <c r="S19" s="288" t="str" cm="1">
        <f t="array" ref="S19">IF(OR($C19="",$G19=""),"",(INDEX('Emission factors'!$K$3:$V$201,MATCH(Fleet!$C19&amp;$D19,'Emission factors'!$J$3:$J$201&amp;'Emission factors'!$K$3:$K$201,0),MATCH(FleetTableFuel[[#Headers],[Indirect WTT]],'Emission factors'!$K$2:$V$2,0)))*$I19)</f>
        <v/>
      </c>
      <c r="T19" s="289" t="str">
        <f>IF(OR($L19="",FleetTableFuel[[#This Row],[RSD]]=""),"",FleetTableFuel[[#This Row],[Total emissions (kgCO2e)]]*(1+FleetTableFuel[[#This Row],[RSD]]))</f>
        <v/>
      </c>
      <c r="U19" s="307" t="str">
        <f>IF(OR($L19="",FleetTableFuel[[#This Row],[RSD]]=""),"",FleetTableFuel[[#This Row],[Total emissions (kgCO2e)]]*(1-FleetTableFuel[[#This Row],[RSD]]))</f>
        <v/>
      </c>
      <c r="V19" s="288" t="str" cm="1">
        <f t="array" ref="V19">IF(OR($C19="",$G19=""),"",(INDEX('Emission factors'!$K$3:$V$201,MATCH(Fleet!$C19&amp;$D19,'Emission factors'!$J$3:$J$201&amp;'Emission factors'!$K$3:$K$201,0),MATCH(FleetTableFuel[[#Headers],[Outside of scopes]],'Emission factors'!$K$2:$V$2,0)))*$I19)</f>
        <v/>
      </c>
      <c r="X19" s="1" cm="1">
        <f t="array" ref="X19">IF(OR(ISERROR(B19:V19)),1,0)</f>
        <v>0</v>
      </c>
      <c r="Y19" s="1">
        <f t="shared" si="0"/>
        <v>0</v>
      </c>
    </row>
    <row r="20" spans="1:25" s="1" customFormat="1" ht="15" thickBot="1" x14ac:dyDescent="0.4">
      <c r="A20" s="41"/>
      <c r="B20" s="155"/>
      <c r="C20" s="151"/>
      <c r="D20" s="151"/>
      <c r="E20" s="151"/>
      <c r="F20" s="157" t="str">
        <f>IF(E20="","",INDEX(Lists!$BA$4:$BC$31,MATCH(C20,Lists!$AZ$4:$AZ$31,0),MATCH(E20,Lists!$BA$3:$BC$3,0)))</f>
        <v/>
      </c>
      <c r="G20" s="148"/>
      <c r="H20" s="151"/>
      <c r="I20" s="154" t="str" cm="1">
        <f t="array" ref="I20">IF(OR($C20="",$B20="",$G20="",$H20=""),"",IF(H20=J20,G20,(INDEX('Emission factors'!$K$3:$V$201,MATCH(C20&amp;D20,'Emission factors'!$J$3:$J$201&amp;'Emission factors'!$K$3:$K$201,0),MATCH(I$7,'Emission factors'!$K$2:$V$2,0)))*G20))</f>
        <v/>
      </c>
      <c r="J20" s="192" t="str">
        <f>IF(OR($C20="",$B20="",$G20="",$H20=""),"",INDEX('Emission factors'!$K$3:$V$201,MATCH(Fleet!$C20,'Emission factors'!$J$3:$J$201,0),MATCH($J$7,'Emission factors'!$K$2:$V$2,0)))</f>
        <v/>
      </c>
      <c r="K20" s="193" t="str" cm="1">
        <f t="array" ref="K20">IF(OR(C20="",G20="",FleetTableFuel[[#This Row],[Units]]=""),"",INDEX('Emission factors'!$K$3:$V$201,MATCH(FleetTableFuel[[#This Row],[Fuel]]&amp;D20,'Emission factors'!$J$3:$J$201&amp;'Emission factors'!$K$3:$K$201,0),MATCH(FleetTableFuel[[#Headers],[Total EF (kgCO2e/unit)]],'Emission factors'!$K$2:$V$2,0)))</f>
        <v/>
      </c>
      <c r="L20" s="287" t="str">
        <f>IF(OR(I20="",K20=""),"",SUM(FleetTableFuel[[#This Row],[Direct]:[Indirect WTT]]))</f>
        <v/>
      </c>
      <c r="M20" s="150"/>
      <c r="N20" s="151"/>
      <c r="O20" s="288" t="str" cm="1">
        <f t="array" ref="O20">IF(OR($C20="",$G20=""),"",(INDEX('Emission factors'!$K$3:$V$201,MATCH(Fleet!$C20&amp;$D20,'Emission factors'!$J$3:$J$201&amp;'Emission factors'!$K$3:$K$201,0),MATCH(FleetTableFuel[[#Headers],[Direct]],'Emission factors'!$K$2:$V$2,0)))*$I20)</f>
        <v/>
      </c>
      <c r="P20" s="288" t="str" cm="1">
        <f t="array" ref="P20">IF(OR($C20="",$G20=""),"",(INDEX('Emission factors'!$K$3:$V$201,MATCH(Fleet!$C20&amp;$D20,'Emission factors'!$J$3:$J$201&amp;'Emission factors'!$K$3:$K$201,0),MATCH(FleetTableFuel[[#Headers],[Indirect generation]],'Emission factors'!$K$2:$V$2,0)))*$I20)</f>
        <v/>
      </c>
      <c r="Q20" s="288" t="str" cm="1">
        <f t="array" ref="Q20">IF(OR($C20="",$G20=""),"",(INDEX('Emission factors'!$K$3:$V$201,MATCH(Fleet!$C20&amp;$D20,'Emission factors'!$J$3:$J$201&amp;'Emission factors'!$K$3:$K$201,0),MATCH(FleetTableFuel[[#Headers],[Indirect service]],'Emission factors'!$K$2:$V$2,0)))*$I20)</f>
        <v/>
      </c>
      <c r="R20" s="288" t="str" cm="1">
        <f t="array" ref="R20">IF(OR($C20="",$G20=""),"",(INDEX('Emission factors'!$K$3:$V$201,MATCH(Fleet!$C20&amp;$D20,'Emission factors'!$J$3:$J$201&amp;'Emission factors'!$K$3:$K$201,0),MATCH(FleetTableFuel[[#Headers],[Indirect T&amp;D]],'Emission factors'!$K$2:$V$2,0)))*$I20)</f>
        <v/>
      </c>
      <c r="S20" s="288" t="str" cm="1">
        <f t="array" ref="S20">IF(OR($C20="",$G20=""),"",(INDEX('Emission factors'!$K$3:$V$201,MATCH(Fleet!$C20&amp;$D20,'Emission factors'!$J$3:$J$201&amp;'Emission factors'!$K$3:$K$201,0),MATCH(FleetTableFuel[[#Headers],[Indirect WTT]],'Emission factors'!$K$2:$V$2,0)))*$I20)</f>
        <v/>
      </c>
      <c r="T20" s="289" t="str">
        <f>IF(OR($L20="",FleetTableFuel[[#This Row],[RSD]]=""),"",FleetTableFuel[[#This Row],[Total emissions (kgCO2e)]]*(1+FleetTableFuel[[#This Row],[RSD]]))</f>
        <v/>
      </c>
      <c r="U20" s="307" t="str">
        <f>IF(OR($L20="",FleetTableFuel[[#This Row],[RSD]]=""),"",FleetTableFuel[[#This Row],[Total emissions (kgCO2e)]]*(1-FleetTableFuel[[#This Row],[RSD]]))</f>
        <v/>
      </c>
      <c r="V20" s="288" t="str" cm="1">
        <f t="array" ref="V20">IF(OR($C20="",$G20=""),"",(INDEX('Emission factors'!$K$3:$V$201,MATCH(Fleet!$C20&amp;$D20,'Emission factors'!$J$3:$J$201&amp;'Emission factors'!$K$3:$K$201,0),MATCH(FleetTableFuel[[#Headers],[Outside of scopes]],'Emission factors'!$K$2:$V$2,0)))*$I20)</f>
        <v/>
      </c>
      <c r="X20" s="1" cm="1">
        <f t="array" ref="X20">IF(OR(ISERROR(B20:V20)),1,0)</f>
        <v>0</v>
      </c>
      <c r="Y20" s="1">
        <f t="shared" si="0"/>
        <v>0</v>
      </c>
    </row>
    <row r="21" spans="1:25" s="1" customFormat="1" ht="15" thickBot="1" x14ac:dyDescent="0.4">
      <c r="A21" s="41"/>
      <c r="B21" s="155"/>
      <c r="C21" s="151"/>
      <c r="D21" s="151"/>
      <c r="E21" s="151"/>
      <c r="F21" s="157" t="str">
        <f>IF(E21="","",INDEX(Lists!$BA$4:$BC$31,MATCH(C21,Lists!$AZ$4:$AZ$31,0),MATCH(E21,Lists!$BA$3:$BC$3,0)))</f>
        <v/>
      </c>
      <c r="G21" s="148"/>
      <c r="H21" s="151"/>
      <c r="I21" s="154" t="str" cm="1">
        <f t="array" ref="I21">IF(OR($C21="",$B21="",$G21="",$H21=""),"",IF(H21=J21,G21,(INDEX('Emission factors'!$K$3:$V$201,MATCH(C21&amp;D21,'Emission factors'!$J$3:$J$201&amp;'Emission factors'!$K$3:$K$201,0),MATCH(I$7,'Emission factors'!$K$2:$V$2,0)))*G21))</f>
        <v/>
      </c>
      <c r="J21" s="192" t="str">
        <f>IF(OR($C21="",$B21="",$G21="",$H21=""),"",INDEX('Emission factors'!$K$3:$V$201,MATCH(Fleet!$C21,'Emission factors'!$J$3:$J$201,0),MATCH($J$7,'Emission factors'!$K$2:$V$2,0)))</f>
        <v/>
      </c>
      <c r="K21" s="193" t="str" cm="1">
        <f t="array" ref="K21">IF(OR(C21="",G21="",FleetTableFuel[[#This Row],[Units]]=""),"",INDEX('Emission factors'!$K$3:$V$201,MATCH(FleetTableFuel[[#This Row],[Fuel]]&amp;D21,'Emission factors'!$J$3:$J$201&amp;'Emission factors'!$K$3:$K$201,0),MATCH(FleetTableFuel[[#Headers],[Total EF (kgCO2e/unit)]],'Emission factors'!$K$2:$V$2,0)))</f>
        <v/>
      </c>
      <c r="L21" s="287" t="str">
        <f>IF(OR(I21="",K21=""),"",SUM(FleetTableFuel[[#This Row],[Direct]:[Indirect WTT]]))</f>
        <v/>
      </c>
      <c r="M21" s="150"/>
      <c r="N21" s="151"/>
      <c r="O21" s="288" t="str" cm="1">
        <f t="array" ref="O21">IF(OR($C21="",$G21=""),"",(INDEX('Emission factors'!$K$3:$V$201,MATCH(Fleet!$C21&amp;$D21,'Emission factors'!$J$3:$J$201&amp;'Emission factors'!$K$3:$K$201,0),MATCH(FleetTableFuel[[#Headers],[Direct]],'Emission factors'!$K$2:$V$2,0)))*$I21)</f>
        <v/>
      </c>
      <c r="P21" s="288" t="str" cm="1">
        <f t="array" ref="P21">IF(OR($C21="",$G21=""),"",(INDEX('Emission factors'!$K$3:$V$201,MATCH(Fleet!$C21&amp;$D21,'Emission factors'!$J$3:$J$201&amp;'Emission factors'!$K$3:$K$201,0),MATCH(FleetTableFuel[[#Headers],[Indirect generation]],'Emission factors'!$K$2:$V$2,0)))*$I21)</f>
        <v/>
      </c>
      <c r="Q21" s="288" t="str" cm="1">
        <f t="array" ref="Q21">IF(OR($C21="",$G21=""),"",(INDEX('Emission factors'!$K$3:$V$201,MATCH(Fleet!$C21&amp;$D21,'Emission factors'!$J$3:$J$201&amp;'Emission factors'!$K$3:$K$201,0),MATCH(FleetTableFuel[[#Headers],[Indirect service]],'Emission factors'!$K$2:$V$2,0)))*$I21)</f>
        <v/>
      </c>
      <c r="R21" s="288" t="str" cm="1">
        <f t="array" ref="R21">IF(OR($C21="",$G21=""),"",(INDEX('Emission factors'!$K$3:$V$201,MATCH(Fleet!$C21&amp;$D21,'Emission factors'!$J$3:$J$201&amp;'Emission factors'!$K$3:$K$201,0),MATCH(FleetTableFuel[[#Headers],[Indirect T&amp;D]],'Emission factors'!$K$2:$V$2,0)))*$I21)</f>
        <v/>
      </c>
      <c r="S21" s="288" t="str" cm="1">
        <f t="array" ref="S21">IF(OR($C21="",$G21=""),"",(INDEX('Emission factors'!$K$3:$V$201,MATCH(Fleet!$C21&amp;$D21,'Emission factors'!$J$3:$J$201&amp;'Emission factors'!$K$3:$K$201,0),MATCH(FleetTableFuel[[#Headers],[Indirect WTT]],'Emission factors'!$K$2:$V$2,0)))*$I21)</f>
        <v/>
      </c>
      <c r="T21" s="289" t="str">
        <f>IF(OR($L21="",FleetTableFuel[[#This Row],[RSD]]=""),"",FleetTableFuel[[#This Row],[Total emissions (kgCO2e)]]*(1+FleetTableFuel[[#This Row],[RSD]]))</f>
        <v/>
      </c>
      <c r="U21" s="307" t="str">
        <f>IF(OR($L21="",FleetTableFuel[[#This Row],[RSD]]=""),"",FleetTableFuel[[#This Row],[Total emissions (kgCO2e)]]*(1-FleetTableFuel[[#This Row],[RSD]]))</f>
        <v/>
      </c>
      <c r="V21" s="288" t="str" cm="1">
        <f t="array" ref="V21">IF(OR($C21="",$G21=""),"",(INDEX('Emission factors'!$K$3:$V$201,MATCH(Fleet!$C21&amp;$D21,'Emission factors'!$J$3:$J$201&amp;'Emission factors'!$K$3:$K$201,0),MATCH(FleetTableFuel[[#Headers],[Outside of scopes]],'Emission factors'!$K$2:$V$2,0)))*$I21)</f>
        <v/>
      </c>
      <c r="X21" s="1" cm="1">
        <f t="array" ref="X21">IF(OR(ISERROR(B21:V21)),1,0)</f>
        <v>0</v>
      </c>
      <c r="Y21" s="1">
        <f t="shared" si="0"/>
        <v>0</v>
      </c>
    </row>
    <row r="22" spans="1:25" s="1" customFormat="1" ht="15" thickBot="1" x14ac:dyDescent="0.4">
      <c r="A22" s="41"/>
      <c r="B22" s="155"/>
      <c r="C22" s="151"/>
      <c r="D22" s="151"/>
      <c r="E22" s="151"/>
      <c r="F22" s="157" t="str">
        <f>IF(E22="","",INDEX(Lists!$BA$4:$BC$31,MATCH(C22,Lists!$AZ$4:$AZ$31,0),MATCH(E22,Lists!$BA$3:$BC$3,0)))</f>
        <v/>
      </c>
      <c r="G22" s="148"/>
      <c r="H22" s="151"/>
      <c r="I22" s="154" t="str" cm="1">
        <f t="array" ref="I22">IF(OR($C22="",$B22="",$G22="",$H22=""),"",IF(H22=J22,G22,(INDEX('Emission factors'!$K$3:$V$201,MATCH(C22&amp;D22,'Emission factors'!$J$3:$J$201&amp;'Emission factors'!$K$3:$K$201,0),MATCH(I$7,'Emission factors'!$K$2:$V$2,0)))*G22))</f>
        <v/>
      </c>
      <c r="J22" s="192" t="str">
        <f>IF(OR($C22="",$B22="",$G22="",$H22=""),"",INDEX('Emission factors'!$K$3:$V$201,MATCH(Fleet!$C22,'Emission factors'!$J$3:$J$201,0),MATCH($J$7,'Emission factors'!$K$2:$V$2,0)))</f>
        <v/>
      </c>
      <c r="K22" s="193" t="str" cm="1">
        <f t="array" ref="K22">IF(OR(C22="",G22="",FleetTableFuel[[#This Row],[Units]]=""),"",INDEX('Emission factors'!$K$3:$V$201,MATCH(FleetTableFuel[[#This Row],[Fuel]]&amp;D22,'Emission factors'!$J$3:$J$201&amp;'Emission factors'!$K$3:$K$201,0),MATCH(FleetTableFuel[[#Headers],[Total EF (kgCO2e/unit)]],'Emission factors'!$K$2:$V$2,0)))</f>
        <v/>
      </c>
      <c r="L22" s="287" t="str">
        <f>IF(OR(I22="",K22=""),"",SUM(FleetTableFuel[[#This Row],[Direct]:[Indirect WTT]]))</f>
        <v/>
      </c>
      <c r="M22" s="150"/>
      <c r="N22" s="151"/>
      <c r="O22" s="288" t="str" cm="1">
        <f t="array" ref="O22">IF(OR($C22="",$G22=""),"",(INDEX('Emission factors'!$K$3:$V$201,MATCH(Fleet!$C22&amp;$D22,'Emission factors'!$J$3:$J$201&amp;'Emission factors'!$K$3:$K$201,0),MATCH(FleetTableFuel[[#Headers],[Direct]],'Emission factors'!$K$2:$V$2,0)))*$I22)</f>
        <v/>
      </c>
      <c r="P22" s="288" t="str" cm="1">
        <f t="array" ref="P22">IF(OR($C22="",$G22=""),"",(INDEX('Emission factors'!$K$3:$V$201,MATCH(Fleet!$C22&amp;$D22,'Emission factors'!$J$3:$J$201&amp;'Emission factors'!$K$3:$K$201,0),MATCH(FleetTableFuel[[#Headers],[Indirect generation]],'Emission factors'!$K$2:$V$2,0)))*$I22)</f>
        <v/>
      </c>
      <c r="Q22" s="288" t="str" cm="1">
        <f t="array" ref="Q22">IF(OR($C22="",$G22=""),"",(INDEX('Emission factors'!$K$3:$V$201,MATCH(Fleet!$C22&amp;$D22,'Emission factors'!$J$3:$J$201&amp;'Emission factors'!$K$3:$K$201,0),MATCH(FleetTableFuel[[#Headers],[Indirect service]],'Emission factors'!$K$2:$V$2,0)))*$I22)</f>
        <v/>
      </c>
      <c r="R22" s="288" t="str" cm="1">
        <f t="array" ref="R22">IF(OR($C22="",$G22=""),"",(INDEX('Emission factors'!$K$3:$V$201,MATCH(Fleet!$C22&amp;$D22,'Emission factors'!$J$3:$J$201&amp;'Emission factors'!$K$3:$K$201,0),MATCH(FleetTableFuel[[#Headers],[Indirect T&amp;D]],'Emission factors'!$K$2:$V$2,0)))*$I22)</f>
        <v/>
      </c>
      <c r="S22" s="288" t="str" cm="1">
        <f t="array" ref="S22">IF(OR($C22="",$G22=""),"",(INDEX('Emission factors'!$K$3:$V$201,MATCH(Fleet!$C22&amp;$D22,'Emission factors'!$J$3:$J$201&amp;'Emission factors'!$K$3:$K$201,0),MATCH(FleetTableFuel[[#Headers],[Indirect WTT]],'Emission factors'!$K$2:$V$2,0)))*$I22)</f>
        <v/>
      </c>
      <c r="T22" s="289" t="str">
        <f>IF(OR($L22="",FleetTableFuel[[#This Row],[RSD]]=""),"",FleetTableFuel[[#This Row],[Total emissions (kgCO2e)]]*(1+FleetTableFuel[[#This Row],[RSD]]))</f>
        <v/>
      </c>
      <c r="U22" s="307" t="str">
        <f>IF(OR($L22="",FleetTableFuel[[#This Row],[RSD]]=""),"",FleetTableFuel[[#This Row],[Total emissions (kgCO2e)]]*(1-FleetTableFuel[[#This Row],[RSD]]))</f>
        <v/>
      </c>
      <c r="V22" s="288" t="str" cm="1">
        <f t="array" ref="V22">IF(OR($C22="",$G22=""),"",(INDEX('Emission factors'!$K$3:$V$201,MATCH(Fleet!$C22&amp;$D22,'Emission factors'!$J$3:$J$201&amp;'Emission factors'!$K$3:$K$201,0),MATCH(FleetTableFuel[[#Headers],[Outside of scopes]],'Emission factors'!$K$2:$V$2,0)))*$I22)</f>
        <v/>
      </c>
      <c r="X22" s="1" cm="1">
        <f t="array" ref="X22">IF(OR(ISERROR(B22:V22)),1,0)</f>
        <v>0</v>
      </c>
      <c r="Y22" s="1">
        <f t="shared" si="0"/>
        <v>0</v>
      </c>
    </row>
    <row r="23" spans="1:25" s="1" customFormat="1" ht="15" thickBot="1" x14ac:dyDescent="0.4">
      <c r="A23" s="41"/>
      <c r="B23" s="155"/>
      <c r="C23" s="151"/>
      <c r="D23" s="151"/>
      <c r="E23" s="151"/>
      <c r="F23" s="157" t="str">
        <f>IF(E23="","",INDEX(Lists!$BA$4:$BC$31,MATCH(C23,Lists!$AZ$4:$AZ$31,0),MATCH(E23,Lists!$BA$3:$BC$3,0)))</f>
        <v/>
      </c>
      <c r="G23" s="148"/>
      <c r="H23" s="151"/>
      <c r="I23" s="154" t="str" cm="1">
        <f t="array" ref="I23">IF(OR($C23="",$B23="",$G23="",$H23=""),"",IF(H23=J23,G23,(INDEX('Emission factors'!$K$3:$V$201,MATCH(C23&amp;D23,'Emission factors'!$J$3:$J$201&amp;'Emission factors'!$K$3:$K$201,0),MATCH(I$7,'Emission factors'!$K$2:$V$2,0)))*G23))</f>
        <v/>
      </c>
      <c r="J23" s="192" t="str">
        <f>IF(OR($C23="",$B23="",$G23="",$H23=""),"",INDEX('Emission factors'!$K$3:$V$201,MATCH(Fleet!$C23,'Emission factors'!$J$3:$J$201,0),MATCH($J$7,'Emission factors'!$K$2:$V$2,0)))</f>
        <v/>
      </c>
      <c r="K23" s="193" t="str" cm="1">
        <f t="array" ref="K23">IF(OR(C23="",G23="",FleetTableFuel[[#This Row],[Units]]=""),"",INDEX('Emission factors'!$K$3:$V$201,MATCH(FleetTableFuel[[#This Row],[Fuel]]&amp;D23,'Emission factors'!$J$3:$J$201&amp;'Emission factors'!$K$3:$K$201,0),MATCH(FleetTableFuel[[#Headers],[Total EF (kgCO2e/unit)]],'Emission factors'!$K$2:$V$2,0)))</f>
        <v/>
      </c>
      <c r="L23" s="287" t="str">
        <f>IF(OR(I23="",K23=""),"",SUM(FleetTableFuel[[#This Row],[Direct]:[Indirect WTT]]))</f>
        <v/>
      </c>
      <c r="M23" s="150"/>
      <c r="N23" s="151"/>
      <c r="O23" s="288" t="str" cm="1">
        <f t="array" ref="O23">IF(OR($C23="",$G23=""),"",(INDEX('Emission factors'!$K$3:$V$201,MATCH(Fleet!$C23&amp;$D23,'Emission factors'!$J$3:$J$201&amp;'Emission factors'!$K$3:$K$201,0),MATCH(FleetTableFuel[[#Headers],[Direct]],'Emission factors'!$K$2:$V$2,0)))*$I23)</f>
        <v/>
      </c>
      <c r="P23" s="288" t="str" cm="1">
        <f t="array" ref="P23">IF(OR($C23="",$G23=""),"",(INDEX('Emission factors'!$K$3:$V$201,MATCH(Fleet!$C23&amp;$D23,'Emission factors'!$J$3:$J$201&amp;'Emission factors'!$K$3:$K$201,0),MATCH(FleetTableFuel[[#Headers],[Indirect generation]],'Emission factors'!$K$2:$V$2,0)))*$I23)</f>
        <v/>
      </c>
      <c r="Q23" s="288" t="str" cm="1">
        <f t="array" ref="Q23">IF(OR($C23="",$G23=""),"",(INDEX('Emission factors'!$K$3:$V$201,MATCH(Fleet!$C23&amp;$D23,'Emission factors'!$J$3:$J$201&amp;'Emission factors'!$K$3:$K$201,0),MATCH(FleetTableFuel[[#Headers],[Indirect service]],'Emission factors'!$K$2:$V$2,0)))*$I23)</f>
        <v/>
      </c>
      <c r="R23" s="288" t="str" cm="1">
        <f t="array" ref="R23">IF(OR($C23="",$G23=""),"",(INDEX('Emission factors'!$K$3:$V$201,MATCH(Fleet!$C23&amp;$D23,'Emission factors'!$J$3:$J$201&amp;'Emission factors'!$K$3:$K$201,0),MATCH(FleetTableFuel[[#Headers],[Indirect T&amp;D]],'Emission factors'!$K$2:$V$2,0)))*$I23)</f>
        <v/>
      </c>
      <c r="S23" s="288" t="str" cm="1">
        <f t="array" ref="S23">IF(OR($C23="",$G23=""),"",(INDEX('Emission factors'!$K$3:$V$201,MATCH(Fleet!$C23&amp;$D23,'Emission factors'!$J$3:$J$201&amp;'Emission factors'!$K$3:$K$201,0),MATCH(FleetTableFuel[[#Headers],[Indirect WTT]],'Emission factors'!$K$2:$V$2,0)))*$I23)</f>
        <v/>
      </c>
      <c r="T23" s="289" t="str">
        <f>IF(OR($L23="",FleetTableFuel[[#This Row],[RSD]]=""),"",FleetTableFuel[[#This Row],[Total emissions (kgCO2e)]]*(1+FleetTableFuel[[#This Row],[RSD]]))</f>
        <v/>
      </c>
      <c r="U23" s="307" t="str">
        <f>IF(OR($L23="",FleetTableFuel[[#This Row],[RSD]]=""),"",FleetTableFuel[[#This Row],[Total emissions (kgCO2e)]]*(1-FleetTableFuel[[#This Row],[RSD]]))</f>
        <v/>
      </c>
      <c r="V23" s="288" t="str" cm="1">
        <f t="array" ref="V23">IF(OR($C23="",$G23=""),"",(INDEX('Emission factors'!$K$3:$V$201,MATCH(Fleet!$C23&amp;$D23,'Emission factors'!$J$3:$J$201&amp;'Emission factors'!$K$3:$K$201,0),MATCH(FleetTableFuel[[#Headers],[Outside of scopes]],'Emission factors'!$K$2:$V$2,0)))*$I23)</f>
        <v/>
      </c>
      <c r="X23" s="1" cm="1">
        <f t="array" ref="X23">IF(OR(ISERROR(B23:V23)),1,0)</f>
        <v>0</v>
      </c>
      <c r="Y23" s="1">
        <f t="shared" si="0"/>
        <v>0</v>
      </c>
    </row>
    <row r="24" spans="1:25" s="1" customFormat="1" ht="15" thickBot="1" x14ac:dyDescent="0.4">
      <c r="A24" s="41"/>
      <c r="B24" s="155"/>
      <c r="C24" s="151"/>
      <c r="D24" s="151"/>
      <c r="E24" s="151"/>
      <c r="F24" s="157" t="str">
        <f>IF(E24="","",INDEX(Lists!$BA$4:$BC$31,MATCH(C24,Lists!$AZ$4:$AZ$31,0),MATCH(E24,Lists!$BA$3:$BC$3,0)))</f>
        <v/>
      </c>
      <c r="G24" s="148"/>
      <c r="H24" s="151"/>
      <c r="I24" s="154" t="str" cm="1">
        <f t="array" ref="I24">IF(OR($C24="",$B24="",$G24="",$H24=""),"",IF(H24=J24,G24,(INDEX('Emission factors'!$K$3:$V$201,MATCH(C24&amp;D24,'Emission factors'!$J$3:$J$201&amp;'Emission factors'!$K$3:$K$201,0),MATCH(I$7,'Emission factors'!$K$2:$V$2,0)))*G24))</f>
        <v/>
      </c>
      <c r="J24" s="192" t="str">
        <f>IF(OR($C24="",$B24="",$G24="",$H24=""),"",INDEX('Emission factors'!$K$3:$V$201,MATCH(Fleet!$C24,'Emission factors'!$J$3:$J$201,0),MATCH($J$7,'Emission factors'!$K$2:$V$2,0)))</f>
        <v/>
      </c>
      <c r="K24" s="193" t="str" cm="1">
        <f t="array" ref="K24">IF(OR(C24="",G24="",FleetTableFuel[[#This Row],[Units]]=""),"",INDEX('Emission factors'!$K$3:$V$201,MATCH(FleetTableFuel[[#This Row],[Fuel]]&amp;D24,'Emission factors'!$J$3:$J$201&amp;'Emission factors'!$K$3:$K$201,0),MATCH(FleetTableFuel[[#Headers],[Total EF (kgCO2e/unit)]],'Emission factors'!$K$2:$V$2,0)))</f>
        <v/>
      </c>
      <c r="L24" s="287" t="str">
        <f>IF(OR(I24="",K24=""),"",SUM(FleetTableFuel[[#This Row],[Direct]:[Indirect WTT]]))</f>
        <v/>
      </c>
      <c r="M24" s="150"/>
      <c r="N24" s="151"/>
      <c r="O24" s="288" t="str" cm="1">
        <f t="array" ref="O24">IF(OR($C24="",$G24=""),"",(INDEX('Emission factors'!$K$3:$V$201,MATCH(Fleet!$C24&amp;$D24,'Emission factors'!$J$3:$J$201&amp;'Emission factors'!$K$3:$K$201,0),MATCH(FleetTableFuel[[#Headers],[Direct]],'Emission factors'!$K$2:$V$2,0)))*$I24)</f>
        <v/>
      </c>
      <c r="P24" s="288" t="str" cm="1">
        <f t="array" ref="P24">IF(OR($C24="",$G24=""),"",(INDEX('Emission factors'!$K$3:$V$201,MATCH(Fleet!$C24&amp;$D24,'Emission factors'!$J$3:$J$201&amp;'Emission factors'!$K$3:$K$201,0),MATCH(FleetTableFuel[[#Headers],[Indirect generation]],'Emission factors'!$K$2:$V$2,0)))*$I24)</f>
        <v/>
      </c>
      <c r="Q24" s="288" t="str" cm="1">
        <f t="array" ref="Q24">IF(OR($C24="",$G24=""),"",(INDEX('Emission factors'!$K$3:$V$201,MATCH(Fleet!$C24&amp;$D24,'Emission factors'!$J$3:$J$201&amp;'Emission factors'!$K$3:$K$201,0),MATCH(FleetTableFuel[[#Headers],[Indirect service]],'Emission factors'!$K$2:$V$2,0)))*$I24)</f>
        <v/>
      </c>
      <c r="R24" s="288" t="str" cm="1">
        <f t="array" ref="R24">IF(OR($C24="",$G24=""),"",(INDEX('Emission factors'!$K$3:$V$201,MATCH(Fleet!$C24&amp;$D24,'Emission factors'!$J$3:$J$201&amp;'Emission factors'!$K$3:$K$201,0),MATCH(FleetTableFuel[[#Headers],[Indirect T&amp;D]],'Emission factors'!$K$2:$V$2,0)))*$I24)</f>
        <v/>
      </c>
      <c r="S24" s="288" t="str" cm="1">
        <f t="array" ref="S24">IF(OR($C24="",$G24=""),"",(INDEX('Emission factors'!$K$3:$V$201,MATCH(Fleet!$C24&amp;$D24,'Emission factors'!$J$3:$J$201&amp;'Emission factors'!$K$3:$K$201,0),MATCH(FleetTableFuel[[#Headers],[Indirect WTT]],'Emission factors'!$K$2:$V$2,0)))*$I24)</f>
        <v/>
      </c>
      <c r="T24" s="289" t="str">
        <f>IF(OR($L24="",FleetTableFuel[[#This Row],[RSD]]=""),"",FleetTableFuel[[#This Row],[Total emissions (kgCO2e)]]*(1+FleetTableFuel[[#This Row],[RSD]]))</f>
        <v/>
      </c>
      <c r="U24" s="307" t="str">
        <f>IF(OR($L24="",FleetTableFuel[[#This Row],[RSD]]=""),"",FleetTableFuel[[#This Row],[Total emissions (kgCO2e)]]*(1-FleetTableFuel[[#This Row],[RSD]]))</f>
        <v/>
      </c>
      <c r="V24" s="288" t="str" cm="1">
        <f t="array" ref="V24">IF(OR($C24="",$G24=""),"",(INDEX('Emission factors'!$K$3:$V$201,MATCH(Fleet!$C24&amp;$D24,'Emission factors'!$J$3:$J$201&amp;'Emission factors'!$K$3:$K$201,0),MATCH(FleetTableFuel[[#Headers],[Outside of scopes]],'Emission factors'!$K$2:$V$2,0)))*$I24)</f>
        <v/>
      </c>
      <c r="X24" s="1" cm="1">
        <f t="array" ref="X24">IF(OR(ISERROR(B24:V24)),1,0)</f>
        <v>0</v>
      </c>
      <c r="Y24" s="1">
        <f t="shared" si="0"/>
        <v>0</v>
      </c>
    </row>
    <row r="25" spans="1:25" s="1" customFormat="1" ht="15" thickBot="1" x14ac:dyDescent="0.4">
      <c r="A25" s="41"/>
      <c r="B25" s="155"/>
      <c r="C25" s="151"/>
      <c r="D25" s="151"/>
      <c r="E25" s="151"/>
      <c r="F25" s="157" t="str">
        <f>IF(E25="","",INDEX(Lists!$BA$4:$BC$31,MATCH(C25,Lists!$AZ$4:$AZ$31,0),MATCH(E25,Lists!$BA$3:$BC$3,0)))</f>
        <v/>
      </c>
      <c r="G25" s="148"/>
      <c r="H25" s="151"/>
      <c r="I25" s="154" t="str" cm="1">
        <f t="array" ref="I25">IF(OR($C25="",$B25="",$G25="",$H25=""),"",IF(H25=J25,G25,(INDEX('Emission factors'!$K$3:$V$201,MATCH(C25&amp;D25,'Emission factors'!$J$3:$J$201&amp;'Emission factors'!$K$3:$K$201,0),MATCH(I$7,'Emission factors'!$K$2:$V$2,0)))*G25))</f>
        <v/>
      </c>
      <c r="J25" s="192" t="str">
        <f>IF(OR($C25="",$B25="",$G25="",$H25=""),"",INDEX('Emission factors'!$K$3:$V$201,MATCH(Fleet!$C25,'Emission factors'!$J$3:$J$201,0),MATCH($J$7,'Emission factors'!$K$2:$V$2,0)))</f>
        <v/>
      </c>
      <c r="K25" s="193" t="str" cm="1">
        <f t="array" ref="K25">IF(OR(C25="",G25="",FleetTableFuel[[#This Row],[Units]]=""),"",INDEX('Emission factors'!$K$3:$V$201,MATCH(FleetTableFuel[[#This Row],[Fuel]]&amp;D25,'Emission factors'!$J$3:$J$201&amp;'Emission factors'!$K$3:$K$201,0),MATCH(FleetTableFuel[[#Headers],[Total EF (kgCO2e/unit)]],'Emission factors'!$K$2:$V$2,0)))</f>
        <v/>
      </c>
      <c r="L25" s="287" t="str">
        <f>IF(OR(I25="",K25=""),"",SUM(FleetTableFuel[[#This Row],[Direct]:[Indirect WTT]]))</f>
        <v/>
      </c>
      <c r="M25" s="150"/>
      <c r="N25" s="151"/>
      <c r="O25" s="288" t="str" cm="1">
        <f t="array" ref="O25">IF(OR($C25="",$G25=""),"",(INDEX('Emission factors'!$K$3:$V$201,MATCH(Fleet!$C25&amp;$D25,'Emission factors'!$J$3:$J$201&amp;'Emission factors'!$K$3:$K$201,0),MATCH(FleetTableFuel[[#Headers],[Direct]],'Emission factors'!$K$2:$V$2,0)))*$I25)</f>
        <v/>
      </c>
      <c r="P25" s="288" t="str" cm="1">
        <f t="array" ref="P25">IF(OR($C25="",$G25=""),"",(INDEX('Emission factors'!$K$3:$V$201,MATCH(Fleet!$C25&amp;$D25,'Emission factors'!$J$3:$J$201&amp;'Emission factors'!$K$3:$K$201,0),MATCH(FleetTableFuel[[#Headers],[Indirect generation]],'Emission factors'!$K$2:$V$2,0)))*$I25)</f>
        <v/>
      </c>
      <c r="Q25" s="288" t="str" cm="1">
        <f t="array" ref="Q25">IF(OR($C25="",$G25=""),"",(INDEX('Emission factors'!$K$3:$V$201,MATCH(Fleet!$C25&amp;$D25,'Emission factors'!$J$3:$J$201&amp;'Emission factors'!$K$3:$K$201,0),MATCH(FleetTableFuel[[#Headers],[Indirect service]],'Emission factors'!$K$2:$V$2,0)))*$I25)</f>
        <v/>
      </c>
      <c r="R25" s="288" t="str" cm="1">
        <f t="array" ref="R25">IF(OR($C25="",$G25=""),"",(INDEX('Emission factors'!$K$3:$V$201,MATCH(Fleet!$C25&amp;$D25,'Emission factors'!$J$3:$J$201&amp;'Emission factors'!$K$3:$K$201,0),MATCH(FleetTableFuel[[#Headers],[Indirect T&amp;D]],'Emission factors'!$K$2:$V$2,0)))*$I25)</f>
        <v/>
      </c>
      <c r="S25" s="288" t="str" cm="1">
        <f t="array" ref="S25">IF(OR($C25="",$G25=""),"",(INDEX('Emission factors'!$K$3:$V$201,MATCH(Fleet!$C25&amp;$D25,'Emission factors'!$J$3:$J$201&amp;'Emission factors'!$K$3:$K$201,0),MATCH(FleetTableFuel[[#Headers],[Indirect WTT]],'Emission factors'!$K$2:$V$2,0)))*$I25)</f>
        <v/>
      </c>
      <c r="T25" s="289" t="str">
        <f>IF(OR($L25="",FleetTableFuel[[#This Row],[RSD]]=""),"",FleetTableFuel[[#This Row],[Total emissions (kgCO2e)]]*(1+FleetTableFuel[[#This Row],[RSD]]))</f>
        <v/>
      </c>
      <c r="U25" s="307" t="str">
        <f>IF(OR($L25="",FleetTableFuel[[#This Row],[RSD]]=""),"",FleetTableFuel[[#This Row],[Total emissions (kgCO2e)]]*(1-FleetTableFuel[[#This Row],[RSD]]))</f>
        <v/>
      </c>
      <c r="V25" s="288" t="str" cm="1">
        <f t="array" ref="V25">IF(OR($C25="",$G25=""),"",(INDEX('Emission factors'!$K$3:$V$201,MATCH(Fleet!$C25&amp;$D25,'Emission factors'!$J$3:$J$201&amp;'Emission factors'!$K$3:$K$201,0),MATCH(FleetTableFuel[[#Headers],[Outside of scopes]],'Emission factors'!$K$2:$V$2,0)))*$I25)</f>
        <v/>
      </c>
      <c r="X25" s="1" cm="1">
        <f t="array" ref="X25">IF(OR(ISERROR(B25:V25)),1,0)</f>
        <v>0</v>
      </c>
      <c r="Y25" s="1">
        <f t="shared" si="0"/>
        <v>0</v>
      </c>
    </row>
    <row r="26" spans="1:25" s="1" customFormat="1" ht="15" collapsed="1" thickBot="1" x14ac:dyDescent="0.4">
      <c r="A26" s="41"/>
      <c r="B26" s="155"/>
      <c r="C26" s="151"/>
      <c r="D26" s="151"/>
      <c r="E26" s="151"/>
      <c r="F26" s="157" t="str">
        <f>IF(E26="","",INDEX(Lists!$BA$4:$BC$31,MATCH(C26,Lists!$AZ$4:$AZ$31,0),MATCH(E26,Lists!$BA$3:$BC$3,0)))</f>
        <v/>
      </c>
      <c r="G26" s="148"/>
      <c r="H26" s="151"/>
      <c r="I26" s="154" t="str" cm="1">
        <f t="array" ref="I26">IF(OR($C26="",$B26="",$G26="",$H26=""),"",IF(H26=J26,G26,(INDEX('Emission factors'!$K$3:$V$201,MATCH(C26&amp;D26,'Emission factors'!$J$3:$J$201&amp;'Emission factors'!$K$3:$K$201,0),MATCH(I$7,'Emission factors'!$K$2:$V$2,0)))*G26))</f>
        <v/>
      </c>
      <c r="J26" s="192" t="str">
        <f>IF(OR($C26="",$B26="",$G26="",$H26=""),"",INDEX('Emission factors'!$K$3:$V$201,MATCH(Fleet!$C26,'Emission factors'!$J$3:$J$201,0),MATCH($J$7,'Emission factors'!$K$2:$V$2,0)))</f>
        <v/>
      </c>
      <c r="K26" s="193" t="str" cm="1">
        <f t="array" ref="K26">IF(OR(C26="",G26="",FleetTableFuel[[#This Row],[Units]]=""),"",INDEX('Emission factors'!$K$3:$V$201,MATCH(FleetTableFuel[[#This Row],[Fuel]]&amp;D26,'Emission factors'!$J$3:$J$201&amp;'Emission factors'!$K$3:$K$201,0),MATCH(FleetTableFuel[[#Headers],[Total EF (kgCO2e/unit)]],'Emission factors'!$K$2:$V$2,0)))</f>
        <v/>
      </c>
      <c r="L26" s="287" t="str">
        <f>IF(OR(I26="",K26=""),"",SUM(FleetTableFuel[[#This Row],[Direct]:[Indirect WTT]]))</f>
        <v/>
      </c>
      <c r="M26" s="150"/>
      <c r="N26" s="151"/>
      <c r="O26" s="288" t="str" cm="1">
        <f t="array" ref="O26">IF(OR($C26="",$G26=""),"",(INDEX('Emission factors'!$K$3:$V$201,MATCH(Fleet!$C26&amp;$D26,'Emission factors'!$J$3:$J$201&amp;'Emission factors'!$K$3:$K$201,0),MATCH(FleetTableFuel[[#Headers],[Direct]],'Emission factors'!$K$2:$V$2,0)))*$I26)</f>
        <v/>
      </c>
      <c r="P26" s="288" t="str" cm="1">
        <f t="array" ref="P26">IF(OR($C26="",$G26=""),"",(INDEX('Emission factors'!$K$3:$V$201,MATCH(Fleet!$C26&amp;$D26,'Emission factors'!$J$3:$J$201&amp;'Emission factors'!$K$3:$K$201,0),MATCH(FleetTableFuel[[#Headers],[Indirect generation]],'Emission factors'!$K$2:$V$2,0)))*$I26)</f>
        <v/>
      </c>
      <c r="Q26" s="288" t="str" cm="1">
        <f t="array" ref="Q26">IF(OR($C26="",$G26=""),"",(INDEX('Emission factors'!$K$3:$V$201,MATCH(Fleet!$C26&amp;$D26,'Emission factors'!$J$3:$J$201&amp;'Emission factors'!$K$3:$K$201,0),MATCH(FleetTableFuel[[#Headers],[Indirect service]],'Emission factors'!$K$2:$V$2,0)))*$I26)</f>
        <v/>
      </c>
      <c r="R26" s="288" t="str" cm="1">
        <f t="array" ref="R26">IF(OR($C26="",$G26=""),"",(INDEX('Emission factors'!$K$3:$V$201,MATCH(Fleet!$C26&amp;$D26,'Emission factors'!$J$3:$J$201&amp;'Emission factors'!$K$3:$K$201,0),MATCH(FleetTableFuel[[#Headers],[Indirect T&amp;D]],'Emission factors'!$K$2:$V$2,0)))*$I26)</f>
        <v/>
      </c>
      <c r="S26" s="288" t="str" cm="1">
        <f t="array" ref="S26">IF(OR($C26="",$G26=""),"",(INDEX('Emission factors'!$K$3:$V$201,MATCH(Fleet!$C26&amp;$D26,'Emission factors'!$J$3:$J$201&amp;'Emission factors'!$K$3:$K$201,0),MATCH(FleetTableFuel[[#Headers],[Indirect WTT]],'Emission factors'!$K$2:$V$2,0)))*$I26)</f>
        <v/>
      </c>
      <c r="T26" s="289" t="str">
        <f>IF(OR($L26="",FleetTableFuel[[#This Row],[RSD]]=""),"",FleetTableFuel[[#This Row],[Total emissions (kgCO2e)]]*(1+FleetTableFuel[[#This Row],[RSD]]))</f>
        <v/>
      </c>
      <c r="U26" s="307" t="str">
        <f>IF(OR($L26="",FleetTableFuel[[#This Row],[RSD]]=""),"",FleetTableFuel[[#This Row],[Total emissions (kgCO2e)]]*(1-FleetTableFuel[[#This Row],[RSD]]))</f>
        <v/>
      </c>
      <c r="V26" s="288" t="str" cm="1">
        <f t="array" ref="V26">IF(OR($C26="",$G26=""),"",(INDEX('Emission factors'!$K$3:$V$201,MATCH(Fleet!$C26&amp;$D26,'Emission factors'!$J$3:$J$201&amp;'Emission factors'!$K$3:$K$201,0),MATCH(FleetTableFuel[[#Headers],[Outside of scopes]],'Emission factors'!$K$2:$V$2,0)))*$I26)</f>
        <v/>
      </c>
      <c r="X26" s="1" cm="1">
        <f t="array" ref="X26">IF(OR(ISERROR(B26:V26)),1,0)</f>
        <v>0</v>
      </c>
      <c r="Y26" s="1">
        <f t="shared" si="0"/>
        <v>0</v>
      </c>
    </row>
    <row r="27" spans="1:25" s="1" customFormat="1" ht="15" thickBot="1" x14ac:dyDescent="0.4">
      <c r="A27" s="41"/>
      <c r="B27" s="155"/>
      <c r="C27" s="151"/>
      <c r="D27" s="151"/>
      <c r="E27" s="151"/>
      <c r="F27" s="157" t="str">
        <f>IF(E27="","",INDEX(Lists!$BA$4:$BC$31,MATCH(C27,Lists!$AZ$4:$AZ$31,0),MATCH(E27,Lists!$BA$3:$BC$3,0)))</f>
        <v/>
      </c>
      <c r="G27" s="148"/>
      <c r="H27" s="151"/>
      <c r="I27" s="154" t="str" cm="1">
        <f t="array" ref="I27">IF(OR($C27="",$B27="",$G27="",$H27=""),"",IF(H27=J27,G27,(INDEX('Emission factors'!$K$3:$V$201,MATCH(C27&amp;D27,'Emission factors'!$J$3:$J$201&amp;'Emission factors'!$K$3:$K$201,0),MATCH(I$7,'Emission factors'!$K$2:$V$2,0)))*G27))</f>
        <v/>
      </c>
      <c r="J27" s="192" t="str">
        <f>IF(OR($C27="",$B27="",$G27="",$H27=""),"",INDEX('Emission factors'!$K$3:$V$201,MATCH(Fleet!$C27,'Emission factors'!$J$3:$J$201,0),MATCH($J$7,'Emission factors'!$K$2:$V$2,0)))</f>
        <v/>
      </c>
      <c r="K27" s="193" t="str" cm="1">
        <f t="array" ref="K27">IF(OR(C27="",G27="",FleetTableFuel[[#This Row],[Units]]=""),"",INDEX('Emission factors'!$K$3:$V$201,MATCH(FleetTableFuel[[#This Row],[Fuel]]&amp;D27,'Emission factors'!$J$3:$J$201&amp;'Emission factors'!$K$3:$K$201,0),MATCH(FleetTableFuel[[#Headers],[Total EF (kgCO2e/unit)]],'Emission factors'!$K$2:$V$2,0)))</f>
        <v/>
      </c>
      <c r="L27" s="287" t="str">
        <f>IF(OR(I27="",K27=""),"",SUM(FleetTableFuel[[#This Row],[Direct]:[Indirect WTT]]))</f>
        <v/>
      </c>
      <c r="M27" s="150"/>
      <c r="N27" s="151"/>
      <c r="O27" s="288" t="str" cm="1">
        <f t="array" ref="O27">IF(OR($C27="",$G27=""),"",(INDEX('Emission factors'!$K$3:$V$201,MATCH(Fleet!$C27&amp;$D27,'Emission factors'!$J$3:$J$201&amp;'Emission factors'!$K$3:$K$201,0),MATCH(FleetTableFuel[[#Headers],[Direct]],'Emission factors'!$K$2:$V$2,0)))*$I27)</f>
        <v/>
      </c>
      <c r="P27" s="288" t="str" cm="1">
        <f t="array" ref="P27">IF(OR($C27="",$G27=""),"",(INDEX('Emission factors'!$K$3:$V$201,MATCH(Fleet!$C27&amp;$D27,'Emission factors'!$J$3:$J$201&amp;'Emission factors'!$K$3:$K$201,0),MATCH(FleetTableFuel[[#Headers],[Indirect generation]],'Emission factors'!$K$2:$V$2,0)))*$I27)</f>
        <v/>
      </c>
      <c r="Q27" s="288" t="str" cm="1">
        <f t="array" ref="Q27">IF(OR($C27="",$G27=""),"",(INDEX('Emission factors'!$K$3:$V$201,MATCH(Fleet!$C27&amp;$D27,'Emission factors'!$J$3:$J$201&amp;'Emission factors'!$K$3:$K$201,0),MATCH(FleetTableFuel[[#Headers],[Indirect service]],'Emission factors'!$K$2:$V$2,0)))*$I27)</f>
        <v/>
      </c>
      <c r="R27" s="288" t="str" cm="1">
        <f t="array" ref="R27">IF(OR($C27="",$G27=""),"",(INDEX('Emission factors'!$K$3:$V$201,MATCH(Fleet!$C27&amp;$D27,'Emission factors'!$J$3:$J$201&amp;'Emission factors'!$K$3:$K$201,0),MATCH(FleetTableFuel[[#Headers],[Indirect T&amp;D]],'Emission factors'!$K$2:$V$2,0)))*$I27)</f>
        <v/>
      </c>
      <c r="S27" s="288" t="str" cm="1">
        <f t="array" ref="S27">IF(OR($C27="",$G27=""),"",(INDEX('Emission factors'!$K$3:$V$201,MATCH(Fleet!$C27&amp;$D27,'Emission factors'!$J$3:$J$201&amp;'Emission factors'!$K$3:$K$201,0),MATCH(FleetTableFuel[[#Headers],[Indirect WTT]],'Emission factors'!$K$2:$V$2,0)))*$I27)</f>
        <v/>
      </c>
      <c r="T27" s="289" t="str">
        <f>IF(OR($L27="",FleetTableFuel[[#This Row],[RSD]]=""),"",FleetTableFuel[[#This Row],[Total emissions (kgCO2e)]]*(1+FleetTableFuel[[#This Row],[RSD]]))</f>
        <v/>
      </c>
      <c r="U27" s="307" t="str">
        <f>IF(OR($L27="",FleetTableFuel[[#This Row],[RSD]]=""),"",FleetTableFuel[[#This Row],[Total emissions (kgCO2e)]]*(1-FleetTableFuel[[#This Row],[RSD]]))</f>
        <v/>
      </c>
      <c r="V27" s="301" t="str" cm="1">
        <f t="array" ref="V27">IF(OR($C27="",$G27=""),"",(INDEX('Emission factors'!$K$3:$V$201,MATCH(Fleet!$C27&amp;$D27,'Emission factors'!$J$3:$J$201&amp;'Emission factors'!$K$3:$K$201,0),MATCH(FleetTableFuel[[#Headers],[Outside of scopes]],'Emission factors'!$K$2:$V$2,0)))*$I27)</f>
        <v/>
      </c>
      <c r="X27" s="1" cm="1">
        <f t="array" ref="X27">IF(OR(ISERROR(B27:V27)),1,0)</f>
        <v>0</v>
      </c>
      <c r="Y27" s="1">
        <f t="shared" si="0"/>
        <v>0</v>
      </c>
    </row>
    <row r="28" spans="1:25" s="1" customFormat="1" x14ac:dyDescent="0.35">
      <c r="A28" s="56"/>
      <c r="B28" s="58"/>
      <c r="C28" s="58"/>
      <c r="D28" s="58"/>
      <c r="E28" s="33"/>
      <c r="F28" s="33"/>
      <c r="G28" s="33"/>
      <c r="H28" s="33"/>
      <c r="I28" s="33"/>
      <c r="J28" s="33"/>
      <c r="K28" s="33"/>
      <c r="L28" s="33"/>
      <c r="M28" s="33"/>
      <c r="N28" s="33"/>
      <c r="O28" s="33"/>
      <c r="P28" s="33"/>
      <c r="Q28" s="33"/>
      <c r="R28" s="33"/>
      <c r="S28" s="33"/>
      <c r="T28" s="33"/>
      <c r="U28" s="308"/>
      <c r="V28" s="130"/>
    </row>
    <row r="29" spans="1:25" s="1" customFormat="1" ht="19" thickBot="1" x14ac:dyDescent="0.5">
      <c r="A29" s="41"/>
      <c r="B29" s="194" t="s">
        <v>150</v>
      </c>
      <c r="H29" s="441" t="str">
        <f>IF($Y$30=0,"No data entered",IF($X$30=0,"No errors in this table","There are errors in this table see highlighted row(s)"))</f>
        <v>No data entered</v>
      </c>
      <c r="I29"/>
      <c r="O29" s="51" t="s">
        <v>830</v>
      </c>
      <c r="T29" s="56"/>
      <c r="U29" s="309"/>
      <c r="V29" s="66"/>
    </row>
    <row r="30" spans="1:25" s="1" customFormat="1" ht="34.5" customHeight="1" thickBot="1" x14ac:dyDescent="0.4">
      <c r="A30" s="41"/>
      <c r="B30" s="190" t="s">
        <v>147</v>
      </c>
      <c r="C30" s="191" t="s">
        <v>148</v>
      </c>
      <c r="D30" s="191" t="s">
        <v>151</v>
      </c>
      <c r="E30" s="191" t="s">
        <v>115</v>
      </c>
      <c r="F30" s="191" t="s">
        <v>116</v>
      </c>
      <c r="G30" s="191" t="s">
        <v>117</v>
      </c>
      <c r="H30" s="191" t="s">
        <v>118</v>
      </c>
      <c r="I30" s="191" t="s">
        <v>119</v>
      </c>
      <c r="J30" s="191" t="s">
        <v>120</v>
      </c>
      <c r="K30" s="191" t="s">
        <v>828</v>
      </c>
      <c r="L30" s="191" t="s">
        <v>829</v>
      </c>
      <c r="M30" s="191" t="s">
        <v>122</v>
      </c>
      <c r="N30" s="191" t="s">
        <v>123</v>
      </c>
      <c r="O30" s="12" t="s">
        <v>59</v>
      </c>
      <c r="P30" s="12" t="s">
        <v>124</v>
      </c>
      <c r="Q30" s="12" t="s">
        <v>125</v>
      </c>
      <c r="R30" s="12" t="s">
        <v>126</v>
      </c>
      <c r="S30" s="12" t="s">
        <v>127</v>
      </c>
      <c r="T30" s="12" t="s">
        <v>67</v>
      </c>
      <c r="U30" s="310" t="s">
        <v>68</v>
      </c>
      <c r="V30" s="12" t="s">
        <v>63</v>
      </c>
      <c r="X30" s="15">
        <f>SUM(X31:X50)</f>
        <v>0</v>
      </c>
      <c r="Y30" s="15">
        <f>SUM(Y31:Y50)</f>
        <v>0</v>
      </c>
    </row>
    <row r="31" spans="1:25" s="1" customFormat="1" ht="15" thickBot="1" x14ac:dyDescent="0.4">
      <c r="A31" s="41"/>
      <c r="B31" s="155"/>
      <c r="C31" s="151"/>
      <c r="D31" s="151"/>
      <c r="E31" s="151"/>
      <c r="F31" s="157" t="str">
        <f>IF(E31="","",INDEX(Lists!$BA$4:$BC$31,MATCH(B31,Lists!$AZ$4:$AZ$31,0),MATCH(E31,Lists!$BA$3:$BC$3,0)))</f>
        <v/>
      </c>
      <c r="G31" s="373"/>
      <c r="H31" s="151"/>
      <c r="I31" s="154" t="str" cm="1">
        <f t="array" ref="I31">IF(OR($C31="",$B31="",$G31="",$H31=""),"",IF(H31=J31,G31,(INDEX('Emission factors'!$K$3:$V$201,MATCH(B31&amp;D31,'Emission factors'!$J$3:$J$201&amp;'Emission factors'!$K$3:$K$201,0),MATCH(I$7,'Emission factors'!$K$2:$V$2,0)))*G31))</f>
        <v/>
      </c>
      <c r="J31" s="192" t="str">
        <f>IF(OR($C31="",$B31="",$G31="",$H31=""),"",INDEX('Emission factors'!$K$3:$V$212,MATCH(Fleet!$B31,'Emission factors'!$J$3:$J$212,0),MATCH($J$30,'Emission factors'!$K$2:$V$2,0)))</f>
        <v/>
      </c>
      <c r="K31" s="193" t="str" cm="1">
        <f t="array" ref="K31">IF(OR(FleetTableDistance[[#This Row],[Type]]="",C31="",G31=""),"",INDEX('Emission factors'!$K$3:$V$212,MATCH(FleetTableDistance[[#This Row],[Type]]&amp;C31&amp;FleetTableDistance[[#This Row],[Size]],'Emission factors'!$J$3:$J$212&amp;'Emission factors'!$L$3:$L$212&amp;'Emission factors'!$K$3:$K$212,0),MATCH(FleetTableDistance[[#Headers],[Total EF (kgCO2e/unit)]],'Emission factors'!$K$2:$V$2,0)))</f>
        <v/>
      </c>
      <c r="L31" s="287" t="str">
        <f>IF(OR(I31="",K31=""),"",SUM(FleetTableDistance[[#This Row],[Direct]:[Indirect WTT]]))</f>
        <v/>
      </c>
      <c r="M31" s="150"/>
      <c r="N31" s="151"/>
      <c r="O31" s="288" t="str" cm="1">
        <f t="array" ref="O31">IF(OR($C31="",$G31=""),"",(INDEX('Emission factors'!$K$3:$V$381,MATCH(FleetTableDistance[[#This Row],[Type]]&amp;$C31&amp;$D31,'Emission factors'!$J$3:$J$381&amp;'Emission factors'!$L$3:$L$381&amp;'Emission factors'!$K$3:$K$381,0),MATCH(FleetTableDistance[[#Headers],[Direct]],'Emission factors'!$K$2:$V$2,0)))*$I31)</f>
        <v/>
      </c>
      <c r="P31" s="288" t="str" cm="1">
        <f t="array" ref="P31">IF(OR($C31="",$G31=""),"",(INDEX('Emission factors'!$K$3:$V$212,MATCH(FleetTableDistance[[#This Row],[Type]]&amp;$C31&amp;$D31,'Emission factors'!$J$3:$J$212&amp;'Emission factors'!$L$3:$L$212&amp;'Emission factors'!$K$3:$K$212,0),MATCH(FleetTableDistance[[#Headers],[Indirect generation]],'Emission factors'!$K$2:$V$2,0)))*$I31)</f>
        <v/>
      </c>
      <c r="Q31" s="288" t="str" cm="1">
        <f t="array" ref="Q31">IF(OR($C31="",$G31=""),"",(INDEX('Emission factors'!$K$3:$V$212,MATCH(FleetTableDistance[[#This Row],[Type]]&amp;$C31&amp;$D31,'Emission factors'!$J$3:$J$212&amp;'Emission factors'!$L$3:$L$212&amp;'Emission factors'!$K$3:$K$212,0),MATCH(FleetTableDistance[[#Headers],[Indirect service]],'Emission factors'!$K$2:$V$2,0)))*$I31)</f>
        <v/>
      </c>
      <c r="R31" s="288" t="str" cm="1">
        <f t="array" ref="R31">IF(OR($C31="",$G31=""),"",(INDEX('Emission factors'!$K$3:$V$212,MATCH(FleetTableDistance[[#This Row],[Type]]&amp;$C31&amp;$D31,'Emission factors'!$J$3:$J$212&amp;'Emission factors'!$L$3:$L$212&amp;'Emission factors'!$K$3:$K$212,0),MATCH(FleetTableDistance[[#Headers],[Indirect T&amp;D]],'Emission factors'!$K$2:$V$2,0)))*$I31)</f>
        <v/>
      </c>
      <c r="S31" s="288" t="str" cm="1">
        <f t="array" ref="S31">IF(OR($C31="",$G31=""),"",(INDEX('Emission factors'!$K$3:$V$212,MATCH(FleetTableDistance[[#This Row],[Type]]&amp;$C31&amp;$D31,'Emission factors'!$J$3:$J$212&amp;'Emission factors'!$L$3:$L$212&amp;'Emission factors'!$K$3:$K$212,0),MATCH(FleetTableDistance[[#Headers],[Indirect WTT]],'Emission factors'!$K$2:$V$2,0)))*$I31)</f>
        <v/>
      </c>
      <c r="T31" s="289" t="str">
        <f>IF(OR($L31="",FleetTableDistance[[#This Row],[RSD]]=""),"",FleetTableDistance[[#This Row],[Total emissions (kgCO2e)]]*(1+FleetTableDistance[[#This Row],[RSD]]))</f>
        <v/>
      </c>
      <c r="U31" s="307" t="str">
        <f>IF(OR($L31="",FleetTableDistance[[#This Row],[RSD]]=""),"",FleetTableDistance[[#This Row],[Total emissions (kgCO2e)]]*(1-FleetTableDistance[[#This Row],[RSD]]))</f>
        <v/>
      </c>
      <c r="V31" s="288" t="str" cm="1">
        <f t="array" ref="V31">IF(OR($C31="",$G31=""),"",(INDEX('Emission factors'!$K$3:$V$212,MATCH(FleetTableDistance[[#This Row],[Type]]&amp;$C31&amp;$D31,'Emission factors'!$J$3:$J$212&amp;'Emission factors'!$L$3:$L$212&amp;'Emission factors'!$K$3:$K$212,0),MATCH(FleetTableDistance[[#Headers],[Outside of scopes]],'Emission factors'!$K$2:$V$2,0)))*$I31)</f>
        <v/>
      </c>
      <c r="X31" s="1" cm="1">
        <f t="array" ref="X31">IF(OR(ISERROR(B31:V31)),1,0)</f>
        <v>0</v>
      </c>
      <c r="Y31" s="1">
        <f>IF(AND(C31="",G31="",H31=""),0,1)</f>
        <v>0</v>
      </c>
    </row>
    <row r="32" spans="1:25" s="1" customFormat="1" ht="15" thickBot="1" x14ac:dyDescent="0.4">
      <c r="A32" s="41"/>
      <c r="B32" s="155"/>
      <c r="C32" s="151"/>
      <c r="D32" s="151"/>
      <c r="E32" s="151"/>
      <c r="F32" s="157" t="str">
        <f>IF(E32="","",INDEX(Lists!$BA$4:$BC$31,MATCH(B32,Lists!$AZ$4:$AZ$31,0),MATCH(E32,Lists!$BA$3:$BC$3,0)))</f>
        <v/>
      </c>
      <c r="G32" s="373"/>
      <c r="H32" s="151"/>
      <c r="I32" s="154" t="str" cm="1">
        <f t="array" ref="I32">IF(OR($C32="",$B32="",$G32="",$H32=""),"",IF(H32=J32,G32,(INDEX('Emission factors'!$K$3:$V$201,MATCH(B32&amp;D32,'Emission factors'!$J$3:$J$201&amp;'Emission factors'!$K$3:$K$201,0),MATCH(I$7,'Emission factors'!$K$2:$V$2,0)))*G32))</f>
        <v/>
      </c>
      <c r="J32" s="192" t="str">
        <f>IF(OR($C32="",$B32="",$G32="",$H32=""),"",INDEX('Emission factors'!$K$3:$V$212,MATCH(Fleet!$B32,'Emission factors'!$J$3:$J$212,0),MATCH($J$30,'Emission factors'!$K$2:$V$2,0)))</f>
        <v/>
      </c>
      <c r="K32" s="193" t="str" cm="1">
        <f t="array" ref="K32">IF(OR(FleetTableDistance[[#This Row],[Type]]="",C32="",G32=""),"",INDEX('Emission factors'!$K$3:$V$212,MATCH(FleetTableDistance[[#This Row],[Type]]&amp;C32&amp;FleetTableDistance[[#This Row],[Size]],'Emission factors'!$J$3:$J$212&amp;'Emission factors'!$L$3:$L$212&amp;'Emission factors'!$K$3:$K$212,0),MATCH(FleetTableDistance[[#Headers],[Total EF (kgCO2e/unit)]],'Emission factors'!$K$2:$V$2,0)))</f>
        <v/>
      </c>
      <c r="L32" s="287" t="str">
        <f>IF(OR(I32="",K32=""),"",SUM(FleetTableDistance[[#This Row],[Direct]:[Indirect WTT]]))</f>
        <v/>
      </c>
      <c r="M32" s="150"/>
      <c r="N32" s="151"/>
      <c r="O32" s="288" t="str" cm="1">
        <f t="array" ref="O32">IF(OR($C32="",$G32=""),"",(INDEX('Emission factors'!$K$3:$V$381,MATCH(FleetTableDistance[[#This Row],[Type]]&amp;$C32&amp;$D32,'Emission factors'!$J$3:$J$381&amp;'Emission factors'!$L$3:$L$381&amp;'Emission factors'!$K$3:$K$381,0),MATCH(FleetTableDistance[[#Headers],[Direct]],'Emission factors'!$K$2:$V$2,0)))*$I32)</f>
        <v/>
      </c>
      <c r="P32" s="288" t="str" cm="1">
        <f t="array" ref="P32">IF(OR($C32="",$G32=""),"",(INDEX('Emission factors'!$K$3:$V$212,MATCH(FleetTableDistance[[#This Row],[Type]]&amp;$C32&amp;$D32,'Emission factors'!$J$3:$J$212&amp;'Emission factors'!$L$3:$L$212&amp;'Emission factors'!$K$3:$K$212,0),MATCH(FleetTableDistance[[#Headers],[Indirect generation]],'Emission factors'!$K$2:$V$2,0)))*$I32)</f>
        <v/>
      </c>
      <c r="Q32" s="288" t="str" cm="1">
        <f t="array" ref="Q32">IF(OR($C32="",$G32=""),"",(INDEX('Emission factors'!$K$3:$V$212,MATCH(FleetTableDistance[[#This Row],[Type]]&amp;$C32&amp;$D32,'Emission factors'!$J$3:$J$212&amp;'Emission factors'!$L$3:$L$212&amp;'Emission factors'!$K$3:$K$212,0),MATCH(FleetTableDistance[[#Headers],[Indirect service]],'Emission factors'!$K$2:$V$2,0)))*$I32)</f>
        <v/>
      </c>
      <c r="R32" s="288" t="str" cm="1">
        <f t="array" ref="R32">IF(OR($C32="",$G32=""),"",(INDEX('Emission factors'!$K$3:$V$212,MATCH(FleetTableDistance[[#This Row],[Type]]&amp;$C32&amp;$D32,'Emission factors'!$J$3:$J$212&amp;'Emission factors'!$L$3:$L$212&amp;'Emission factors'!$K$3:$K$212,0),MATCH(FleetTableDistance[[#Headers],[Indirect T&amp;D]],'Emission factors'!$K$2:$V$2,0)))*$I32)</f>
        <v/>
      </c>
      <c r="S32" s="288" t="str" cm="1">
        <f t="array" ref="S32">IF(OR($C32="",$G32=""),"",(INDEX('Emission factors'!$K$3:$V$212,MATCH(FleetTableDistance[[#This Row],[Type]]&amp;$C32&amp;$D32,'Emission factors'!$J$3:$J$212&amp;'Emission factors'!$L$3:$L$212&amp;'Emission factors'!$K$3:$K$212,0),MATCH(FleetTableDistance[[#Headers],[Indirect WTT]],'Emission factors'!$K$2:$V$2,0)))*$I32)</f>
        <v/>
      </c>
      <c r="T32" s="289" t="str">
        <f>IF(OR($L32="",FleetTableDistance[[#This Row],[RSD]]=""),"",FleetTableDistance[[#This Row],[Total emissions (kgCO2e)]]*(1+FleetTableDistance[[#This Row],[RSD]]))</f>
        <v/>
      </c>
      <c r="U32" s="307" t="str">
        <f>IF(OR($L32="",FleetTableDistance[[#This Row],[RSD]]=""),"",FleetTableDistance[[#This Row],[Total emissions (kgCO2e)]]*(1-FleetTableDistance[[#This Row],[RSD]]))</f>
        <v/>
      </c>
      <c r="V32" s="288" t="str" cm="1">
        <f t="array" ref="V32">IF(OR($C32="",$G32=""),"",(INDEX('Emission factors'!$K$3:$V$212,MATCH(FleetTableDistance[[#This Row],[Type]]&amp;$C32&amp;$D32,'Emission factors'!$J$3:$J$212&amp;'Emission factors'!$L$3:$L$212&amp;'Emission factors'!$K$3:$K$212,0),MATCH(FleetTableDistance[[#Headers],[Outside of scopes]],'Emission factors'!$K$2:$V$2,0)))*$I32)</f>
        <v/>
      </c>
      <c r="X32" s="1" cm="1">
        <f t="array" ref="X32">IF(OR(ISERROR(B32:V32)),1,0)</f>
        <v>0</v>
      </c>
      <c r="Y32" s="1">
        <f t="shared" ref="Y32:Y50" si="1">IF(AND(C32="",G32="",H32=""),0,1)</f>
        <v>0</v>
      </c>
    </row>
    <row r="33" spans="1:25" s="1" customFormat="1" ht="15" thickBot="1" x14ac:dyDescent="0.4">
      <c r="A33" s="41"/>
      <c r="B33" s="155"/>
      <c r="C33" s="151"/>
      <c r="D33" s="151"/>
      <c r="E33" s="151"/>
      <c r="F33" s="157" t="str">
        <f>IF(E33="","",INDEX(Lists!$BA$4:$BC$31,MATCH(B33,Lists!$AZ$4:$AZ$31,0),MATCH(E33,Lists!$BA$3:$BC$3,0)))</f>
        <v/>
      </c>
      <c r="G33" s="373"/>
      <c r="H33" s="151"/>
      <c r="I33" s="154" t="str" cm="1">
        <f t="array" ref="I33">IF(OR($C33="",$B33="",$G33="",$H33=""),"",IF(H33=J33,G33,(INDEX('Emission factors'!$K$3:$V$201,MATCH(B33&amp;D33,'Emission factors'!$J$3:$J$201&amp;'Emission factors'!$K$3:$K$201,0),MATCH(I$7,'Emission factors'!$K$2:$V$2,0)))*G33))</f>
        <v/>
      </c>
      <c r="J33" s="192" t="str">
        <f>IF(OR($C33="",$B33="",$G33="",$H33=""),"",INDEX('Emission factors'!$K$3:$V$212,MATCH(Fleet!$B33,'Emission factors'!$J$3:$J$212,0),MATCH($J$30,'Emission factors'!$K$2:$V$2,0)))</f>
        <v/>
      </c>
      <c r="K33" s="193" t="str" cm="1">
        <f t="array" ref="K33">IF(OR(FleetTableDistance[[#This Row],[Type]]="",C33="",G33=""),"",INDEX('Emission factors'!$K$3:$V$212,MATCH(FleetTableDistance[[#This Row],[Type]]&amp;C33&amp;FleetTableDistance[[#This Row],[Size]],'Emission factors'!$J$3:$J$212&amp;'Emission factors'!$L$3:$L$212&amp;'Emission factors'!$K$3:$K$212,0),MATCH(FleetTableDistance[[#Headers],[Total EF (kgCO2e/unit)]],'Emission factors'!$K$2:$V$2,0)))</f>
        <v/>
      </c>
      <c r="L33" s="287" t="str">
        <f>IF(OR(I33="",K33=""),"",SUM(FleetTableDistance[[#This Row],[Direct]:[Indirect WTT]]))</f>
        <v/>
      </c>
      <c r="M33" s="150"/>
      <c r="N33" s="151"/>
      <c r="O33" s="288" t="str" cm="1">
        <f t="array" ref="O33">IF(OR($C33="",$G33=""),"",(INDEX('Emission factors'!$K$3:$V$381,MATCH(FleetTableDistance[[#This Row],[Type]]&amp;$C33&amp;$D33,'Emission factors'!$J$3:$J$381&amp;'Emission factors'!$L$3:$L$381&amp;'Emission factors'!$K$3:$K$381,0),MATCH(FleetTableDistance[[#Headers],[Direct]],'Emission factors'!$K$2:$V$2,0)))*$I33)</f>
        <v/>
      </c>
      <c r="P33" s="288" t="str" cm="1">
        <f t="array" ref="P33">IF(OR($C33="",$G33=""),"",(INDEX('Emission factors'!$K$3:$V$212,MATCH(FleetTableDistance[[#This Row],[Type]]&amp;$C33&amp;$D33,'Emission factors'!$J$3:$J$212&amp;'Emission factors'!$L$3:$L$212&amp;'Emission factors'!$K$3:$K$212,0),MATCH(FleetTableDistance[[#Headers],[Indirect generation]],'Emission factors'!$K$2:$V$2,0)))*$I33)</f>
        <v/>
      </c>
      <c r="Q33" s="288" t="str" cm="1">
        <f t="array" ref="Q33">IF(OR($C33="",$G33=""),"",(INDEX('Emission factors'!$K$3:$V$212,MATCH(FleetTableDistance[[#This Row],[Type]]&amp;$C33&amp;$D33,'Emission factors'!$J$3:$J$212&amp;'Emission factors'!$L$3:$L$212&amp;'Emission factors'!$K$3:$K$212,0),MATCH(FleetTableDistance[[#Headers],[Indirect service]],'Emission factors'!$K$2:$V$2,0)))*$I33)</f>
        <v/>
      </c>
      <c r="R33" s="288" t="str" cm="1">
        <f t="array" ref="R33">IF(OR($C33="",$G33=""),"",(INDEX('Emission factors'!$K$3:$V$212,MATCH(FleetTableDistance[[#This Row],[Type]]&amp;$C33&amp;$D33,'Emission factors'!$J$3:$J$212&amp;'Emission factors'!$L$3:$L$212&amp;'Emission factors'!$K$3:$K$212,0),MATCH(FleetTableDistance[[#Headers],[Indirect T&amp;D]],'Emission factors'!$K$2:$V$2,0)))*$I33)</f>
        <v/>
      </c>
      <c r="S33" s="288" t="str" cm="1">
        <f t="array" ref="S33">IF(OR($C33="",$G33=""),"",(INDEX('Emission factors'!$K$3:$V$212,MATCH(FleetTableDistance[[#This Row],[Type]]&amp;$C33&amp;$D33,'Emission factors'!$J$3:$J$212&amp;'Emission factors'!$L$3:$L$212&amp;'Emission factors'!$K$3:$K$212,0),MATCH(FleetTableDistance[[#Headers],[Indirect WTT]],'Emission factors'!$K$2:$V$2,0)))*$I33)</f>
        <v/>
      </c>
      <c r="T33" s="289" t="str">
        <f>IF(OR($L33="",FleetTableDistance[[#This Row],[RSD]]=""),"",FleetTableDistance[[#This Row],[Total emissions (kgCO2e)]]*(1+FleetTableDistance[[#This Row],[RSD]]))</f>
        <v/>
      </c>
      <c r="U33" s="307" t="str">
        <f>IF(OR($L33="",FleetTableDistance[[#This Row],[RSD]]=""),"",FleetTableDistance[[#This Row],[Total emissions (kgCO2e)]]*(1-FleetTableDistance[[#This Row],[RSD]]))</f>
        <v/>
      </c>
      <c r="V33" s="288" t="str" cm="1">
        <f t="array" ref="V33">IF(OR($C33="",$G33=""),"",(INDEX('Emission factors'!$K$3:$V$212,MATCH(FleetTableDistance[[#This Row],[Type]]&amp;$C33&amp;$D33,'Emission factors'!$J$3:$J$212&amp;'Emission factors'!$L$3:$L$212&amp;'Emission factors'!$K$3:$K$212,0),MATCH(FleetTableDistance[[#Headers],[Outside of scopes]],'Emission factors'!$K$2:$V$2,0)))*$I33)</f>
        <v/>
      </c>
      <c r="X33" s="1" cm="1">
        <f t="array" ref="X33">IF(OR(ISERROR(B33:V33)),1,0)</f>
        <v>0</v>
      </c>
      <c r="Y33" s="1">
        <f t="shared" si="1"/>
        <v>0</v>
      </c>
    </row>
    <row r="34" spans="1:25" s="1" customFormat="1" ht="15" thickBot="1" x14ac:dyDescent="0.4">
      <c r="A34" s="41"/>
      <c r="B34" s="155"/>
      <c r="C34" s="151"/>
      <c r="D34" s="151"/>
      <c r="E34" s="151"/>
      <c r="F34" s="157" t="str">
        <f>IF(E34="","",INDEX(Lists!$BA$4:$BC$31,MATCH(B34,Lists!$AZ$4:$AZ$31,0),MATCH(E34,Lists!$BA$3:$BC$3,0)))</f>
        <v/>
      </c>
      <c r="G34" s="373"/>
      <c r="H34" s="151"/>
      <c r="I34" s="154" t="str" cm="1">
        <f t="array" ref="I34">IF(OR($C34="",$B34="",$G34="",$H34=""),"",IF(H34=J34,G34,(INDEX('Emission factors'!$K$3:$V$201,MATCH(B34&amp;D34,'Emission factors'!$J$3:$J$201&amp;'Emission factors'!$K$3:$K$201,0),MATCH(I$7,'Emission factors'!$K$2:$V$2,0)))*G34))</f>
        <v/>
      </c>
      <c r="J34" s="192" t="str">
        <f>IF(OR($C34="",$B34="",$G34="",$H34=""),"",INDEX('Emission factors'!$K$3:$V$212,MATCH(Fleet!$B34,'Emission factors'!$J$3:$J$212,0),MATCH($J$30,'Emission factors'!$K$2:$V$2,0)))</f>
        <v/>
      </c>
      <c r="K34" s="193" t="str" cm="1">
        <f t="array" ref="K34">IF(OR(FleetTableDistance[[#This Row],[Type]]="",C34="",G34=""),"",INDEX('Emission factors'!$K$3:$V$212,MATCH(FleetTableDistance[[#This Row],[Type]]&amp;C34&amp;FleetTableDistance[[#This Row],[Size]],'Emission factors'!$J$3:$J$212&amp;'Emission factors'!$L$3:$L$212&amp;'Emission factors'!$K$3:$K$212,0),MATCH(FleetTableDistance[[#Headers],[Total EF (kgCO2e/unit)]],'Emission factors'!$K$2:$V$2,0)))</f>
        <v/>
      </c>
      <c r="L34" s="287" t="str">
        <f>IF(OR(I34="",K34=""),"",SUM(FleetTableDistance[[#This Row],[Direct]:[Indirect WTT]]))</f>
        <v/>
      </c>
      <c r="M34" s="150"/>
      <c r="N34" s="151"/>
      <c r="O34" s="288" t="str" cm="1">
        <f t="array" ref="O34">IF(OR($C34="",$G34=""),"",(INDEX('Emission factors'!$K$3:$V$381,MATCH(FleetTableDistance[[#This Row],[Type]]&amp;$C34&amp;$D34,'Emission factors'!$J$3:$J$381&amp;'Emission factors'!$L$3:$L$381&amp;'Emission factors'!$K$3:$K$381,0),MATCH(FleetTableDistance[[#Headers],[Direct]],'Emission factors'!$K$2:$V$2,0)))*$I34)</f>
        <v/>
      </c>
      <c r="P34" s="288" t="str" cm="1">
        <f t="array" ref="P34">IF(OR($C34="",$G34=""),"",(INDEX('Emission factors'!$K$3:$V$212,MATCH(FleetTableDistance[[#This Row],[Type]]&amp;$C34&amp;$D34,'Emission factors'!$J$3:$J$212&amp;'Emission factors'!$L$3:$L$212&amp;'Emission factors'!$K$3:$K$212,0),MATCH(FleetTableDistance[[#Headers],[Indirect generation]],'Emission factors'!$K$2:$V$2,0)))*$I34)</f>
        <v/>
      </c>
      <c r="Q34" s="288" t="str" cm="1">
        <f t="array" ref="Q34">IF(OR($C34="",$G34=""),"",(INDEX('Emission factors'!$K$3:$V$212,MATCH(FleetTableDistance[[#This Row],[Type]]&amp;$C34&amp;$D34,'Emission factors'!$J$3:$J$212&amp;'Emission factors'!$L$3:$L$212&amp;'Emission factors'!$K$3:$K$212,0),MATCH(FleetTableDistance[[#Headers],[Indirect service]],'Emission factors'!$K$2:$V$2,0)))*$I34)</f>
        <v/>
      </c>
      <c r="R34" s="288" t="str" cm="1">
        <f t="array" ref="R34">IF(OR($C34="",$G34=""),"",(INDEX('Emission factors'!$K$3:$V$212,MATCH(FleetTableDistance[[#This Row],[Type]]&amp;$C34&amp;$D34,'Emission factors'!$J$3:$J$212&amp;'Emission factors'!$L$3:$L$212&amp;'Emission factors'!$K$3:$K$212,0),MATCH(FleetTableDistance[[#Headers],[Indirect T&amp;D]],'Emission factors'!$K$2:$V$2,0)))*$I34)</f>
        <v/>
      </c>
      <c r="S34" s="288" t="str" cm="1">
        <f t="array" ref="S34">IF(OR($C34="",$G34=""),"",(INDEX('Emission factors'!$K$3:$V$212,MATCH(FleetTableDistance[[#This Row],[Type]]&amp;$C34&amp;$D34,'Emission factors'!$J$3:$J$212&amp;'Emission factors'!$L$3:$L$212&amp;'Emission factors'!$K$3:$K$212,0),MATCH(FleetTableDistance[[#Headers],[Indirect WTT]],'Emission factors'!$K$2:$V$2,0)))*$I34)</f>
        <v/>
      </c>
      <c r="T34" s="289" t="str">
        <f>IF(OR($L34="",FleetTableDistance[[#This Row],[RSD]]=""),"",FleetTableDistance[[#This Row],[Total emissions (kgCO2e)]]*(1+FleetTableDistance[[#This Row],[RSD]]))</f>
        <v/>
      </c>
      <c r="U34" s="307" t="str">
        <f>IF(OR($L34="",FleetTableDistance[[#This Row],[RSD]]=""),"",FleetTableDistance[[#This Row],[Total emissions (kgCO2e)]]*(1-FleetTableDistance[[#This Row],[RSD]]))</f>
        <v/>
      </c>
      <c r="V34" s="288" t="str" cm="1">
        <f t="array" ref="V34">IF(OR($C34="",$G34=""),"",(INDEX('Emission factors'!$K$3:$V$212,MATCH(FleetTableDistance[[#This Row],[Type]]&amp;$C34&amp;$D34,'Emission factors'!$J$3:$J$212&amp;'Emission factors'!$L$3:$L$212&amp;'Emission factors'!$K$3:$K$212,0),MATCH(FleetTableDistance[[#Headers],[Outside of scopes]],'Emission factors'!$K$2:$V$2,0)))*$I34)</f>
        <v/>
      </c>
      <c r="X34" s="1" cm="1">
        <f t="array" ref="X34">IF(OR(ISERROR(B34:V34)),1,0)</f>
        <v>0</v>
      </c>
      <c r="Y34" s="1">
        <f t="shared" si="1"/>
        <v>0</v>
      </c>
    </row>
    <row r="35" spans="1:25" s="1" customFormat="1" ht="15" thickBot="1" x14ac:dyDescent="0.4">
      <c r="A35" s="41"/>
      <c r="B35" s="155"/>
      <c r="C35" s="151"/>
      <c r="D35" s="151"/>
      <c r="E35" s="151"/>
      <c r="F35" s="157" t="str">
        <f>IF(E35="","",INDEX(Lists!$BA$4:$BC$31,MATCH(B35,Lists!$AZ$4:$AZ$31,0),MATCH(E35,Lists!$BA$3:$BC$3,0)))</f>
        <v/>
      </c>
      <c r="G35" s="373"/>
      <c r="H35" s="151"/>
      <c r="I35" s="154" t="str" cm="1">
        <f t="array" ref="I35">IF(OR($C35="",$B35="",$G35="",$H35=""),"",IF(H35=J35,G35,(INDEX('Emission factors'!$K$3:$V$201,MATCH(B35&amp;D35,'Emission factors'!$J$3:$J$201&amp;'Emission factors'!$K$3:$K$201,0),MATCH(I$7,'Emission factors'!$K$2:$V$2,0)))*G35))</f>
        <v/>
      </c>
      <c r="J35" s="192" t="str">
        <f>IF(OR($C35="",$B35="",$G35="",$H35=""),"",INDEX('Emission factors'!$K$3:$V$212,MATCH(Fleet!$B35,'Emission factors'!$J$3:$J$212,0),MATCH($J$30,'Emission factors'!$K$2:$V$2,0)))</f>
        <v/>
      </c>
      <c r="K35" s="193" t="str" cm="1">
        <f t="array" ref="K35">IF(OR(FleetTableDistance[[#This Row],[Type]]="",C35="",G35=""),"",INDEX('Emission factors'!$K$3:$V$212,MATCH(FleetTableDistance[[#This Row],[Type]]&amp;C35&amp;FleetTableDistance[[#This Row],[Size]],'Emission factors'!$J$3:$J$212&amp;'Emission factors'!$L$3:$L$212&amp;'Emission factors'!$K$3:$K$212,0),MATCH(FleetTableDistance[[#Headers],[Total EF (kgCO2e/unit)]],'Emission factors'!$K$2:$V$2,0)))</f>
        <v/>
      </c>
      <c r="L35" s="287" t="str">
        <f>IF(OR(I35="",K35=""),"",SUM(FleetTableDistance[[#This Row],[Direct]:[Indirect WTT]]))</f>
        <v/>
      </c>
      <c r="M35" s="150"/>
      <c r="N35" s="151"/>
      <c r="O35" s="288" t="str" cm="1">
        <f t="array" ref="O35">IF(OR($C35="",$G35=""),"",(INDEX('Emission factors'!$K$3:$V$381,MATCH(FleetTableDistance[[#This Row],[Type]]&amp;$C35&amp;$D35,'Emission factors'!$J$3:$J$381&amp;'Emission factors'!$L$3:$L$381&amp;'Emission factors'!$K$3:$K$381,0),MATCH(FleetTableDistance[[#Headers],[Direct]],'Emission factors'!$K$2:$V$2,0)))*$I35)</f>
        <v/>
      </c>
      <c r="P35" s="288" t="str" cm="1">
        <f t="array" ref="P35">IF(OR($C35="",$G35=""),"",(INDEX('Emission factors'!$K$3:$V$212,MATCH(FleetTableDistance[[#This Row],[Type]]&amp;$C35&amp;$D35,'Emission factors'!$J$3:$J$212&amp;'Emission factors'!$L$3:$L$212&amp;'Emission factors'!$K$3:$K$212,0),MATCH(FleetTableDistance[[#Headers],[Indirect generation]],'Emission factors'!$K$2:$V$2,0)))*$I35)</f>
        <v/>
      </c>
      <c r="Q35" s="288" t="str" cm="1">
        <f t="array" ref="Q35">IF(OR($C35="",$G35=""),"",(INDEX('Emission factors'!$K$3:$V$212,MATCH(FleetTableDistance[[#This Row],[Type]]&amp;$C35&amp;$D35,'Emission factors'!$J$3:$J$212&amp;'Emission factors'!$L$3:$L$212&amp;'Emission factors'!$K$3:$K$212,0),MATCH(FleetTableDistance[[#Headers],[Indirect service]],'Emission factors'!$K$2:$V$2,0)))*$I35)</f>
        <v/>
      </c>
      <c r="R35" s="288" t="str" cm="1">
        <f t="array" ref="R35">IF(OR($C35="",$G35=""),"",(INDEX('Emission factors'!$K$3:$V$212,MATCH(FleetTableDistance[[#This Row],[Type]]&amp;$C35&amp;$D35,'Emission factors'!$J$3:$J$212&amp;'Emission factors'!$L$3:$L$212&amp;'Emission factors'!$K$3:$K$212,0),MATCH(FleetTableDistance[[#Headers],[Indirect T&amp;D]],'Emission factors'!$K$2:$V$2,0)))*$I35)</f>
        <v/>
      </c>
      <c r="S35" s="288" t="str" cm="1">
        <f t="array" ref="S35">IF(OR($C35="",$G35=""),"",(INDEX('Emission factors'!$K$3:$V$212,MATCH(FleetTableDistance[[#This Row],[Type]]&amp;$C35&amp;$D35,'Emission factors'!$J$3:$J$212&amp;'Emission factors'!$L$3:$L$212&amp;'Emission factors'!$K$3:$K$212,0),MATCH(FleetTableDistance[[#Headers],[Indirect WTT]],'Emission factors'!$K$2:$V$2,0)))*$I35)</f>
        <v/>
      </c>
      <c r="T35" s="289" t="str">
        <f>IF(OR($L35="",FleetTableDistance[[#This Row],[RSD]]=""),"",FleetTableDistance[[#This Row],[Total emissions (kgCO2e)]]*(1+FleetTableDistance[[#This Row],[RSD]]))</f>
        <v/>
      </c>
      <c r="U35" s="307" t="str">
        <f>IF(OR($L35="",FleetTableDistance[[#This Row],[RSD]]=""),"",FleetTableDistance[[#This Row],[Total emissions (kgCO2e)]]*(1-FleetTableDistance[[#This Row],[RSD]]))</f>
        <v/>
      </c>
      <c r="V35" s="288" t="str" cm="1">
        <f t="array" ref="V35">IF(OR($C35="",$G35=""),"",(INDEX('Emission factors'!$K$3:$V$212,MATCH(FleetTableDistance[[#This Row],[Type]]&amp;$C35&amp;$D35,'Emission factors'!$J$3:$J$212&amp;'Emission factors'!$L$3:$L$212&amp;'Emission factors'!$K$3:$K$212,0),MATCH(FleetTableDistance[[#Headers],[Outside of scopes]],'Emission factors'!$K$2:$V$2,0)))*$I35)</f>
        <v/>
      </c>
      <c r="X35" s="1" cm="1">
        <f t="array" ref="X35">IF(OR(ISERROR(B35:V35)),1,0)</f>
        <v>0</v>
      </c>
      <c r="Y35" s="1">
        <f t="shared" si="1"/>
        <v>0</v>
      </c>
    </row>
    <row r="36" spans="1:25" s="1" customFormat="1" ht="15" thickBot="1" x14ac:dyDescent="0.4">
      <c r="A36" s="41"/>
      <c r="B36" s="155"/>
      <c r="C36" s="151"/>
      <c r="D36" s="151"/>
      <c r="E36" s="151"/>
      <c r="F36" s="157" t="str">
        <f>IF(E36="","",INDEX(Lists!$BA$4:$BC$31,MATCH(B36,Lists!$AZ$4:$AZ$31,0),MATCH(E36,Lists!$BA$3:$BC$3,0)))</f>
        <v/>
      </c>
      <c r="G36" s="373"/>
      <c r="H36" s="151"/>
      <c r="I36" s="154" t="str" cm="1">
        <f t="array" ref="I36">IF(OR($C36="",$B36="",$G36="",$H36=""),"",IF(H36=J36,G36,(INDEX('Emission factors'!$K$3:$V$201,MATCH(B36&amp;D36,'Emission factors'!$J$3:$J$201&amp;'Emission factors'!$K$3:$K$201,0),MATCH(I$7,'Emission factors'!$K$2:$V$2,0)))*G36))</f>
        <v/>
      </c>
      <c r="J36" s="192" t="str">
        <f>IF(OR($C36="",$B36="",$G36="",$H36=""),"",INDEX('Emission factors'!$K$3:$V$212,MATCH(Fleet!$B36,'Emission factors'!$J$3:$J$212,0),MATCH($J$30,'Emission factors'!$K$2:$V$2,0)))</f>
        <v/>
      </c>
      <c r="K36" s="193" t="str" cm="1">
        <f t="array" ref="K36">IF(OR(FleetTableDistance[[#This Row],[Type]]="",C36="",G36=""),"",INDEX('Emission factors'!$K$3:$V$212,MATCH(FleetTableDistance[[#This Row],[Type]]&amp;C36&amp;FleetTableDistance[[#This Row],[Size]],'Emission factors'!$J$3:$J$212&amp;'Emission factors'!$L$3:$L$212&amp;'Emission factors'!$K$3:$K$212,0),MATCH(FleetTableDistance[[#Headers],[Total EF (kgCO2e/unit)]],'Emission factors'!$K$2:$V$2,0)))</f>
        <v/>
      </c>
      <c r="L36" s="287" t="str">
        <f>IF(OR(I36="",K36=""),"",SUM(FleetTableDistance[[#This Row],[Direct]:[Indirect WTT]]))</f>
        <v/>
      </c>
      <c r="M36" s="150"/>
      <c r="N36" s="151"/>
      <c r="O36" s="288" t="str" cm="1">
        <f t="array" ref="O36">IF(OR($C36="",$G36=""),"",(INDEX('Emission factors'!$K$3:$V$381,MATCH(FleetTableDistance[[#This Row],[Type]]&amp;$C36&amp;$D36,'Emission factors'!$J$3:$J$381&amp;'Emission factors'!$L$3:$L$381&amp;'Emission factors'!$K$3:$K$381,0),MATCH(FleetTableDistance[[#Headers],[Direct]],'Emission factors'!$K$2:$V$2,0)))*$I36)</f>
        <v/>
      </c>
      <c r="P36" s="288" t="str" cm="1">
        <f t="array" ref="P36">IF(OR($C36="",$G36=""),"",(INDEX('Emission factors'!$K$3:$V$212,MATCH(FleetTableDistance[[#This Row],[Type]]&amp;$C36&amp;$D36,'Emission factors'!$J$3:$J$212&amp;'Emission factors'!$L$3:$L$212&amp;'Emission factors'!$K$3:$K$212,0),MATCH(FleetTableDistance[[#Headers],[Indirect generation]],'Emission factors'!$K$2:$V$2,0)))*$I36)</f>
        <v/>
      </c>
      <c r="Q36" s="288" t="str" cm="1">
        <f t="array" ref="Q36">IF(OR($C36="",$G36=""),"",(INDEX('Emission factors'!$K$3:$V$212,MATCH(FleetTableDistance[[#This Row],[Type]]&amp;$C36&amp;$D36,'Emission factors'!$J$3:$J$212&amp;'Emission factors'!$L$3:$L$212&amp;'Emission factors'!$K$3:$K$212,0),MATCH(FleetTableDistance[[#Headers],[Indirect service]],'Emission factors'!$K$2:$V$2,0)))*$I36)</f>
        <v/>
      </c>
      <c r="R36" s="288" t="str" cm="1">
        <f t="array" ref="R36">IF(OR($C36="",$G36=""),"",(INDEX('Emission factors'!$K$3:$V$212,MATCH(FleetTableDistance[[#This Row],[Type]]&amp;$C36&amp;$D36,'Emission factors'!$J$3:$J$212&amp;'Emission factors'!$L$3:$L$212&amp;'Emission factors'!$K$3:$K$212,0),MATCH(FleetTableDistance[[#Headers],[Indirect T&amp;D]],'Emission factors'!$K$2:$V$2,0)))*$I36)</f>
        <v/>
      </c>
      <c r="S36" s="288" t="str" cm="1">
        <f t="array" ref="S36">IF(OR($C36="",$G36=""),"",(INDEX('Emission factors'!$K$3:$V$212,MATCH(FleetTableDistance[[#This Row],[Type]]&amp;$C36&amp;$D36,'Emission factors'!$J$3:$J$212&amp;'Emission factors'!$L$3:$L$212&amp;'Emission factors'!$K$3:$K$212,0),MATCH(FleetTableDistance[[#Headers],[Indirect WTT]],'Emission factors'!$K$2:$V$2,0)))*$I36)</f>
        <v/>
      </c>
      <c r="T36" s="289" t="str">
        <f>IF(OR($L36="",FleetTableDistance[[#This Row],[RSD]]=""),"",FleetTableDistance[[#This Row],[Total emissions (kgCO2e)]]*(1+FleetTableDistance[[#This Row],[RSD]]))</f>
        <v/>
      </c>
      <c r="U36" s="307" t="str">
        <f>IF(OR($L36="",FleetTableDistance[[#This Row],[RSD]]=""),"",FleetTableDistance[[#This Row],[Total emissions (kgCO2e)]]*(1-FleetTableDistance[[#This Row],[RSD]]))</f>
        <v/>
      </c>
      <c r="V36" s="288" t="str" cm="1">
        <f t="array" ref="V36">IF(OR($C36="",$G36=""),"",(INDEX('Emission factors'!$K$3:$V$212,MATCH(FleetTableDistance[[#This Row],[Type]]&amp;$C36&amp;$D36,'Emission factors'!$J$3:$J$212&amp;'Emission factors'!$L$3:$L$212&amp;'Emission factors'!$K$3:$K$212,0),MATCH(FleetTableDistance[[#Headers],[Outside of scopes]],'Emission factors'!$K$2:$V$2,0)))*$I36)</f>
        <v/>
      </c>
      <c r="X36" s="1" cm="1">
        <f t="array" ref="X36">IF(OR(ISERROR(B36:V36)),1,0)</f>
        <v>0</v>
      </c>
      <c r="Y36" s="1">
        <f t="shared" si="1"/>
        <v>0</v>
      </c>
    </row>
    <row r="37" spans="1:25" s="1" customFormat="1" ht="15" thickBot="1" x14ac:dyDescent="0.4">
      <c r="A37" s="41"/>
      <c r="B37" s="155"/>
      <c r="C37" s="151"/>
      <c r="D37" s="151"/>
      <c r="E37" s="151"/>
      <c r="F37" s="157" t="str">
        <f>IF(E37="","",INDEX(Lists!$BA$4:$BC$31,MATCH(B37,Lists!$AZ$4:$AZ$31,0),MATCH(E37,Lists!$BA$3:$BC$3,0)))</f>
        <v/>
      </c>
      <c r="G37" s="373"/>
      <c r="H37" s="151"/>
      <c r="I37" s="154" t="str" cm="1">
        <f t="array" ref="I37">IF(OR($C37="",$B37="",$G37="",$H37=""),"",IF(H37=J37,G37,(INDEX('Emission factors'!$K$3:$V$201,MATCH(B37&amp;D37,'Emission factors'!$J$3:$J$201&amp;'Emission factors'!$K$3:$K$201,0),MATCH(I$7,'Emission factors'!$K$2:$V$2,0)))*G37))</f>
        <v/>
      </c>
      <c r="J37" s="192" t="str">
        <f>IF(OR($C37="",$B37="",$G37="",$H37=""),"",INDEX('Emission factors'!$K$3:$V$212,MATCH(Fleet!$B37,'Emission factors'!$J$3:$J$212,0),MATCH($J$30,'Emission factors'!$K$2:$V$2,0)))</f>
        <v/>
      </c>
      <c r="K37" s="193" t="str" cm="1">
        <f t="array" ref="K37">IF(OR(FleetTableDistance[[#This Row],[Type]]="",C37="",G37=""),"",INDEX('Emission factors'!$K$3:$V$212,MATCH(FleetTableDistance[[#This Row],[Type]]&amp;C37&amp;FleetTableDistance[[#This Row],[Size]],'Emission factors'!$J$3:$J$212&amp;'Emission factors'!$L$3:$L$212&amp;'Emission factors'!$K$3:$K$212,0),MATCH(FleetTableDistance[[#Headers],[Total EF (kgCO2e/unit)]],'Emission factors'!$K$2:$V$2,0)))</f>
        <v/>
      </c>
      <c r="L37" s="287" t="str">
        <f>IF(OR(I37="",K37=""),"",SUM(FleetTableDistance[[#This Row],[Direct]:[Indirect WTT]]))</f>
        <v/>
      </c>
      <c r="M37" s="150"/>
      <c r="N37" s="151"/>
      <c r="O37" s="288" t="str" cm="1">
        <f t="array" ref="O37">IF(OR($C37="",$G37=""),"",(INDEX('Emission factors'!$K$3:$V$381,MATCH(FleetTableDistance[[#This Row],[Type]]&amp;$C37&amp;$D37,'Emission factors'!$J$3:$J$381&amp;'Emission factors'!$L$3:$L$381&amp;'Emission factors'!$K$3:$K$381,0),MATCH(FleetTableDistance[[#Headers],[Direct]],'Emission factors'!$K$2:$V$2,0)))*$I37)</f>
        <v/>
      </c>
      <c r="P37" s="288" t="str" cm="1">
        <f t="array" ref="P37">IF(OR($C37="",$G37=""),"",(INDEX('Emission factors'!$K$3:$V$212,MATCH(FleetTableDistance[[#This Row],[Type]]&amp;$C37&amp;$D37,'Emission factors'!$J$3:$J$212&amp;'Emission factors'!$L$3:$L$212&amp;'Emission factors'!$K$3:$K$212,0),MATCH(FleetTableDistance[[#Headers],[Indirect generation]],'Emission factors'!$K$2:$V$2,0)))*$I37)</f>
        <v/>
      </c>
      <c r="Q37" s="288" t="str" cm="1">
        <f t="array" ref="Q37">IF(OR($C37="",$G37=""),"",(INDEX('Emission factors'!$K$3:$V$212,MATCH(FleetTableDistance[[#This Row],[Type]]&amp;$C37&amp;$D37,'Emission factors'!$J$3:$J$212&amp;'Emission factors'!$L$3:$L$212&amp;'Emission factors'!$K$3:$K$212,0),MATCH(FleetTableDistance[[#Headers],[Indirect service]],'Emission factors'!$K$2:$V$2,0)))*$I37)</f>
        <v/>
      </c>
      <c r="R37" s="288" t="str" cm="1">
        <f t="array" ref="R37">IF(OR($C37="",$G37=""),"",(INDEX('Emission factors'!$K$3:$V$212,MATCH(FleetTableDistance[[#This Row],[Type]]&amp;$C37&amp;$D37,'Emission factors'!$J$3:$J$212&amp;'Emission factors'!$L$3:$L$212&amp;'Emission factors'!$K$3:$K$212,0),MATCH(FleetTableDistance[[#Headers],[Indirect T&amp;D]],'Emission factors'!$K$2:$V$2,0)))*$I37)</f>
        <v/>
      </c>
      <c r="S37" s="288" t="str" cm="1">
        <f t="array" ref="S37">IF(OR($C37="",$G37=""),"",(INDEX('Emission factors'!$K$3:$V$212,MATCH(FleetTableDistance[[#This Row],[Type]]&amp;$C37&amp;$D37,'Emission factors'!$J$3:$J$212&amp;'Emission factors'!$L$3:$L$212&amp;'Emission factors'!$K$3:$K$212,0),MATCH(FleetTableDistance[[#Headers],[Indirect WTT]],'Emission factors'!$K$2:$V$2,0)))*$I37)</f>
        <v/>
      </c>
      <c r="T37" s="289" t="str">
        <f>IF(OR($L37="",FleetTableDistance[[#This Row],[RSD]]=""),"",FleetTableDistance[[#This Row],[Total emissions (kgCO2e)]]*(1+FleetTableDistance[[#This Row],[RSD]]))</f>
        <v/>
      </c>
      <c r="U37" s="307" t="str">
        <f>IF(OR($L37="",FleetTableDistance[[#This Row],[RSD]]=""),"",FleetTableDistance[[#This Row],[Total emissions (kgCO2e)]]*(1-FleetTableDistance[[#This Row],[RSD]]))</f>
        <v/>
      </c>
      <c r="V37" s="288" t="str" cm="1">
        <f t="array" ref="V37">IF(OR($C37="",$G37=""),"",(INDEX('Emission factors'!$K$3:$V$212,MATCH(FleetTableDistance[[#This Row],[Type]]&amp;$C37&amp;$D37,'Emission factors'!$J$3:$J$212&amp;'Emission factors'!$L$3:$L$212&amp;'Emission factors'!$K$3:$K$212,0),MATCH(FleetTableDistance[[#Headers],[Outside of scopes]],'Emission factors'!$K$2:$V$2,0)))*$I37)</f>
        <v/>
      </c>
      <c r="X37" s="1" cm="1">
        <f t="array" ref="X37">IF(OR(ISERROR(B37:V37)),1,0)</f>
        <v>0</v>
      </c>
      <c r="Y37" s="1">
        <f t="shared" si="1"/>
        <v>0</v>
      </c>
    </row>
    <row r="38" spans="1:25" s="1" customFormat="1" ht="15" thickBot="1" x14ac:dyDescent="0.4">
      <c r="A38" s="41"/>
      <c r="B38" s="155"/>
      <c r="C38" s="151"/>
      <c r="D38" s="151"/>
      <c r="E38" s="151"/>
      <c r="F38" s="157" t="str">
        <f>IF(E38="","",INDEX(Lists!$BA$4:$BC$31,MATCH(B38,Lists!$AZ$4:$AZ$31,0),MATCH(E38,Lists!$BA$3:$BC$3,0)))</f>
        <v/>
      </c>
      <c r="G38" s="373"/>
      <c r="H38" s="151"/>
      <c r="I38" s="154" t="str" cm="1">
        <f t="array" ref="I38">IF(OR($C38="",$B38="",$G38="",$H38=""),"",IF(H38=J38,G38,(INDEX('Emission factors'!$K$3:$V$201,MATCH(B38&amp;D38,'Emission factors'!$J$3:$J$201&amp;'Emission factors'!$K$3:$K$201,0),MATCH(I$7,'Emission factors'!$K$2:$V$2,0)))*G38))</f>
        <v/>
      </c>
      <c r="J38" s="192" t="str">
        <f>IF(OR($C38="",$B38="",$G38="",$H38=""),"",INDEX('Emission factors'!$K$3:$V$212,MATCH(Fleet!$B38,'Emission factors'!$J$3:$J$212,0),MATCH($J$30,'Emission factors'!$K$2:$V$2,0)))</f>
        <v/>
      </c>
      <c r="K38" s="193" t="str" cm="1">
        <f t="array" ref="K38">IF(OR(FleetTableDistance[[#This Row],[Type]]="",C38="",G38=""),"",INDEX('Emission factors'!$K$3:$V$212,MATCH(FleetTableDistance[[#This Row],[Type]]&amp;C38&amp;FleetTableDistance[[#This Row],[Size]],'Emission factors'!$J$3:$J$212&amp;'Emission factors'!$L$3:$L$212&amp;'Emission factors'!$K$3:$K$212,0),MATCH(FleetTableDistance[[#Headers],[Total EF (kgCO2e/unit)]],'Emission factors'!$K$2:$V$2,0)))</f>
        <v/>
      </c>
      <c r="L38" s="287" t="str">
        <f>IF(OR(I38="",K38=""),"",SUM(FleetTableDistance[[#This Row],[Direct]:[Indirect WTT]]))</f>
        <v/>
      </c>
      <c r="M38" s="150"/>
      <c r="N38" s="151"/>
      <c r="O38" s="288" t="str" cm="1">
        <f t="array" ref="O38">IF(OR($C38="",$G38=""),"",(INDEX('Emission factors'!$K$3:$V$381,MATCH(FleetTableDistance[[#This Row],[Type]]&amp;$C38&amp;$D38,'Emission factors'!$J$3:$J$381&amp;'Emission factors'!$L$3:$L$381&amp;'Emission factors'!$K$3:$K$381,0),MATCH(FleetTableDistance[[#Headers],[Direct]],'Emission factors'!$K$2:$V$2,0)))*$I38)</f>
        <v/>
      </c>
      <c r="P38" s="288" t="str" cm="1">
        <f t="array" ref="P38">IF(OR($C38="",$G38=""),"",(INDEX('Emission factors'!$K$3:$V$212,MATCH(FleetTableDistance[[#This Row],[Type]]&amp;$C38&amp;$D38,'Emission factors'!$J$3:$J$212&amp;'Emission factors'!$L$3:$L$212&amp;'Emission factors'!$K$3:$K$212,0),MATCH(FleetTableDistance[[#Headers],[Indirect generation]],'Emission factors'!$K$2:$V$2,0)))*$I38)</f>
        <v/>
      </c>
      <c r="Q38" s="288" t="str" cm="1">
        <f t="array" ref="Q38">IF(OR($C38="",$G38=""),"",(INDEX('Emission factors'!$K$3:$V$212,MATCH(FleetTableDistance[[#This Row],[Type]]&amp;$C38&amp;$D38,'Emission factors'!$J$3:$J$212&amp;'Emission factors'!$L$3:$L$212&amp;'Emission factors'!$K$3:$K$212,0),MATCH(FleetTableDistance[[#Headers],[Indirect service]],'Emission factors'!$K$2:$V$2,0)))*$I38)</f>
        <v/>
      </c>
      <c r="R38" s="288" t="str" cm="1">
        <f t="array" ref="R38">IF(OR($C38="",$G38=""),"",(INDEX('Emission factors'!$K$3:$V$212,MATCH(FleetTableDistance[[#This Row],[Type]]&amp;$C38&amp;$D38,'Emission factors'!$J$3:$J$212&amp;'Emission factors'!$L$3:$L$212&amp;'Emission factors'!$K$3:$K$212,0),MATCH(FleetTableDistance[[#Headers],[Indirect T&amp;D]],'Emission factors'!$K$2:$V$2,0)))*$I38)</f>
        <v/>
      </c>
      <c r="S38" s="288" t="str" cm="1">
        <f t="array" ref="S38">IF(OR($C38="",$G38=""),"",(INDEX('Emission factors'!$K$3:$V$212,MATCH(FleetTableDistance[[#This Row],[Type]]&amp;$C38&amp;$D38,'Emission factors'!$J$3:$J$212&amp;'Emission factors'!$L$3:$L$212&amp;'Emission factors'!$K$3:$K$212,0),MATCH(FleetTableDistance[[#Headers],[Indirect WTT]],'Emission factors'!$K$2:$V$2,0)))*$I38)</f>
        <v/>
      </c>
      <c r="T38" s="289" t="str">
        <f>IF(OR($L38="",FleetTableDistance[[#This Row],[RSD]]=""),"",FleetTableDistance[[#This Row],[Total emissions (kgCO2e)]]*(1+FleetTableDistance[[#This Row],[RSD]]))</f>
        <v/>
      </c>
      <c r="U38" s="307" t="str">
        <f>IF(OR($L38="",FleetTableDistance[[#This Row],[RSD]]=""),"",FleetTableDistance[[#This Row],[Total emissions (kgCO2e)]]*(1-FleetTableDistance[[#This Row],[RSD]]))</f>
        <v/>
      </c>
      <c r="V38" s="288" t="str" cm="1">
        <f t="array" ref="V38">IF(OR($C38="",$G38=""),"",(INDEX('Emission factors'!$K$3:$V$212,MATCH(FleetTableDistance[[#This Row],[Type]]&amp;$C38&amp;$D38,'Emission factors'!$J$3:$J$212&amp;'Emission factors'!$L$3:$L$212&amp;'Emission factors'!$K$3:$K$212,0),MATCH(FleetTableDistance[[#Headers],[Outside of scopes]],'Emission factors'!$K$2:$V$2,0)))*$I38)</f>
        <v/>
      </c>
      <c r="X38" s="1" cm="1">
        <f t="array" ref="X38">IF(OR(ISERROR(B38:V38)),1,0)</f>
        <v>0</v>
      </c>
      <c r="Y38" s="1">
        <f t="shared" si="1"/>
        <v>0</v>
      </c>
    </row>
    <row r="39" spans="1:25" s="1" customFormat="1" ht="15" thickBot="1" x14ac:dyDescent="0.4">
      <c r="A39" s="41"/>
      <c r="B39" s="155"/>
      <c r="C39" s="151"/>
      <c r="D39" s="151"/>
      <c r="E39" s="151"/>
      <c r="F39" s="157" t="str">
        <f>IF(E39="","",INDEX(Lists!$BA$4:$BC$31,MATCH(B39,Lists!$AZ$4:$AZ$31,0),MATCH(E39,Lists!$BA$3:$BC$3,0)))</f>
        <v/>
      </c>
      <c r="G39" s="373"/>
      <c r="H39" s="151"/>
      <c r="I39" s="154" t="str" cm="1">
        <f t="array" ref="I39">IF(OR($C39="",$B39="",$G39="",$H39=""),"",IF(H39=J39,G39,(INDEX('Emission factors'!$K$3:$V$201,MATCH(B39&amp;D39,'Emission factors'!$J$3:$J$201&amp;'Emission factors'!$K$3:$K$201,0),MATCH(I$7,'Emission factors'!$K$2:$V$2,0)))*G39))</f>
        <v/>
      </c>
      <c r="J39" s="192" t="str">
        <f>IF(OR($C39="",$B39="",$G39="",$H39=""),"",INDEX('Emission factors'!$K$3:$V$212,MATCH(Fleet!$B39,'Emission factors'!$J$3:$J$212,0),MATCH($J$30,'Emission factors'!$K$2:$V$2,0)))</f>
        <v/>
      </c>
      <c r="K39" s="193" t="str" cm="1">
        <f t="array" ref="K39">IF(OR(FleetTableDistance[[#This Row],[Type]]="",C39="",G39=""),"",INDEX('Emission factors'!$K$3:$V$212,MATCH(FleetTableDistance[[#This Row],[Type]]&amp;C39&amp;FleetTableDistance[[#This Row],[Size]],'Emission factors'!$J$3:$J$212&amp;'Emission factors'!$L$3:$L$212&amp;'Emission factors'!$K$3:$K$212,0),MATCH(FleetTableDistance[[#Headers],[Total EF (kgCO2e/unit)]],'Emission factors'!$K$2:$V$2,0)))</f>
        <v/>
      </c>
      <c r="L39" s="287" t="str">
        <f>IF(OR(I39="",K39=""),"",SUM(FleetTableDistance[[#This Row],[Direct]:[Indirect WTT]]))</f>
        <v/>
      </c>
      <c r="M39" s="150"/>
      <c r="N39" s="151"/>
      <c r="O39" s="288" t="str" cm="1">
        <f t="array" ref="O39">IF(OR($C39="",$G39=""),"",(INDEX('Emission factors'!$K$3:$V$381,MATCH(FleetTableDistance[[#This Row],[Type]]&amp;$C39&amp;$D39,'Emission factors'!$J$3:$J$381&amp;'Emission factors'!$L$3:$L$381&amp;'Emission factors'!$K$3:$K$381,0),MATCH(FleetTableDistance[[#Headers],[Direct]],'Emission factors'!$K$2:$V$2,0)))*$I39)</f>
        <v/>
      </c>
      <c r="P39" s="288" t="str" cm="1">
        <f t="array" ref="P39">IF(OR($C39="",$G39=""),"",(INDEX('Emission factors'!$K$3:$V$212,MATCH(FleetTableDistance[[#This Row],[Type]]&amp;$C39&amp;$D39,'Emission factors'!$J$3:$J$212&amp;'Emission factors'!$L$3:$L$212&amp;'Emission factors'!$K$3:$K$212,0),MATCH(FleetTableDistance[[#Headers],[Indirect generation]],'Emission factors'!$K$2:$V$2,0)))*$I39)</f>
        <v/>
      </c>
      <c r="Q39" s="288" t="str" cm="1">
        <f t="array" ref="Q39">IF(OR($C39="",$G39=""),"",(INDEX('Emission factors'!$K$3:$V$212,MATCH(FleetTableDistance[[#This Row],[Type]]&amp;$C39&amp;$D39,'Emission factors'!$J$3:$J$212&amp;'Emission factors'!$L$3:$L$212&amp;'Emission factors'!$K$3:$K$212,0),MATCH(FleetTableDistance[[#Headers],[Indirect service]],'Emission factors'!$K$2:$V$2,0)))*$I39)</f>
        <v/>
      </c>
      <c r="R39" s="288" t="str" cm="1">
        <f t="array" ref="R39">IF(OR($C39="",$G39=""),"",(INDEX('Emission factors'!$K$3:$V$212,MATCH(FleetTableDistance[[#This Row],[Type]]&amp;$C39&amp;$D39,'Emission factors'!$J$3:$J$212&amp;'Emission factors'!$L$3:$L$212&amp;'Emission factors'!$K$3:$K$212,0),MATCH(FleetTableDistance[[#Headers],[Indirect T&amp;D]],'Emission factors'!$K$2:$V$2,0)))*$I39)</f>
        <v/>
      </c>
      <c r="S39" s="288" t="str" cm="1">
        <f t="array" ref="S39">IF(OR($C39="",$G39=""),"",(INDEX('Emission factors'!$K$3:$V$212,MATCH(FleetTableDistance[[#This Row],[Type]]&amp;$C39&amp;$D39,'Emission factors'!$J$3:$J$212&amp;'Emission factors'!$L$3:$L$212&amp;'Emission factors'!$K$3:$K$212,0),MATCH(FleetTableDistance[[#Headers],[Indirect WTT]],'Emission factors'!$K$2:$V$2,0)))*$I39)</f>
        <v/>
      </c>
      <c r="T39" s="289" t="str">
        <f>IF(OR($L39="",FleetTableDistance[[#This Row],[RSD]]=""),"",FleetTableDistance[[#This Row],[Total emissions (kgCO2e)]]*(1+FleetTableDistance[[#This Row],[RSD]]))</f>
        <v/>
      </c>
      <c r="U39" s="307" t="str">
        <f>IF(OR($L39="",FleetTableDistance[[#This Row],[RSD]]=""),"",FleetTableDistance[[#This Row],[Total emissions (kgCO2e)]]*(1-FleetTableDistance[[#This Row],[RSD]]))</f>
        <v/>
      </c>
      <c r="V39" s="288" t="str" cm="1">
        <f t="array" ref="V39">IF(OR($C39="",$G39=""),"",(INDEX('Emission factors'!$K$3:$V$212,MATCH(FleetTableDistance[[#This Row],[Type]]&amp;$C39&amp;$D39,'Emission factors'!$J$3:$J$212&amp;'Emission factors'!$L$3:$L$212&amp;'Emission factors'!$K$3:$K$212,0),MATCH(FleetTableDistance[[#Headers],[Outside of scopes]],'Emission factors'!$K$2:$V$2,0)))*$I39)</f>
        <v/>
      </c>
      <c r="X39" s="1" cm="1">
        <f t="array" ref="X39">IF(OR(ISERROR(B39:V39)),1,0)</f>
        <v>0</v>
      </c>
      <c r="Y39" s="1">
        <f t="shared" si="1"/>
        <v>0</v>
      </c>
    </row>
    <row r="40" spans="1:25" s="1" customFormat="1" ht="15" thickBot="1" x14ac:dyDescent="0.4">
      <c r="A40" s="41"/>
      <c r="B40" s="155"/>
      <c r="C40" s="151"/>
      <c r="D40" s="151"/>
      <c r="E40" s="151"/>
      <c r="F40" s="157" t="str">
        <f>IF(E40="","",INDEX(Lists!$BA$4:$BC$31,MATCH(B40,Lists!$AZ$4:$AZ$31,0),MATCH(E40,Lists!$BA$3:$BC$3,0)))</f>
        <v/>
      </c>
      <c r="G40" s="373"/>
      <c r="H40" s="151"/>
      <c r="I40" s="154" t="str" cm="1">
        <f t="array" ref="I40">IF(OR($C40="",$B40="",$G40="",$H40=""),"",IF(H40=J40,G40,(INDEX('Emission factors'!$K$3:$V$201,MATCH(B40&amp;D40,'Emission factors'!$J$3:$J$201&amp;'Emission factors'!$K$3:$K$201,0),MATCH(I$7,'Emission factors'!$K$2:$V$2,0)))*G40))</f>
        <v/>
      </c>
      <c r="J40" s="192" t="str">
        <f>IF(OR($C40="",$B40="",$G40="",$H40=""),"",INDEX('Emission factors'!$K$3:$V$212,MATCH(Fleet!$B40,'Emission factors'!$J$3:$J$212,0),MATCH($J$30,'Emission factors'!$K$2:$V$2,0)))</f>
        <v/>
      </c>
      <c r="K40" s="193" t="str" cm="1">
        <f t="array" ref="K40">IF(OR(FleetTableDistance[[#This Row],[Type]]="",C40="",G40=""),"",INDEX('Emission factors'!$K$3:$V$212,MATCH(FleetTableDistance[[#This Row],[Type]]&amp;C40&amp;FleetTableDistance[[#This Row],[Size]],'Emission factors'!$J$3:$J$212&amp;'Emission factors'!$L$3:$L$212&amp;'Emission factors'!$K$3:$K$212,0),MATCH(FleetTableDistance[[#Headers],[Total EF (kgCO2e/unit)]],'Emission factors'!$K$2:$V$2,0)))</f>
        <v/>
      </c>
      <c r="L40" s="287" t="str">
        <f>IF(OR(I40="",K40=""),"",SUM(FleetTableDistance[[#This Row],[Direct]:[Indirect WTT]]))</f>
        <v/>
      </c>
      <c r="M40" s="150"/>
      <c r="N40" s="151"/>
      <c r="O40" s="288" t="str" cm="1">
        <f t="array" ref="O40">IF(OR($C40="",$G40=""),"",(INDEX('Emission factors'!$K$3:$V$381,MATCH(FleetTableDistance[[#This Row],[Type]]&amp;$C40&amp;$D40,'Emission factors'!$J$3:$J$381&amp;'Emission factors'!$L$3:$L$381&amp;'Emission factors'!$K$3:$K$381,0),MATCH(FleetTableDistance[[#Headers],[Direct]],'Emission factors'!$K$2:$V$2,0)))*$I40)</f>
        <v/>
      </c>
      <c r="P40" s="288" t="str" cm="1">
        <f t="array" ref="P40">IF(OR($C40="",$G40=""),"",(INDEX('Emission factors'!$K$3:$V$212,MATCH(FleetTableDistance[[#This Row],[Type]]&amp;$C40&amp;$D40,'Emission factors'!$J$3:$J$212&amp;'Emission factors'!$L$3:$L$212&amp;'Emission factors'!$K$3:$K$212,0),MATCH(FleetTableDistance[[#Headers],[Indirect generation]],'Emission factors'!$K$2:$V$2,0)))*$I40)</f>
        <v/>
      </c>
      <c r="Q40" s="288" t="str" cm="1">
        <f t="array" ref="Q40">IF(OR($C40="",$G40=""),"",(INDEX('Emission factors'!$K$3:$V$212,MATCH(FleetTableDistance[[#This Row],[Type]]&amp;$C40&amp;$D40,'Emission factors'!$J$3:$J$212&amp;'Emission factors'!$L$3:$L$212&amp;'Emission factors'!$K$3:$K$212,0),MATCH(FleetTableDistance[[#Headers],[Indirect service]],'Emission factors'!$K$2:$V$2,0)))*$I40)</f>
        <v/>
      </c>
      <c r="R40" s="288" t="str" cm="1">
        <f t="array" ref="R40">IF(OR($C40="",$G40=""),"",(INDEX('Emission factors'!$K$3:$V$212,MATCH(FleetTableDistance[[#This Row],[Type]]&amp;$C40&amp;$D40,'Emission factors'!$J$3:$J$212&amp;'Emission factors'!$L$3:$L$212&amp;'Emission factors'!$K$3:$K$212,0),MATCH(FleetTableDistance[[#Headers],[Indirect T&amp;D]],'Emission factors'!$K$2:$V$2,0)))*$I40)</f>
        <v/>
      </c>
      <c r="S40" s="288" t="str" cm="1">
        <f t="array" ref="S40">IF(OR($C40="",$G40=""),"",(INDEX('Emission factors'!$K$3:$V$212,MATCH(FleetTableDistance[[#This Row],[Type]]&amp;$C40&amp;$D40,'Emission factors'!$J$3:$J$212&amp;'Emission factors'!$L$3:$L$212&amp;'Emission factors'!$K$3:$K$212,0),MATCH(FleetTableDistance[[#Headers],[Indirect WTT]],'Emission factors'!$K$2:$V$2,0)))*$I40)</f>
        <v/>
      </c>
      <c r="T40" s="289" t="str">
        <f>IF(OR($L40="",FleetTableDistance[[#This Row],[RSD]]=""),"",FleetTableDistance[[#This Row],[Total emissions (kgCO2e)]]*(1+FleetTableDistance[[#This Row],[RSD]]))</f>
        <v/>
      </c>
      <c r="U40" s="307" t="str">
        <f>IF(OR($L40="",FleetTableDistance[[#This Row],[RSD]]=""),"",FleetTableDistance[[#This Row],[Total emissions (kgCO2e)]]*(1-FleetTableDistance[[#This Row],[RSD]]))</f>
        <v/>
      </c>
      <c r="V40" s="288" t="str" cm="1">
        <f t="array" ref="V40">IF(OR($C40="",$G40=""),"",(INDEX('Emission factors'!$K$3:$V$212,MATCH(FleetTableDistance[[#This Row],[Type]]&amp;$C40&amp;$D40,'Emission factors'!$J$3:$J$212&amp;'Emission factors'!$L$3:$L$212&amp;'Emission factors'!$K$3:$K$212,0),MATCH(FleetTableDistance[[#Headers],[Outside of scopes]],'Emission factors'!$K$2:$V$2,0)))*$I40)</f>
        <v/>
      </c>
      <c r="X40" s="1" cm="1">
        <f t="array" ref="X40">IF(OR(ISERROR(B40:V40)),1,0)</f>
        <v>0</v>
      </c>
      <c r="Y40" s="1">
        <f t="shared" si="1"/>
        <v>0</v>
      </c>
    </row>
    <row r="41" spans="1:25" s="1" customFormat="1" ht="15" thickBot="1" x14ac:dyDescent="0.4">
      <c r="A41" s="41"/>
      <c r="B41" s="155"/>
      <c r="C41" s="151"/>
      <c r="D41" s="151"/>
      <c r="E41" s="151"/>
      <c r="F41" s="157" t="str">
        <f>IF(E41="","",INDEX(Lists!$BA$4:$BC$31,MATCH(B41,Lists!$AZ$4:$AZ$31,0),MATCH(E41,Lists!$BA$3:$BC$3,0)))</f>
        <v/>
      </c>
      <c r="G41" s="148"/>
      <c r="H41" s="151"/>
      <c r="I41" s="154" t="str" cm="1">
        <f t="array" ref="I41">IF(OR($C41="",$B41="",$G41="",$H41=""),"",IF(H41=J41,G41,(INDEX('Emission factors'!$K$3:$V$201,MATCH(B41&amp;D41,'Emission factors'!$J$3:$J$201&amp;'Emission factors'!$K$3:$K$201,0),MATCH(I$7,'Emission factors'!$K$2:$V$2,0)))*G41))</f>
        <v/>
      </c>
      <c r="J41" s="192" t="str">
        <f>IF(OR($C41="",$B41="",$G41="",$H41=""),"",INDEX('Emission factors'!$K$3:$V$212,MATCH(Fleet!$B41,'Emission factors'!$J$3:$J$212,0),MATCH($J$30,'Emission factors'!$K$2:$V$2,0)))</f>
        <v/>
      </c>
      <c r="K41" s="193" t="str" cm="1">
        <f t="array" ref="K41">IF(OR(FleetTableDistance[[#This Row],[Type]]="",C41="",G41=""),"",INDEX('Emission factors'!$K$3:$V$212,MATCH(FleetTableDistance[[#This Row],[Type]]&amp;C41&amp;FleetTableDistance[[#This Row],[Size]],'Emission factors'!$J$3:$J$212&amp;'Emission factors'!$L$3:$L$212&amp;'Emission factors'!$K$3:$K$212,0),MATCH(FleetTableDistance[[#Headers],[Total EF (kgCO2e/unit)]],'Emission factors'!$K$2:$V$2,0)))</f>
        <v/>
      </c>
      <c r="L41" s="287" t="str">
        <f>IF(OR(I41="",K41=""),"",SUM(FleetTableDistance[[#This Row],[Direct]:[Indirect WTT]]))</f>
        <v/>
      </c>
      <c r="M41" s="150"/>
      <c r="N41" s="151"/>
      <c r="O41" s="288" t="str" cm="1">
        <f t="array" ref="O41">IF(OR($C41="",$G41=""),"",(INDEX('Emission factors'!$K$3:$V$381,MATCH(FleetTableDistance[[#This Row],[Type]]&amp;$C41&amp;$D41,'Emission factors'!$J$3:$J$381&amp;'Emission factors'!$L$3:$L$381&amp;'Emission factors'!$K$3:$K$381,0),MATCH(FleetTableDistance[[#Headers],[Direct]],'Emission factors'!$K$2:$V$2,0)))*$I41)</f>
        <v/>
      </c>
      <c r="P41" s="288" t="str" cm="1">
        <f t="array" ref="P41">IF(OR($C41="",$G41=""),"",(INDEX('Emission factors'!$K$3:$V$212,MATCH(FleetTableDistance[[#This Row],[Type]]&amp;$C41&amp;$D41,'Emission factors'!$J$3:$J$212&amp;'Emission factors'!$L$3:$L$212&amp;'Emission factors'!$K$3:$K$212,0),MATCH(FleetTableDistance[[#Headers],[Indirect generation]],'Emission factors'!$K$2:$V$2,0)))*$I41)</f>
        <v/>
      </c>
      <c r="Q41" s="288" t="str" cm="1">
        <f t="array" ref="Q41">IF(OR($C41="",$G41=""),"",(INDEX('Emission factors'!$K$3:$V$212,MATCH(FleetTableDistance[[#This Row],[Type]]&amp;$C41&amp;$D41,'Emission factors'!$J$3:$J$212&amp;'Emission factors'!$L$3:$L$212&amp;'Emission factors'!$K$3:$K$212,0),MATCH(FleetTableDistance[[#Headers],[Indirect service]],'Emission factors'!$K$2:$V$2,0)))*$I41)</f>
        <v/>
      </c>
      <c r="R41" s="288" t="str" cm="1">
        <f t="array" ref="R41">IF(OR($C41="",$G41=""),"",(INDEX('Emission factors'!$K$3:$V$212,MATCH(FleetTableDistance[[#This Row],[Type]]&amp;$C41&amp;$D41,'Emission factors'!$J$3:$J$212&amp;'Emission factors'!$L$3:$L$212&amp;'Emission factors'!$K$3:$K$212,0),MATCH(FleetTableDistance[[#Headers],[Indirect T&amp;D]],'Emission factors'!$K$2:$V$2,0)))*$I41)</f>
        <v/>
      </c>
      <c r="S41" s="288" t="str" cm="1">
        <f t="array" ref="S41">IF(OR($C41="",$G41=""),"",(INDEX('Emission factors'!$K$3:$V$212,MATCH(FleetTableDistance[[#This Row],[Type]]&amp;$C41&amp;$D41,'Emission factors'!$J$3:$J$212&amp;'Emission factors'!$L$3:$L$212&amp;'Emission factors'!$K$3:$K$212,0),MATCH(FleetTableDistance[[#Headers],[Indirect WTT]],'Emission factors'!$K$2:$V$2,0)))*$I41)</f>
        <v/>
      </c>
      <c r="T41" s="289" t="str">
        <f>IF(OR($L41="",FleetTableDistance[[#This Row],[RSD]]=""),"",FleetTableDistance[[#This Row],[Total emissions (kgCO2e)]]*(1+FleetTableDistance[[#This Row],[RSD]]))</f>
        <v/>
      </c>
      <c r="U41" s="307" t="str">
        <f>IF(OR($L41="",FleetTableDistance[[#This Row],[RSD]]=""),"",FleetTableDistance[[#This Row],[Total emissions (kgCO2e)]]*(1-FleetTableDistance[[#This Row],[RSD]]))</f>
        <v/>
      </c>
      <c r="V41" s="288" t="str" cm="1">
        <f t="array" ref="V41">IF(OR($C41="",$G41=""),"",(INDEX('Emission factors'!$K$3:$V$212,MATCH(FleetTableDistance[[#This Row],[Type]]&amp;$C41&amp;$D41,'Emission factors'!$J$3:$J$212&amp;'Emission factors'!$L$3:$L$212&amp;'Emission factors'!$K$3:$K$212,0),MATCH(FleetTableDistance[[#Headers],[Outside of scopes]],'Emission factors'!$K$2:$V$2,0)))*$I41)</f>
        <v/>
      </c>
      <c r="X41" s="1" cm="1">
        <f t="array" ref="X41">IF(OR(ISERROR(B41:V41)),1,0)</f>
        <v>0</v>
      </c>
      <c r="Y41" s="1">
        <f t="shared" si="1"/>
        <v>0</v>
      </c>
    </row>
    <row r="42" spans="1:25" s="1" customFormat="1" ht="15" thickBot="1" x14ac:dyDescent="0.4">
      <c r="A42" s="41"/>
      <c r="B42" s="155"/>
      <c r="C42" s="151"/>
      <c r="D42" s="151"/>
      <c r="E42" s="151"/>
      <c r="F42" s="157" t="str">
        <f>IF(E42="","",INDEX(Lists!$BA$4:$BC$31,MATCH(B42,Lists!$AZ$4:$AZ$31,0),MATCH(E42,Lists!$BA$3:$BC$3,0)))</f>
        <v/>
      </c>
      <c r="G42" s="148"/>
      <c r="H42" s="151"/>
      <c r="I42" s="154" t="str" cm="1">
        <f t="array" ref="I42">IF(OR($C42="",$B42="",$G42="",$H42=""),"",IF(H42=J42,G42,(INDEX('Emission factors'!$K$3:$V$201,MATCH(B42&amp;D42,'Emission factors'!$J$3:$J$201&amp;'Emission factors'!$K$3:$K$201,0),MATCH(I$7,'Emission factors'!$K$2:$V$2,0)))*G42))</f>
        <v/>
      </c>
      <c r="J42" s="192" t="str">
        <f>IF(OR($C42="",$B42="",$G42="",$H42=""),"",INDEX('Emission factors'!$K$3:$V$212,MATCH(Fleet!$B42,'Emission factors'!$J$3:$J$212,0),MATCH($J$30,'Emission factors'!$K$2:$V$2,0)))</f>
        <v/>
      </c>
      <c r="K42" s="193" t="str" cm="1">
        <f t="array" ref="K42">IF(OR(FleetTableDistance[[#This Row],[Type]]="",C42="",G42=""),"",INDEX('Emission factors'!$K$3:$V$212,MATCH(FleetTableDistance[[#This Row],[Type]]&amp;C42&amp;FleetTableDistance[[#This Row],[Size]],'Emission factors'!$J$3:$J$212&amp;'Emission factors'!$L$3:$L$212&amp;'Emission factors'!$K$3:$K$212,0),MATCH(FleetTableDistance[[#Headers],[Total EF (kgCO2e/unit)]],'Emission factors'!$K$2:$V$2,0)))</f>
        <v/>
      </c>
      <c r="L42" s="287" t="str">
        <f>IF(OR(I42="",K42=""),"",SUM(FleetTableDistance[[#This Row],[Direct]:[Indirect WTT]]))</f>
        <v/>
      </c>
      <c r="M42" s="150"/>
      <c r="N42" s="151"/>
      <c r="O42" s="288" t="str" cm="1">
        <f t="array" ref="O42">IF(OR($C42="",$G42=""),"",(INDEX('Emission factors'!$K$3:$V$381,MATCH(FleetTableDistance[[#This Row],[Type]]&amp;$C42&amp;$D42,'Emission factors'!$J$3:$J$381&amp;'Emission factors'!$L$3:$L$381&amp;'Emission factors'!$K$3:$K$381,0),MATCH(FleetTableDistance[[#Headers],[Direct]],'Emission factors'!$K$2:$V$2,0)))*$I42)</f>
        <v/>
      </c>
      <c r="P42" s="288" t="str" cm="1">
        <f t="array" ref="P42">IF(OR($C42="",$G42=""),"",(INDEX('Emission factors'!$K$3:$V$212,MATCH(FleetTableDistance[[#This Row],[Type]]&amp;$C42&amp;$D42,'Emission factors'!$J$3:$J$212&amp;'Emission factors'!$L$3:$L$212&amp;'Emission factors'!$K$3:$K$212,0),MATCH(FleetTableDistance[[#Headers],[Indirect generation]],'Emission factors'!$K$2:$V$2,0)))*$I42)</f>
        <v/>
      </c>
      <c r="Q42" s="288" t="str" cm="1">
        <f t="array" ref="Q42">IF(OR($C42="",$G42=""),"",(INDEX('Emission factors'!$K$3:$V$212,MATCH(FleetTableDistance[[#This Row],[Type]]&amp;$C42&amp;$D42,'Emission factors'!$J$3:$J$212&amp;'Emission factors'!$L$3:$L$212&amp;'Emission factors'!$K$3:$K$212,0),MATCH(FleetTableDistance[[#Headers],[Indirect service]],'Emission factors'!$K$2:$V$2,0)))*$I42)</f>
        <v/>
      </c>
      <c r="R42" s="288" t="str" cm="1">
        <f t="array" ref="R42">IF(OR($C42="",$G42=""),"",(INDEX('Emission factors'!$K$3:$V$212,MATCH(FleetTableDistance[[#This Row],[Type]]&amp;$C42&amp;$D42,'Emission factors'!$J$3:$J$212&amp;'Emission factors'!$L$3:$L$212&amp;'Emission factors'!$K$3:$K$212,0),MATCH(FleetTableDistance[[#Headers],[Indirect T&amp;D]],'Emission factors'!$K$2:$V$2,0)))*$I42)</f>
        <v/>
      </c>
      <c r="S42" s="288" t="str" cm="1">
        <f t="array" ref="S42">IF(OR($C42="",$G42=""),"",(INDEX('Emission factors'!$K$3:$V$212,MATCH(FleetTableDistance[[#This Row],[Type]]&amp;$C42&amp;$D42,'Emission factors'!$J$3:$J$212&amp;'Emission factors'!$L$3:$L$212&amp;'Emission factors'!$K$3:$K$212,0),MATCH(FleetTableDistance[[#Headers],[Indirect WTT]],'Emission factors'!$K$2:$V$2,0)))*$I42)</f>
        <v/>
      </c>
      <c r="T42" s="289" t="str">
        <f>IF(OR($L42="",FleetTableDistance[[#This Row],[RSD]]=""),"",FleetTableDistance[[#This Row],[Total emissions (kgCO2e)]]*(1+FleetTableDistance[[#This Row],[RSD]]))</f>
        <v/>
      </c>
      <c r="U42" s="307" t="str">
        <f>IF(OR($L42="",FleetTableDistance[[#This Row],[RSD]]=""),"",FleetTableDistance[[#This Row],[Total emissions (kgCO2e)]]*(1-FleetTableDistance[[#This Row],[RSD]]))</f>
        <v/>
      </c>
      <c r="V42" s="288" t="str" cm="1">
        <f t="array" ref="V42">IF(OR($C42="",$G42=""),"",(INDEX('Emission factors'!$K$3:$V$212,MATCH(FleetTableDistance[[#This Row],[Type]]&amp;$C42&amp;$D42,'Emission factors'!$J$3:$J$212&amp;'Emission factors'!$L$3:$L$212&amp;'Emission factors'!$K$3:$K$212,0),MATCH(FleetTableDistance[[#Headers],[Outside of scopes]],'Emission factors'!$K$2:$V$2,0)))*$I42)</f>
        <v/>
      </c>
      <c r="X42" s="1" cm="1">
        <f t="array" ref="X42">IF(OR(ISERROR(B42:V42)),1,0)</f>
        <v>0</v>
      </c>
      <c r="Y42" s="1">
        <f t="shared" si="1"/>
        <v>0</v>
      </c>
    </row>
    <row r="43" spans="1:25" s="1" customFormat="1" ht="15" thickBot="1" x14ac:dyDescent="0.4">
      <c r="A43" s="41"/>
      <c r="B43" s="155"/>
      <c r="C43" s="151"/>
      <c r="D43" s="151"/>
      <c r="E43" s="151"/>
      <c r="F43" s="157" t="str">
        <f>IF(E43="","",INDEX(Lists!$BA$4:$BC$31,MATCH(B43,Lists!$AZ$4:$AZ$31,0),MATCH(E43,Lists!$BA$3:$BC$3,0)))</f>
        <v/>
      </c>
      <c r="G43" s="148"/>
      <c r="H43" s="151"/>
      <c r="I43" s="154" t="str" cm="1">
        <f t="array" ref="I43">IF(OR($C43="",$B43="",$G43="",$H43=""),"",IF(H43=J43,G43,(INDEX('Emission factors'!$K$3:$V$201,MATCH(B43&amp;D43,'Emission factors'!$J$3:$J$201&amp;'Emission factors'!$K$3:$K$201,0),MATCH(I$7,'Emission factors'!$K$2:$V$2,0)))*G43))</f>
        <v/>
      </c>
      <c r="J43" s="192" t="str">
        <f>IF(OR($C43="",$B43="",$G43="",$H43=""),"",INDEX('Emission factors'!$K$3:$V$212,MATCH(Fleet!$B43,'Emission factors'!$J$3:$J$212,0),MATCH($J$30,'Emission factors'!$K$2:$V$2,0)))</f>
        <v/>
      </c>
      <c r="K43" s="193" t="str" cm="1">
        <f t="array" ref="K43">IF(OR(FleetTableDistance[[#This Row],[Type]]="",C43="",G43=""),"",INDEX('Emission factors'!$K$3:$V$212,MATCH(FleetTableDistance[[#This Row],[Type]]&amp;C43&amp;FleetTableDistance[[#This Row],[Size]],'Emission factors'!$J$3:$J$212&amp;'Emission factors'!$L$3:$L$212&amp;'Emission factors'!$K$3:$K$212,0),MATCH(FleetTableDistance[[#Headers],[Total EF (kgCO2e/unit)]],'Emission factors'!$K$2:$V$2,0)))</f>
        <v/>
      </c>
      <c r="L43" s="287" t="str">
        <f>IF(OR(I43="",K43=""),"",SUM(FleetTableDistance[[#This Row],[Direct]:[Indirect WTT]]))</f>
        <v/>
      </c>
      <c r="M43" s="150"/>
      <c r="N43" s="151"/>
      <c r="O43" s="288" t="str" cm="1">
        <f t="array" ref="O43">IF(OR($C43="",$G43=""),"",(INDEX('Emission factors'!$K$3:$V$381,MATCH(FleetTableDistance[[#This Row],[Type]]&amp;$C43&amp;$D43,'Emission factors'!$J$3:$J$381&amp;'Emission factors'!$L$3:$L$381&amp;'Emission factors'!$K$3:$K$381,0),MATCH(FleetTableDistance[[#Headers],[Direct]],'Emission factors'!$K$2:$V$2,0)))*$I43)</f>
        <v/>
      </c>
      <c r="P43" s="288" t="str" cm="1">
        <f t="array" ref="P43">IF(OR($C43="",$G43=""),"",(INDEX('Emission factors'!$K$3:$V$212,MATCH(FleetTableDistance[[#This Row],[Type]]&amp;$C43&amp;$D43,'Emission factors'!$J$3:$J$212&amp;'Emission factors'!$L$3:$L$212&amp;'Emission factors'!$K$3:$K$212,0),MATCH(FleetTableDistance[[#Headers],[Indirect generation]],'Emission factors'!$K$2:$V$2,0)))*$I43)</f>
        <v/>
      </c>
      <c r="Q43" s="288" t="str" cm="1">
        <f t="array" ref="Q43">IF(OR($C43="",$G43=""),"",(INDEX('Emission factors'!$K$3:$V$212,MATCH(FleetTableDistance[[#This Row],[Type]]&amp;$C43&amp;$D43,'Emission factors'!$J$3:$J$212&amp;'Emission factors'!$L$3:$L$212&amp;'Emission factors'!$K$3:$K$212,0),MATCH(FleetTableDistance[[#Headers],[Indirect service]],'Emission factors'!$K$2:$V$2,0)))*$I43)</f>
        <v/>
      </c>
      <c r="R43" s="288" t="str" cm="1">
        <f t="array" ref="R43">IF(OR($C43="",$G43=""),"",(INDEX('Emission factors'!$K$3:$V$212,MATCH(FleetTableDistance[[#This Row],[Type]]&amp;$C43&amp;$D43,'Emission factors'!$J$3:$J$212&amp;'Emission factors'!$L$3:$L$212&amp;'Emission factors'!$K$3:$K$212,0),MATCH(FleetTableDistance[[#Headers],[Indirect T&amp;D]],'Emission factors'!$K$2:$V$2,0)))*$I43)</f>
        <v/>
      </c>
      <c r="S43" s="288" t="str" cm="1">
        <f t="array" ref="S43">IF(OR($C43="",$G43=""),"",(INDEX('Emission factors'!$K$3:$V$212,MATCH(FleetTableDistance[[#This Row],[Type]]&amp;$C43&amp;$D43,'Emission factors'!$J$3:$J$212&amp;'Emission factors'!$L$3:$L$212&amp;'Emission factors'!$K$3:$K$212,0),MATCH(FleetTableDistance[[#Headers],[Indirect WTT]],'Emission factors'!$K$2:$V$2,0)))*$I43)</f>
        <v/>
      </c>
      <c r="T43" s="289" t="str">
        <f>IF(OR($L43="",FleetTableDistance[[#This Row],[RSD]]=""),"",FleetTableDistance[[#This Row],[Total emissions (kgCO2e)]]*(1+FleetTableDistance[[#This Row],[RSD]]))</f>
        <v/>
      </c>
      <c r="U43" s="307" t="str">
        <f>IF(OR($L43="",FleetTableDistance[[#This Row],[RSD]]=""),"",FleetTableDistance[[#This Row],[Total emissions (kgCO2e)]]*(1-FleetTableDistance[[#This Row],[RSD]]))</f>
        <v/>
      </c>
      <c r="V43" s="288" t="str" cm="1">
        <f t="array" ref="V43">IF(OR($C43="",$G43=""),"",(INDEX('Emission factors'!$K$3:$V$212,MATCH(FleetTableDistance[[#This Row],[Type]]&amp;$C43&amp;$D43,'Emission factors'!$J$3:$J$212&amp;'Emission factors'!$L$3:$L$212&amp;'Emission factors'!$K$3:$K$212,0),MATCH(FleetTableDistance[[#Headers],[Outside of scopes]],'Emission factors'!$K$2:$V$2,0)))*$I43)</f>
        <v/>
      </c>
      <c r="X43" s="1" cm="1">
        <f t="array" ref="X43">IF(OR(ISERROR(B43:V43)),1,0)</f>
        <v>0</v>
      </c>
      <c r="Y43" s="1">
        <f t="shared" si="1"/>
        <v>0</v>
      </c>
    </row>
    <row r="44" spans="1:25" s="1" customFormat="1" ht="15" thickBot="1" x14ac:dyDescent="0.4">
      <c r="A44" s="41"/>
      <c r="B44" s="155"/>
      <c r="C44" s="151"/>
      <c r="D44" s="151"/>
      <c r="E44" s="151"/>
      <c r="F44" s="157" t="str">
        <f>IF(E44="","",INDEX(Lists!$BA$4:$BC$31,MATCH(B44,Lists!$AZ$4:$AZ$31,0),MATCH(E44,Lists!$BA$3:$BC$3,0)))</f>
        <v/>
      </c>
      <c r="G44" s="148"/>
      <c r="H44" s="151"/>
      <c r="I44" s="154" t="str" cm="1">
        <f t="array" ref="I44">IF(OR($C44="",$B44="",$G44="",$H44=""),"",IF(H44=J44,G44,(INDEX('Emission factors'!$K$3:$V$201,MATCH(B44&amp;D44,'Emission factors'!$J$3:$J$201&amp;'Emission factors'!$K$3:$K$201,0),MATCH(I$7,'Emission factors'!$K$2:$V$2,0)))*G44))</f>
        <v/>
      </c>
      <c r="J44" s="192" t="str">
        <f>IF(OR($C44="",$B44="",$G44="",$H44=""),"",INDEX('Emission factors'!$K$3:$V$212,MATCH(Fleet!$B44,'Emission factors'!$J$3:$J$212,0),MATCH($J$30,'Emission factors'!$K$2:$V$2,0)))</f>
        <v/>
      </c>
      <c r="K44" s="193" t="str" cm="1">
        <f t="array" ref="K44">IF(OR(FleetTableDistance[[#This Row],[Type]]="",C44="",G44=""),"",INDEX('Emission factors'!$K$3:$V$212,MATCH(FleetTableDistance[[#This Row],[Type]]&amp;C44&amp;FleetTableDistance[[#This Row],[Size]],'Emission factors'!$J$3:$J$212&amp;'Emission factors'!$L$3:$L$212&amp;'Emission factors'!$K$3:$K$212,0),MATCH(FleetTableDistance[[#Headers],[Total EF (kgCO2e/unit)]],'Emission factors'!$K$2:$V$2,0)))</f>
        <v/>
      </c>
      <c r="L44" s="287" t="str">
        <f>IF(OR(I44="",K44=""),"",SUM(FleetTableDistance[[#This Row],[Direct]:[Indirect WTT]]))</f>
        <v/>
      </c>
      <c r="M44" s="150"/>
      <c r="N44" s="151"/>
      <c r="O44" s="288" t="str" cm="1">
        <f t="array" ref="O44">IF(OR($C44="",$G44=""),"",(INDEX('Emission factors'!$K$3:$V$381,MATCH(FleetTableDistance[[#This Row],[Type]]&amp;$C44&amp;$D44,'Emission factors'!$J$3:$J$381&amp;'Emission factors'!$L$3:$L$381&amp;'Emission factors'!$K$3:$K$381,0),MATCH(FleetTableDistance[[#Headers],[Direct]],'Emission factors'!$K$2:$V$2,0)))*$I44)</f>
        <v/>
      </c>
      <c r="P44" s="288" t="str" cm="1">
        <f t="array" ref="P44">IF(OR($C44="",$G44=""),"",(INDEX('Emission factors'!$K$3:$V$212,MATCH(FleetTableDistance[[#This Row],[Type]]&amp;$C44&amp;$D44,'Emission factors'!$J$3:$J$212&amp;'Emission factors'!$L$3:$L$212&amp;'Emission factors'!$K$3:$K$212,0),MATCH(FleetTableDistance[[#Headers],[Indirect generation]],'Emission factors'!$K$2:$V$2,0)))*$I44)</f>
        <v/>
      </c>
      <c r="Q44" s="288" t="str" cm="1">
        <f t="array" ref="Q44">IF(OR($C44="",$G44=""),"",(INDEX('Emission factors'!$K$3:$V$212,MATCH(FleetTableDistance[[#This Row],[Type]]&amp;$C44&amp;$D44,'Emission factors'!$J$3:$J$212&amp;'Emission factors'!$L$3:$L$212&amp;'Emission factors'!$K$3:$K$212,0),MATCH(FleetTableDistance[[#Headers],[Indirect service]],'Emission factors'!$K$2:$V$2,0)))*$I44)</f>
        <v/>
      </c>
      <c r="R44" s="288" t="str" cm="1">
        <f t="array" ref="R44">IF(OR($C44="",$G44=""),"",(INDEX('Emission factors'!$K$3:$V$212,MATCH(FleetTableDistance[[#This Row],[Type]]&amp;$C44&amp;$D44,'Emission factors'!$J$3:$J$212&amp;'Emission factors'!$L$3:$L$212&amp;'Emission factors'!$K$3:$K$212,0),MATCH(FleetTableDistance[[#Headers],[Indirect T&amp;D]],'Emission factors'!$K$2:$V$2,0)))*$I44)</f>
        <v/>
      </c>
      <c r="S44" s="288" t="str" cm="1">
        <f t="array" ref="S44">IF(OR($C44="",$G44=""),"",(INDEX('Emission factors'!$K$3:$V$212,MATCH(FleetTableDistance[[#This Row],[Type]]&amp;$C44&amp;$D44,'Emission factors'!$J$3:$J$212&amp;'Emission factors'!$L$3:$L$212&amp;'Emission factors'!$K$3:$K$212,0),MATCH(FleetTableDistance[[#Headers],[Indirect WTT]],'Emission factors'!$K$2:$V$2,0)))*$I44)</f>
        <v/>
      </c>
      <c r="T44" s="289" t="str">
        <f>IF(OR($L44="",FleetTableDistance[[#This Row],[RSD]]=""),"",FleetTableDistance[[#This Row],[Total emissions (kgCO2e)]]*(1+FleetTableDistance[[#This Row],[RSD]]))</f>
        <v/>
      </c>
      <c r="U44" s="307" t="str">
        <f>IF(OR($L44="",FleetTableDistance[[#This Row],[RSD]]=""),"",FleetTableDistance[[#This Row],[Total emissions (kgCO2e)]]*(1-FleetTableDistance[[#This Row],[RSD]]))</f>
        <v/>
      </c>
      <c r="V44" s="288" t="str" cm="1">
        <f t="array" ref="V44">IF(OR($C44="",$G44=""),"",(INDEX('Emission factors'!$K$3:$V$212,MATCH(FleetTableDistance[[#This Row],[Type]]&amp;$C44&amp;$D44,'Emission factors'!$J$3:$J$212&amp;'Emission factors'!$L$3:$L$212&amp;'Emission factors'!$K$3:$K$212,0),MATCH(FleetTableDistance[[#Headers],[Outside of scopes]],'Emission factors'!$K$2:$V$2,0)))*$I44)</f>
        <v/>
      </c>
      <c r="X44" s="1" cm="1">
        <f t="array" ref="X44">IF(OR(ISERROR(B44:V44)),1,0)</f>
        <v>0</v>
      </c>
      <c r="Y44" s="1">
        <f t="shared" si="1"/>
        <v>0</v>
      </c>
    </row>
    <row r="45" spans="1:25" s="1" customFormat="1" ht="15" thickBot="1" x14ac:dyDescent="0.4">
      <c r="A45" s="41"/>
      <c r="B45" s="155"/>
      <c r="C45" s="151"/>
      <c r="D45" s="151"/>
      <c r="E45" s="151"/>
      <c r="F45" s="157" t="str">
        <f>IF(E45="","",INDEX(Lists!$BA$4:$BC$31,MATCH(B45,Lists!$AZ$4:$AZ$31,0),MATCH(E45,Lists!$BA$3:$BC$3,0)))</f>
        <v/>
      </c>
      <c r="G45" s="148"/>
      <c r="H45" s="151"/>
      <c r="I45" s="154" t="str" cm="1">
        <f t="array" ref="I45">IF(OR($C45="",$B45="",$G45="",$H45=""),"",IF(H45=J45,G45,(INDEX('Emission factors'!$K$3:$V$201,MATCH(B45&amp;D45,'Emission factors'!$J$3:$J$201&amp;'Emission factors'!$K$3:$K$201,0),MATCH(I$7,'Emission factors'!$K$2:$V$2,0)))*G45))</f>
        <v/>
      </c>
      <c r="J45" s="192" t="str">
        <f>IF(OR($C45="",$B45="",$G45="",$H45=""),"",INDEX('Emission factors'!$K$3:$V$212,MATCH(Fleet!$B45,'Emission factors'!$J$3:$J$212,0),MATCH($J$30,'Emission factors'!$K$2:$V$2,0)))</f>
        <v/>
      </c>
      <c r="K45" s="193" t="str" cm="1">
        <f t="array" ref="K45">IF(OR(FleetTableDistance[[#This Row],[Type]]="",C45="",G45=""),"",INDEX('Emission factors'!$K$3:$V$212,MATCH(FleetTableDistance[[#This Row],[Type]]&amp;C45&amp;FleetTableDistance[[#This Row],[Size]],'Emission factors'!$J$3:$J$212&amp;'Emission factors'!$L$3:$L$212&amp;'Emission factors'!$K$3:$K$212,0),MATCH(FleetTableDistance[[#Headers],[Total EF (kgCO2e/unit)]],'Emission factors'!$K$2:$V$2,0)))</f>
        <v/>
      </c>
      <c r="L45" s="287" t="str">
        <f>IF(OR(I45="",K45=""),"",SUM(FleetTableDistance[[#This Row],[Direct]:[Indirect WTT]]))</f>
        <v/>
      </c>
      <c r="M45" s="150"/>
      <c r="N45" s="151"/>
      <c r="O45" s="288" t="str" cm="1">
        <f t="array" ref="O45">IF(OR($C45="",$G45=""),"",(INDEX('Emission factors'!$K$3:$V$381,MATCH(FleetTableDistance[[#This Row],[Type]]&amp;$C45&amp;$D45,'Emission factors'!$J$3:$J$381&amp;'Emission factors'!$L$3:$L$381&amp;'Emission factors'!$K$3:$K$381,0),MATCH(FleetTableDistance[[#Headers],[Direct]],'Emission factors'!$K$2:$V$2,0)))*$I45)</f>
        <v/>
      </c>
      <c r="P45" s="288" t="str" cm="1">
        <f t="array" ref="P45">IF(OR($C45="",$G45=""),"",(INDEX('Emission factors'!$K$3:$V$212,MATCH(FleetTableDistance[[#This Row],[Type]]&amp;$C45&amp;$D45,'Emission factors'!$J$3:$J$212&amp;'Emission factors'!$L$3:$L$212&amp;'Emission factors'!$K$3:$K$212,0),MATCH(FleetTableDistance[[#Headers],[Indirect generation]],'Emission factors'!$K$2:$V$2,0)))*$I45)</f>
        <v/>
      </c>
      <c r="Q45" s="288" t="str" cm="1">
        <f t="array" ref="Q45">IF(OR($C45="",$G45=""),"",(INDEX('Emission factors'!$K$3:$V$212,MATCH(FleetTableDistance[[#This Row],[Type]]&amp;$C45&amp;$D45,'Emission factors'!$J$3:$J$212&amp;'Emission factors'!$L$3:$L$212&amp;'Emission factors'!$K$3:$K$212,0),MATCH(FleetTableDistance[[#Headers],[Indirect service]],'Emission factors'!$K$2:$V$2,0)))*$I45)</f>
        <v/>
      </c>
      <c r="R45" s="288" t="str" cm="1">
        <f t="array" ref="R45">IF(OR($C45="",$G45=""),"",(INDEX('Emission factors'!$K$3:$V$212,MATCH(FleetTableDistance[[#This Row],[Type]]&amp;$C45&amp;$D45,'Emission factors'!$J$3:$J$212&amp;'Emission factors'!$L$3:$L$212&amp;'Emission factors'!$K$3:$K$212,0),MATCH(FleetTableDistance[[#Headers],[Indirect T&amp;D]],'Emission factors'!$K$2:$V$2,0)))*$I45)</f>
        <v/>
      </c>
      <c r="S45" s="288" t="str" cm="1">
        <f t="array" ref="S45">IF(OR($C45="",$G45=""),"",(INDEX('Emission factors'!$K$3:$V$212,MATCH(FleetTableDistance[[#This Row],[Type]]&amp;$C45&amp;$D45,'Emission factors'!$J$3:$J$212&amp;'Emission factors'!$L$3:$L$212&amp;'Emission factors'!$K$3:$K$212,0),MATCH(FleetTableDistance[[#Headers],[Indirect WTT]],'Emission factors'!$K$2:$V$2,0)))*$I45)</f>
        <v/>
      </c>
      <c r="T45" s="289" t="str">
        <f>IF(OR($L45="",FleetTableDistance[[#This Row],[RSD]]=""),"",FleetTableDistance[[#This Row],[Total emissions (kgCO2e)]]*(1+FleetTableDistance[[#This Row],[RSD]]))</f>
        <v/>
      </c>
      <c r="U45" s="307" t="str">
        <f>IF(OR($L45="",FleetTableDistance[[#This Row],[RSD]]=""),"",FleetTableDistance[[#This Row],[Total emissions (kgCO2e)]]*(1-FleetTableDistance[[#This Row],[RSD]]))</f>
        <v/>
      </c>
      <c r="V45" s="288" t="str" cm="1">
        <f t="array" ref="V45">IF(OR($C45="",$G45=""),"",(INDEX('Emission factors'!$K$3:$V$212,MATCH(FleetTableDistance[[#This Row],[Type]]&amp;$C45&amp;$D45,'Emission factors'!$J$3:$J$212&amp;'Emission factors'!$L$3:$L$212&amp;'Emission factors'!$K$3:$K$212,0),MATCH(FleetTableDistance[[#Headers],[Outside of scopes]],'Emission factors'!$K$2:$V$2,0)))*$I45)</f>
        <v/>
      </c>
      <c r="X45" s="1" cm="1">
        <f t="array" ref="X45">IF(OR(ISERROR(B45:V45)),1,0)</f>
        <v>0</v>
      </c>
      <c r="Y45" s="1">
        <f t="shared" si="1"/>
        <v>0</v>
      </c>
    </row>
    <row r="46" spans="1:25" s="1" customFormat="1" ht="15" thickBot="1" x14ac:dyDescent="0.4">
      <c r="A46" s="41"/>
      <c r="B46" s="155"/>
      <c r="C46" s="151"/>
      <c r="D46" s="151"/>
      <c r="E46" s="151"/>
      <c r="F46" s="157" t="str">
        <f>IF(E46="","",INDEX(Lists!$BA$4:$BC$31,MATCH(B46,Lists!$AZ$4:$AZ$31,0),MATCH(E46,Lists!$BA$3:$BC$3,0)))</f>
        <v/>
      </c>
      <c r="G46" s="148"/>
      <c r="H46" s="151"/>
      <c r="I46" s="154" t="str" cm="1">
        <f t="array" ref="I46">IF(OR($C46="",$B46="",$G46="",$H46=""),"",IF(H46=J46,G46,(INDEX('Emission factors'!$K$3:$V$201,MATCH(B46&amp;D46,'Emission factors'!$J$3:$J$201&amp;'Emission factors'!$K$3:$K$201,0),MATCH(I$7,'Emission factors'!$K$2:$V$2,0)))*G46))</f>
        <v/>
      </c>
      <c r="J46" s="192" t="str">
        <f>IF(OR($C46="",$B46="",$G46="",$H46=""),"",INDEX('Emission factors'!$K$3:$V$212,MATCH(Fleet!$B46,'Emission factors'!$J$3:$J$212,0),MATCH($J$30,'Emission factors'!$K$2:$V$2,0)))</f>
        <v/>
      </c>
      <c r="K46" s="193" t="str" cm="1">
        <f t="array" ref="K46">IF(OR(FleetTableDistance[[#This Row],[Type]]="",C46="",G46=""),"",INDEX('Emission factors'!$K$3:$V$212,MATCH(FleetTableDistance[[#This Row],[Type]]&amp;C46&amp;FleetTableDistance[[#This Row],[Size]],'Emission factors'!$J$3:$J$212&amp;'Emission factors'!$L$3:$L$212&amp;'Emission factors'!$K$3:$K$212,0),MATCH(FleetTableDistance[[#Headers],[Total EF (kgCO2e/unit)]],'Emission factors'!$K$2:$V$2,0)))</f>
        <v/>
      </c>
      <c r="L46" s="287" t="str">
        <f>IF(OR(I46="",K46=""),"",SUM(FleetTableDistance[[#This Row],[Direct]:[Indirect WTT]]))</f>
        <v/>
      </c>
      <c r="M46" s="150"/>
      <c r="N46" s="151"/>
      <c r="O46" s="288" t="str" cm="1">
        <f t="array" ref="O46">IF(OR($C46="",$G46=""),"",(INDEX('Emission factors'!$K$3:$V$381,MATCH(FleetTableDistance[[#This Row],[Type]]&amp;$C46&amp;$D46,'Emission factors'!$J$3:$J$381&amp;'Emission factors'!$L$3:$L$381&amp;'Emission factors'!$K$3:$K$381,0),MATCH(FleetTableDistance[[#Headers],[Direct]],'Emission factors'!$K$2:$V$2,0)))*$I46)</f>
        <v/>
      </c>
      <c r="P46" s="288" t="str" cm="1">
        <f t="array" ref="P46">IF(OR($C46="",$G46=""),"",(INDEX('Emission factors'!$K$3:$V$212,MATCH(FleetTableDistance[[#This Row],[Type]]&amp;$C46&amp;$D46,'Emission factors'!$J$3:$J$212&amp;'Emission factors'!$L$3:$L$212&amp;'Emission factors'!$K$3:$K$212,0),MATCH(FleetTableDistance[[#Headers],[Indirect generation]],'Emission factors'!$K$2:$V$2,0)))*$I46)</f>
        <v/>
      </c>
      <c r="Q46" s="288" t="str" cm="1">
        <f t="array" ref="Q46">IF(OR($C46="",$G46=""),"",(INDEX('Emission factors'!$K$3:$V$212,MATCH(FleetTableDistance[[#This Row],[Type]]&amp;$C46&amp;$D46,'Emission factors'!$J$3:$J$212&amp;'Emission factors'!$L$3:$L$212&amp;'Emission factors'!$K$3:$K$212,0),MATCH(FleetTableDistance[[#Headers],[Indirect service]],'Emission factors'!$K$2:$V$2,0)))*$I46)</f>
        <v/>
      </c>
      <c r="R46" s="288" t="str" cm="1">
        <f t="array" ref="R46">IF(OR($C46="",$G46=""),"",(INDEX('Emission factors'!$K$3:$V$212,MATCH(FleetTableDistance[[#This Row],[Type]]&amp;$C46&amp;$D46,'Emission factors'!$J$3:$J$212&amp;'Emission factors'!$L$3:$L$212&amp;'Emission factors'!$K$3:$K$212,0),MATCH(FleetTableDistance[[#Headers],[Indirect T&amp;D]],'Emission factors'!$K$2:$V$2,0)))*$I46)</f>
        <v/>
      </c>
      <c r="S46" s="288" t="str" cm="1">
        <f t="array" ref="S46">IF(OR($C46="",$G46=""),"",(INDEX('Emission factors'!$K$3:$V$212,MATCH(FleetTableDistance[[#This Row],[Type]]&amp;$C46&amp;$D46,'Emission factors'!$J$3:$J$212&amp;'Emission factors'!$L$3:$L$212&amp;'Emission factors'!$K$3:$K$212,0),MATCH(FleetTableDistance[[#Headers],[Indirect WTT]],'Emission factors'!$K$2:$V$2,0)))*$I46)</f>
        <v/>
      </c>
      <c r="T46" s="289" t="str">
        <f>IF(OR($L46="",FleetTableDistance[[#This Row],[RSD]]=""),"",FleetTableDistance[[#This Row],[Total emissions (kgCO2e)]]*(1+FleetTableDistance[[#This Row],[RSD]]))</f>
        <v/>
      </c>
      <c r="U46" s="307" t="str">
        <f>IF(OR($L46="",FleetTableDistance[[#This Row],[RSD]]=""),"",FleetTableDistance[[#This Row],[Total emissions (kgCO2e)]]*(1-FleetTableDistance[[#This Row],[RSD]]))</f>
        <v/>
      </c>
      <c r="V46" s="288" t="str" cm="1">
        <f t="array" ref="V46">IF(OR($C46="",$G46=""),"",(INDEX('Emission factors'!$K$3:$V$212,MATCH(FleetTableDistance[[#This Row],[Type]]&amp;$C46&amp;$D46,'Emission factors'!$J$3:$J$212&amp;'Emission factors'!$L$3:$L$212&amp;'Emission factors'!$K$3:$K$212,0),MATCH(FleetTableDistance[[#Headers],[Outside of scopes]],'Emission factors'!$K$2:$V$2,0)))*$I46)</f>
        <v/>
      </c>
      <c r="X46" s="1" cm="1">
        <f t="array" ref="X46">IF(OR(ISERROR(B46:V46)),1,0)</f>
        <v>0</v>
      </c>
      <c r="Y46" s="1">
        <f t="shared" si="1"/>
        <v>0</v>
      </c>
    </row>
    <row r="47" spans="1:25" s="1" customFormat="1" ht="15" thickBot="1" x14ac:dyDescent="0.4">
      <c r="A47" s="41"/>
      <c r="B47" s="155"/>
      <c r="C47" s="151"/>
      <c r="D47" s="151"/>
      <c r="E47" s="151"/>
      <c r="F47" s="157" t="str">
        <f>IF(E47="","",INDEX(Lists!$BA$4:$BC$31,MATCH(B47,Lists!$AZ$4:$AZ$31,0),MATCH(E47,Lists!$BA$3:$BC$3,0)))</f>
        <v/>
      </c>
      <c r="G47" s="148"/>
      <c r="H47" s="151"/>
      <c r="I47" s="154" t="str" cm="1">
        <f t="array" ref="I47">IF(OR($C47="",$B47="",$G47="",$H47=""),"",IF(H47=J47,G47,(INDEX('Emission factors'!$K$3:$V$201,MATCH(B47&amp;D47,'Emission factors'!$J$3:$J$201&amp;'Emission factors'!$K$3:$K$201,0),MATCH(I$7,'Emission factors'!$K$2:$V$2,0)))*G47))</f>
        <v/>
      </c>
      <c r="J47" s="192" t="str">
        <f>IF(OR($C47="",$B47="",$G47="",$H47=""),"",INDEX('Emission factors'!$K$3:$V$212,MATCH(Fleet!$B47,'Emission factors'!$J$3:$J$212,0),MATCH($J$30,'Emission factors'!$K$2:$V$2,0)))</f>
        <v/>
      </c>
      <c r="K47" s="193" t="str" cm="1">
        <f t="array" ref="K47">IF(OR(FleetTableDistance[[#This Row],[Type]]="",C47="",G47=""),"",INDEX('Emission factors'!$K$3:$V$212,MATCH(FleetTableDistance[[#This Row],[Type]]&amp;C47&amp;FleetTableDistance[[#This Row],[Size]],'Emission factors'!$J$3:$J$212&amp;'Emission factors'!$L$3:$L$212&amp;'Emission factors'!$K$3:$K$212,0),MATCH(FleetTableDistance[[#Headers],[Total EF (kgCO2e/unit)]],'Emission factors'!$K$2:$V$2,0)))</f>
        <v/>
      </c>
      <c r="L47" s="287" t="str">
        <f>IF(OR(I47="",K47=""),"",SUM(FleetTableDistance[[#This Row],[Direct]:[Indirect WTT]]))</f>
        <v/>
      </c>
      <c r="M47" s="150"/>
      <c r="N47" s="151"/>
      <c r="O47" s="288" t="str" cm="1">
        <f t="array" ref="O47">IF(OR($C47="",$G47=""),"",(INDEX('Emission factors'!$K$3:$V$381,MATCH(FleetTableDistance[[#This Row],[Type]]&amp;$C47&amp;$D47,'Emission factors'!$J$3:$J$381&amp;'Emission factors'!$L$3:$L$381&amp;'Emission factors'!$K$3:$K$381,0),MATCH(FleetTableDistance[[#Headers],[Direct]],'Emission factors'!$K$2:$V$2,0)))*$I47)</f>
        <v/>
      </c>
      <c r="P47" s="288" t="str" cm="1">
        <f t="array" ref="P47">IF(OR($C47="",$G47=""),"",(INDEX('Emission factors'!$K$3:$V$212,MATCH(FleetTableDistance[[#This Row],[Type]]&amp;$C47&amp;$D47,'Emission factors'!$J$3:$J$212&amp;'Emission factors'!$L$3:$L$212&amp;'Emission factors'!$K$3:$K$212,0),MATCH(FleetTableDistance[[#Headers],[Indirect generation]],'Emission factors'!$K$2:$V$2,0)))*$I47)</f>
        <v/>
      </c>
      <c r="Q47" s="288" t="str" cm="1">
        <f t="array" ref="Q47">IF(OR($C47="",$G47=""),"",(INDEX('Emission factors'!$K$3:$V$212,MATCH(FleetTableDistance[[#This Row],[Type]]&amp;$C47&amp;$D47,'Emission factors'!$J$3:$J$212&amp;'Emission factors'!$L$3:$L$212&amp;'Emission factors'!$K$3:$K$212,0),MATCH(FleetTableDistance[[#Headers],[Indirect service]],'Emission factors'!$K$2:$V$2,0)))*$I47)</f>
        <v/>
      </c>
      <c r="R47" s="288" t="str" cm="1">
        <f t="array" ref="R47">IF(OR($C47="",$G47=""),"",(INDEX('Emission factors'!$K$3:$V$212,MATCH(FleetTableDistance[[#This Row],[Type]]&amp;$C47&amp;$D47,'Emission factors'!$J$3:$J$212&amp;'Emission factors'!$L$3:$L$212&amp;'Emission factors'!$K$3:$K$212,0),MATCH(FleetTableDistance[[#Headers],[Indirect T&amp;D]],'Emission factors'!$K$2:$V$2,0)))*$I47)</f>
        <v/>
      </c>
      <c r="S47" s="288" t="str" cm="1">
        <f t="array" ref="S47">IF(OR($C47="",$G47=""),"",(INDEX('Emission factors'!$K$3:$V$212,MATCH(FleetTableDistance[[#This Row],[Type]]&amp;$C47&amp;$D47,'Emission factors'!$J$3:$J$212&amp;'Emission factors'!$L$3:$L$212&amp;'Emission factors'!$K$3:$K$212,0),MATCH(FleetTableDistance[[#Headers],[Indirect WTT]],'Emission factors'!$K$2:$V$2,0)))*$I47)</f>
        <v/>
      </c>
      <c r="T47" s="289" t="str">
        <f>IF(OR($L47="",FleetTableDistance[[#This Row],[RSD]]=""),"",FleetTableDistance[[#This Row],[Total emissions (kgCO2e)]]*(1+FleetTableDistance[[#This Row],[RSD]]))</f>
        <v/>
      </c>
      <c r="U47" s="307" t="str">
        <f>IF(OR($L47="",FleetTableDistance[[#This Row],[RSD]]=""),"",FleetTableDistance[[#This Row],[Total emissions (kgCO2e)]]*(1-FleetTableDistance[[#This Row],[RSD]]))</f>
        <v/>
      </c>
      <c r="V47" s="288" t="str" cm="1">
        <f t="array" ref="V47">IF(OR($C47="",$G47=""),"",(INDEX('Emission factors'!$K$3:$V$212,MATCH(FleetTableDistance[[#This Row],[Type]]&amp;$C47&amp;$D47,'Emission factors'!$J$3:$J$212&amp;'Emission factors'!$L$3:$L$212&amp;'Emission factors'!$K$3:$K$212,0),MATCH(FleetTableDistance[[#Headers],[Outside of scopes]],'Emission factors'!$K$2:$V$2,0)))*$I47)</f>
        <v/>
      </c>
      <c r="X47" s="1" cm="1">
        <f t="array" ref="X47">IF(OR(ISERROR(B47:V47)),1,0)</f>
        <v>0</v>
      </c>
      <c r="Y47" s="1">
        <f t="shared" si="1"/>
        <v>0</v>
      </c>
    </row>
    <row r="48" spans="1:25" s="1" customFormat="1" ht="15" thickBot="1" x14ac:dyDescent="0.4">
      <c r="A48" s="41"/>
      <c r="B48" s="155"/>
      <c r="C48" s="151"/>
      <c r="D48" s="151"/>
      <c r="E48" s="151"/>
      <c r="F48" s="157" t="str">
        <f>IF(E48="","",INDEX(Lists!$BA$4:$BC$31,MATCH(B48,Lists!$AZ$4:$AZ$31,0),MATCH(E48,Lists!$BA$3:$BC$3,0)))</f>
        <v/>
      </c>
      <c r="G48" s="148"/>
      <c r="H48" s="151"/>
      <c r="I48" s="154" t="str" cm="1">
        <f t="array" ref="I48">IF(OR($C48="",$B48="",$G48="",$H48=""),"",IF(H48=J48,G48,(INDEX('Emission factors'!$K$3:$V$201,MATCH(B48&amp;D48,'Emission factors'!$J$3:$J$201&amp;'Emission factors'!$K$3:$K$201,0),MATCH(I$7,'Emission factors'!$K$2:$V$2,0)))*G48))</f>
        <v/>
      </c>
      <c r="J48" s="192" t="str">
        <f>IF(OR($C48="",$B48="",$G48="",$H48=""),"",INDEX('Emission factors'!$K$3:$V$212,MATCH(Fleet!$B48,'Emission factors'!$J$3:$J$212,0),MATCH($J$30,'Emission factors'!$K$2:$V$2,0)))</f>
        <v/>
      </c>
      <c r="K48" s="193" t="str" cm="1">
        <f t="array" ref="K48">IF(OR(FleetTableDistance[[#This Row],[Type]]="",C48="",G48=""),"",INDEX('Emission factors'!$K$3:$V$212,MATCH(FleetTableDistance[[#This Row],[Type]]&amp;C48&amp;FleetTableDistance[[#This Row],[Size]],'Emission factors'!$J$3:$J$212&amp;'Emission factors'!$L$3:$L$212&amp;'Emission factors'!$K$3:$K$212,0),MATCH(FleetTableDistance[[#Headers],[Total EF (kgCO2e/unit)]],'Emission factors'!$K$2:$V$2,0)))</f>
        <v/>
      </c>
      <c r="L48" s="287" t="str">
        <f>IF(OR(I48="",K48=""),"",SUM(FleetTableDistance[[#This Row],[Direct]:[Indirect WTT]]))</f>
        <v/>
      </c>
      <c r="M48" s="150"/>
      <c r="N48" s="151"/>
      <c r="O48" s="288" t="str" cm="1">
        <f t="array" ref="O48">IF(OR($C48="",$G48=""),"",(INDEX('Emission factors'!$K$3:$V$381,MATCH(FleetTableDistance[[#This Row],[Type]]&amp;$C48&amp;$D48,'Emission factors'!$J$3:$J$381&amp;'Emission factors'!$L$3:$L$381&amp;'Emission factors'!$K$3:$K$381,0),MATCH(FleetTableDistance[[#Headers],[Direct]],'Emission factors'!$K$2:$V$2,0)))*$I48)</f>
        <v/>
      </c>
      <c r="P48" s="288" t="str" cm="1">
        <f t="array" ref="P48">IF(OR($C48="",$G48=""),"",(INDEX('Emission factors'!$K$3:$V$212,MATCH(FleetTableDistance[[#This Row],[Type]]&amp;$C48&amp;$D48,'Emission factors'!$J$3:$J$212&amp;'Emission factors'!$L$3:$L$212&amp;'Emission factors'!$K$3:$K$212,0),MATCH(FleetTableDistance[[#Headers],[Indirect generation]],'Emission factors'!$K$2:$V$2,0)))*$I48)</f>
        <v/>
      </c>
      <c r="Q48" s="288" t="str" cm="1">
        <f t="array" ref="Q48">IF(OR($C48="",$G48=""),"",(INDEX('Emission factors'!$K$3:$V$212,MATCH(FleetTableDistance[[#This Row],[Type]]&amp;$C48&amp;$D48,'Emission factors'!$J$3:$J$212&amp;'Emission factors'!$L$3:$L$212&amp;'Emission factors'!$K$3:$K$212,0),MATCH(FleetTableDistance[[#Headers],[Indirect service]],'Emission factors'!$K$2:$V$2,0)))*$I48)</f>
        <v/>
      </c>
      <c r="R48" s="288" t="str" cm="1">
        <f t="array" ref="R48">IF(OR($C48="",$G48=""),"",(INDEX('Emission factors'!$K$3:$V$212,MATCH(FleetTableDistance[[#This Row],[Type]]&amp;$C48&amp;$D48,'Emission factors'!$J$3:$J$212&amp;'Emission factors'!$L$3:$L$212&amp;'Emission factors'!$K$3:$K$212,0),MATCH(FleetTableDistance[[#Headers],[Indirect T&amp;D]],'Emission factors'!$K$2:$V$2,0)))*$I48)</f>
        <v/>
      </c>
      <c r="S48" s="288" t="str" cm="1">
        <f t="array" ref="S48">IF(OR($C48="",$G48=""),"",(INDEX('Emission factors'!$K$3:$V$212,MATCH(FleetTableDistance[[#This Row],[Type]]&amp;$C48&amp;$D48,'Emission factors'!$J$3:$J$212&amp;'Emission factors'!$L$3:$L$212&amp;'Emission factors'!$K$3:$K$212,0),MATCH(FleetTableDistance[[#Headers],[Indirect WTT]],'Emission factors'!$K$2:$V$2,0)))*$I48)</f>
        <v/>
      </c>
      <c r="T48" s="289" t="str">
        <f>IF(OR($L48="",FleetTableDistance[[#This Row],[RSD]]=""),"",FleetTableDistance[[#This Row],[Total emissions (kgCO2e)]]*(1+FleetTableDistance[[#This Row],[RSD]]))</f>
        <v/>
      </c>
      <c r="U48" s="307" t="str">
        <f>IF(OR($L48="",FleetTableDistance[[#This Row],[RSD]]=""),"",FleetTableDistance[[#This Row],[Total emissions (kgCO2e)]]*(1-FleetTableDistance[[#This Row],[RSD]]))</f>
        <v/>
      </c>
      <c r="V48" s="288" t="str" cm="1">
        <f t="array" ref="V48">IF(OR($C48="",$G48=""),"",(INDEX('Emission factors'!$K$3:$V$212,MATCH(FleetTableDistance[[#This Row],[Type]]&amp;$C48&amp;$D48,'Emission factors'!$J$3:$J$212&amp;'Emission factors'!$L$3:$L$212&amp;'Emission factors'!$K$3:$K$212,0),MATCH(FleetTableDistance[[#Headers],[Outside of scopes]],'Emission factors'!$K$2:$V$2,0)))*$I48)</f>
        <v/>
      </c>
      <c r="X48" s="1" cm="1">
        <f t="array" ref="X48">IF(OR(ISERROR(B48:V48)),1,0)</f>
        <v>0</v>
      </c>
      <c r="Y48" s="1">
        <f t="shared" si="1"/>
        <v>0</v>
      </c>
    </row>
    <row r="49" spans="1:25" s="1" customFormat="1" ht="15" thickBot="1" x14ac:dyDescent="0.4">
      <c r="A49" s="41"/>
      <c r="B49" s="155"/>
      <c r="C49" s="151"/>
      <c r="D49" s="151"/>
      <c r="E49" s="151"/>
      <c r="F49" s="157" t="str">
        <f>IF(E49="","",INDEX(Lists!$BA$4:$BC$31,MATCH(B49,Lists!$AZ$4:$AZ$31,0),MATCH(E49,Lists!$BA$3:$BC$3,0)))</f>
        <v/>
      </c>
      <c r="G49" s="148"/>
      <c r="H49" s="151"/>
      <c r="I49" s="154" t="str" cm="1">
        <f t="array" ref="I49">IF(OR($C49="",$B49="",$G49="",$H49=""),"",IF(H49=J49,G49,(INDEX('Emission factors'!$K$3:$V$201,MATCH(B49&amp;D49,'Emission factors'!$J$3:$J$201&amp;'Emission factors'!$K$3:$K$201,0),MATCH(I$7,'Emission factors'!$K$2:$V$2,0)))*G49))</f>
        <v/>
      </c>
      <c r="J49" s="192" t="str">
        <f>IF(OR($C49="",$B49="",$G49="",$H49=""),"",INDEX('Emission factors'!$K$3:$V$212,MATCH(Fleet!$B49,'Emission factors'!$J$3:$J$212,0),MATCH($J$30,'Emission factors'!$K$2:$V$2,0)))</f>
        <v/>
      </c>
      <c r="K49" s="193" t="str" cm="1">
        <f t="array" ref="K49">IF(OR(FleetTableDistance[[#This Row],[Type]]="",C49="",G49=""),"",INDEX('Emission factors'!$K$3:$V$212,MATCH(FleetTableDistance[[#This Row],[Type]]&amp;C49&amp;FleetTableDistance[[#This Row],[Size]],'Emission factors'!$J$3:$J$212&amp;'Emission factors'!$L$3:$L$212&amp;'Emission factors'!$K$3:$K$212,0),MATCH(FleetTableDistance[[#Headers],[Total EF (kgCO2e/unit)]],'Emission factors'!$K$2:$V$2,0)))</f>
        <v/>
      </c>
      <c r="L49" s="287" t="str">
        <f>IF(OR(I49="",K49=""),"",SUM(FleetTableDistance[[#This Row],[Direct]:[Indirect WTT]]))</f>
        <v/>
      </c>
      <c r="M49" s="150"/>
      <c r="N49" s="151"/>
      <c r="O49" s="288" t="str" cm="1">
        <f t="array" ref="O49">IF(OR($C49="",$G49=""),"",(INDEX('Emission factors'!$K$3:$V$381,MATCH(FleetTableDistance[[#This Row],[Type]]&amp;$C49&amp;$D49,'Emission factors'!$J$3:$J$381&amp;'Emission factors'!$L$3:$L$381&amp;'Emission factors'!$K$3:$K$381,0),MATCH(FleetTableDistance[[#Headers],[Direct]],'Emission factors'!$K$2:$V$2,0)))*$I49)</f>
        <v/>
      </c>
      <c r="P49" s="288" t="str" cm="1">
        <f t="array" ref="P49">IF(OR($C49="",$G49=""),"",(INDEX('Emission factors'!$K$3:$V$212,MATCH(FleetTableDistance[[#This Row],[Type]]&amp;$C49&amp;$D49,'Emission factors'!$J$3:$J$212&amp;'Emission factors'!$L$3:$L$212&amp;'Emission factors'!$K$3:$K$212,0),MATCH(FleetTableDistance[[#Headers],[Indirect generation]],'Emission factors'!$K$2:$V$2,0)))*$I49)</f>
        <v/>
      </c>
      <c r="Q49" s="288" t="str" cm="1">
        <f t="array" ref="Q49">IF(OR($C49="",$G49=""),"",(INDEX('Emission factors'!$K$3:$V$212,MATCH(FleetTableDistance[[#This Row],[Type]]&amp;$C49&amp;$D49,'Emission factors'!$J$3:$J$212&amp;'Emission factors'!$L$3:$L$212&amp;'Emission factors'!$K$3:$K$212,0),MATCH(FleetTableDistance[[#Headers],[Indirect service]],'Emission factors'!$K$2:$V$2,0)))*$I49)</f>
        <v/>
      </c>
      <c r="R49" s="288" t="str" cm="1">
        <f t="array" ref="R49">IF(OR($C49="",$G49=""),"",(INDEX('Emission factors'!$K$3:$V$212,MATCH(FleetTableDistance[[#This Row],[Type]]&amp;$C49&amp;$D49,'Emission factors'!$J$3:$J$212&amp;'Emission factors'!$L$3:$L$212&amp;'Emission factors'!$K$3:$K$212,0),MATCH(FleetTableDistance[[#Headers],[Indirect T&amp;D]],'Emission factors'!$K$2:$V$2,0)))*$I49)</f>
        <v/>
      </c>
      <c r="S49" s="288" t="str" cm="1">
        <f t="array" ref="S49">IF(OR($C49="",$G49=""),"",(INDEX('Emission factors'!$K$3:$V$212,MATCH(FleetTableDistance[[#This Row],[Type]]&amp;$C49&amp;$D49,'Emission factors'!$J$3:$J$212&amp;'Emission factors'!$L$3:$L$212&amp;'Emission factors'!$K$3:$K$212,0),MATCH(FleetTableDistance[[#Headers],[Indirect WTT]],'Emission factors'!$K$2:$V$2,0)))*$I49)</f>
        <v/>
      </c>
      <c r="T49" s="289" t="str">
        <f>IF(OR($L49="",FleetTableDistance[[#This Row],[RSD]]=""),"",FleetTableDistance[[#This Row],[Total emissions (kgCO2e)]]*(1+FleetTableDistance[[#This Row],[RSD]]))</f>
        <v/>
      </c>
      <c r="U49" s="307" t="str">
        <f>IF(OR($L49="",FleetTableDistance[[#This Row],[RSD]]=""),"",FleetTableDistance[[#This Row],[Total emissions (kgCO2e)]]*(1-FleetTableDistance[[#This Row],[RSD]]))</f>
        <v/>
      </c>
      <c r="V49" s="288" t="str" cm="1">
        <f t="array" ref="V49">IF(OR($C49="",$G49=""),"",(INDEX('Emission factors'!$K$3:$V$212,MATCH(FleetTableDistance[[#This Row],[Type]]&amp;$C49&amp;$D49,'Emission factors'!$J$3:$J$212&amp;'Emission factors'!$L$3:$L$212&amp;'Emission factors'!$K$3:$K$212,0),MATCH(FleetTableDistance[[#Headers],[Outside of scopes]],'Emission factors'!$K$2:$V$2,0)))*$I49)</f>
        <v/>
      </c>
      <c r="X49" s="1" cm="1">
        <f t="array" ref="X49">IF(OR(ISERROR(B49:V49)),1,0)</f>
        <v>0</v>
      </c>
      <c r="Y49" s="1">
        <f t="shared" si="1"/>
        <v>0</v>
      </c>
    </row>
    <row r="50" spans="1:25" s="1" customFormat="1" ht="15" thickBot="1" x14ac:dyDescent="0.4">
      <c r="A50" s="41"/>
      <c r="B50" s="155"/>
      <c r="C50" s="151"/>
      <c r="D50" s="151"/>
      <c r="E50" s="151"/>
      <c r="F50" s="157" t="str">
        <f>IF(E50="","",INDEX(Lists!$BA$4:$BC$31,MATCH(B50,Lists!$AZ$4:$AZ$31,0),MATCH(E50,Lists!$BA$3:$BC$3,0)))</f>
        <v/>
      </c>
      <c r="G50" s="148"/>
      <c r="H50" s="151"/>
      <c r="I50" s="154" t="str" cm="1">
        <f t="array" ref="I50">IF(OR($C50="",$B50="",$G50="",$H50=""),"",IF(H50=J50,G50,(INDEX('Emission factors'!$K$3:$V$201,MATCH(B50&amp;D50,'Emission factors'!$J$3:$J$201&amp;'Emission factors'!$K$3:$K$201,0),MATCH(I$7,'Emission factors'!$K$2:$V$2,0)))*G50))</f>
        <v/>
      </c>
      <c r="J50" s="192" t="str">
        <f>IF(OR($C50="",$B50="",$G50="",$H50=""),"",INDEX('Emission factors'!$K$3:$V$212,MATCH(Fleet!$B50,'Emission factors'!$J$3:$J$212,0),MATCH($J$30,'Emission factors'!$K$2:$V$2,0)))</f>
        <v/>
      </c>
      <c r="K50" s="193" t="str" cm="1">
        <f t="array" ref="K50">IF(OR(FleetTableDistance[[#This Row],[Type]]="",C50="",G50=""),"",INDEX('Emission factors'!$K$3:$V$212,MATCH(FleetTableDistance[[#This Row],[Type]]&amp;C50&amp;FleetTableDistance[[#This Row],[Size]],'Emission factors'!$J$3:$J$212&amp;'Emission factors'!$L$3:$L$212&amp;'Emission factors'!$K$3:$K$212,0),MATCH(FleetTableDistance[[#Headers],[Total EF (kgCO2e/unit)]],'Emission factors'!$K$2:$V$2,0)))</f>
        <v/>
      </c>
      <c r="L50" s="287" t="str">
        <f>IF(OR(I50="",K50=""),"",SUM(FleetTableDistance[[#This Row],[Direct]:[Indirect WTT]]))</f>
        <v/>
      </c>
      <c r="M50" s="150"/>
      <c r="N50" s="151"/>
      <c r="O50" s="288" t="str" cm="1">
        <f t="array" ref="O50">IF(OR($C50="",$G50=""),"",(INDEX('Emission factors'!$K$3:$V$381,MATCH(FleetTableDistance[[#This Row],[Type]]&amp;$C50&amp;$D50,'Emission factors'!$J$3:$J$381&amp;'Emission factors'!$L$3:$L$381&amp;'Emission factors'!$K$3:$K$381,0),MATCH(FleetTableDistance[[#Headers],[Direct]],'Emission factors'!$K$2:$V$2,0)))*$I50)</f>
        <v/>
      </c>
      <c r="P50" s="288" t="str" cm="1">
        <f t="array" ref="P50">IF(OR($C50="",$G50=""),"",(INDEX('Emission factors'!$K$3:$V$212,MATCH(FleetTableDistance[[#This Row],[Type]]&amp;$C50&amp;$D50,'Emission factors'!$J$3:$J$212&amp;'Emission factors'!$L$3:$L$212&amp;'Emission factors'!$K$3:$K$212,0),MATCH(FleetTableDistance[[#Headers],[Indirect generation]],'Emission factors'!$K$2:$V$2,0)))*$I50)</f>
        <v/>
      </c>
      <c r="Q50" s="288" t="str" cm="1">
        <f t="array" ref="Q50">IF(OR($C50="",$G50=""),"",(INDEX('Emission factors'!$K$3:$V$212,MATCH(FleetTableDistance[[#This Row],[Type]]&amp;$C50&amp;$D50,'Emission factors'!$J$3:$J$212&amp;'Emission factors'!$L$3:$L$212&amp;'Emission factors'!$K$3:$K$212,0),MATCH(FleetTableDistance[[#Headers],[Indirect service]],'Emission factors'!$K$2:$V$2,0)))*$I50)</f>
        <v/>
      </c>
      <c r="R50" s="288" t="str" cm="1">
        <f t="array" ref="R50">IF(OR($C50="",$G50=""),"",(INDEX('Emission factors'!$K$3:$V$212,MATCH(FleetTableDistance[[#This Row],[Type]]&amp;$C50&amp;$D50,'Emission factors'!$J$3:$J$212&amp;'Emission factors'!$L$3:$L$212&amp;'Emission factors'!$K$3:$K$212,0),MATCH(FleetTableDistance[[#Headers],[Indirect T&amp;D]],'Emission factors'!$K$2:$V$2,0)))*$I50)</f>
        <v/>
      </c>
      <c r="S50" s="288" t="str" cm="1">
        <f t="array" ref="S50">IF(OR($C50="",$G50=""),"",(INDEX('Emission factors'!$K$3:$V$212,MATCH(FleetTableDistance[[#This Row],[Type]]&amp;$C50&amp;$D50,'Emission factors'!$J$3:$J$212&amp;'Emission factors'!$L$3:$L$212&amp;'Emission factors'!$K$3:$K$212,0),MATCH(FleetTableDistance[[#Headers],[Indirect WTT]],'Emission factors'!$K$2:$V$2,0)))*$I50)</f>
        <v/>
      </c>
      <c r="T50" s="289" t="str">
        <f>IF(OR($L50="",FleetTableDistance[[#This Row],[RSD]]=""),"",FleetTableDistance[[#This Row],[Total emissions (kgCO2e)]]*(1+FleetTableDistance[[#This Row],[RSD]]))</f>
        <v/>
      </c>
      <c r="U50" s="307" t="str">
        <f>IF(OR($L50="",FleetTableDistance[[#This Row],[RSD]]=""),"",FleetTableDistance[[#This Row],[Total emissions (kgCO2e)]]*(1-FleetTableDistance[[#This Row],[RSD]]))</f>
        <v/>
      </c>
      <c r="V50" s="288" t="str" cm="1">
        <f t="array" ref="V50">IF(OR($C50="",$G50=""),"",(INDEX('Emission factors'!$K$3:$V$212,MATCH(FleetTableDistance[[#This Row],[Type]]&amp;$C50&amp;$D50,'Emission factors'!$J$3:$J$212&amp;'Emission factors'!$L$3:$L$212&amp;'Emission factors'!$K$3:$K$212,0),MATCH(FleetTableDistance[[#Headers],[Outside of scopes]],'Emission factors'!$K$2:$V$2,0)))*$I50)</f>
        <v/>
      </c>
      <c r="X50" s="1" cm="1">
        <f t="array" ref="X50">IF(OR(ISERROR(B50:V50)),1,0)</f>
        <v>0</v>
      </c>
      <c r="Y50" s="1">
        <f t="shared" si="1"/>
        <v>0</v>
      </c>
    </row>
    <row r="51" spans="1:25" s="1" customFormat="1" x14ac:dyDescent="0.35">
      <c r="A51" s="56"/>
      <c r="B51" s="58"/>
      <c r="C51" s="58"/>
      <c r="D51" s="58"/>
      <c r="E51" s="33"/>
      <c r="F51" s="33"/>
      <c r="G51" s="33"/>
      <c r="H51" s="33"/>
      <c r="I51" s="33"/>
      <c r="J51" s="33"/>
      <c r="K51" s="33"/>
      <c r="L51" s="33"/>
      <c r="M51" s="33"/>
      <c r="N51" s="33"/>
      <c r="O51" s="33"/>
      <c r="P51" s="33"/>
      <c r="Q51" s="33"/>
      <c r="R51" s="33"/>
      <c r="S51" s="33"/>
      <c r="T51" s="33"/>
      <c r="U51" s="308"/>
      <c r="V51" s="130"/>
    </row>
    <row r="52" spans="1:25" s="1" customFormat="1" x14ac:dyDescent="0.35">
      <c r="A52" s="41"/>
      <c r="B52" s="33"/>
      <c r="C52" s="33"/>
      <c r="D52" s="33"/>
      <c r="E52" s="33"/>
      <c r="F52" s="33"/>
      <c r="G52" s="33"/>
      <c r="H52" s="33"/>
      <c r="I52" s="33"/>
      <c r="J52" s="33"/>
      <c r="K52" s="33"/>
      <c r="L52" s="33"/>
      <c r="M52" s="33"/>
      <c r="N52" s="33"/>
      <c r="O52" s="33"/>
      <c r="P52" s="33"/>
      <c r="Q52" s="33"/>
      <c r="R52" s="33"/>
      <c r="S52" s="33"/>
      <c r="T52" s="33"/>
      <c r="U52" s="308"/>
      <c r="V52" s="130"/>
    </row>
    <row r="53" spans="1:25" x14ac:dyDescent="0.35">
      <c r="U53" s="311"/>
      <c r="V53" s="305"/>
    </row>
    <row r="54" spans="1:25" s="1" customFormat="1" x14ac:dyDescent="0.35">
      <c r="A54" s="41"/>
      <c r="B54" s="33"/>
      <c r="C54" s="33"/>
      <c r="D54" s="33"/>
      <c r="E54" s="33"/>
      <c r="F54" s="33"/>
      <c r="G54" s="33"/>
      <c r="H54" s="33"/>
      <c r="I54" s="33"/>
      <c r="J54" s="33"/>
      <c r="K54" s="33"/>
      <c r="L54" s="33"/>
      <c r="M54" s="33"/>
      <c r="N54" s="33"/>
      <c r="O54" s="33"/>
      <c r="P54" s="33"/>
      <c r="Q54" s="33"/>
      <c r="R54" s="33"/>
      <c r="S54" s="33"/>
      <c r="T54" s="33"/>
      <c r="U54" s="33"/>
      <c r="V54" s="33"/>
    </row>
  </sheetData>
  <sheetProtection algorithmName="SHA-512" hashValue="NLS3Xp76gtv2kx68GHxAmGsQNNV9hPrHhLj1fFQRx577eFzPzyM1rwVUTp6ly92Rc7vp+3upQyxiLILxG6IAxA==" saltValue="DPBDtJIy6I3nNX0yggLkxA==" spinCount="100000" sheet="1" objects="1" scenarios="1"/>
  <mergeCells count="7">
    <mergeCell ref="B4:M4"/>
    <mergeCell ref="O1:P1"/>
    <mergeCell ref="Q1:R1"/>
    <mergeCell ref="B2:M2"/>
    <mergeCell ref="O2:P2"/>
    <mergeCell ref="Q2:R2"/>
    <mergeCell ref="B3:M3"/>
  </mergeCells>
  <conditionalFormatting sqref="B8:V27 B31:V50">
    <cfRule type="expression" dxfId="51" priority="1">
      <formula>IF($X8=1,1,0)</formula>
    </cfRule>
  </conditionalFormatting>
  <conditionalFormatting sqref="H6">
    <cfRule type="containsText" dxfId="50" priority="4" operator="containsText" text="There are errors">
      <formula>NOT(ISERROR(SEARCH("There are errors",H6)))</formula>
    </cfRule>
    <cfRule type="containsText" dxfId="49" priority="5" operator="containsText" text="No errors in this table">
      <formula>NOT(ISERROR(SEARCH("No errors in this table",H6)))</formula>
    </cfRule>
  </conditionalFormatting>
  <conditionalFormatting sqref="H29">
    <cfRule type="containsText" dxfId="48" priority="2" operator="containsText" text="There are errors">
      <formula>NOT(ISERROR(SEARCH("There are errors",H29)))</formula>
    </cfRule>
    <cfRule type="containsText" dxfId="47" priority="3" operator="containsText" text="No errors in this table">
      <formula>NOT(ISERROR(SEARCH("No errors in this table",H29)))</formula>
    </cfRule>
  </conditionalFormatting>
  <dataValidations count="12">
    <dataValidation type="list" allowBlank="1" showInputMessage="1" showErrorMessage="1" sqref="H31:H50" xr:uid="{CA955651-DA8E-461D-9522-E17D1EEDC28C}">
      <formula1>INDIRECT(CONCATENATE(SUBSTITUTE($B31," ","")&amp;$H$30))</formula1>
    </dataValidation>
    <dataValidation type="list" allowBlank="1" showInputMessage="1" showErrorMessage="1" sqref="D31:D50" xr:uid="{E0B2FE63-172A-44E6-87D2-9F25EC3AB96E}">
      <formula1>INDIRECT(CONCATENATE(SUBSTITUTE($B31," ","")&amp;$D$30))</formula1>
    </dataValidation>
    <dataValidation type="list" allowBlank="1" showInputMessage="1" showErrorMessage="1" sqref="C31:C50" xr:uid="{9C99A6A5-AF29-4E41-BA15-3A5EF8D10B96}">
      <formula1>INDIRECT(CONCATENATE(SUBSTITUTE(B31," ","")&amp;$D$30&amp;$C$30))</formula1>
    </dataValidation>
    <dataValidation type="list" allowBlank="1" showInputMessage="1" showErrorMessage="1" sqref="H8:H27" xr:uid="{77A2AA26-5F80-44A7-9236-B12B8776CEDE}">
      <formula1>INDIRECT(CONCATENATE(SUBSTITUTE($C8," ","")&amp;$H$7))</formula1>
    </dataValidation>
    <dataValidation type="list" allowBlank="1" showInputMessage="1" showErrorMessage="1" sqref="B8:B27" xr:uid="{C9A02F58-AF47-4C3D-B895-9051CBDCE0C5}">
      <formula1>INDIRECT(SUBSTITUTE(SUBSTITUTE($B$6," - ","")," ",""))</formula1>
    </dataValidation>
    <dataValidation type="list" allowBlank="1" showInputMessage="1" showErrorMessage="1" sqref="D8:D27" xr:uid="{F27F4E8A-47DA-473C-A9B4-6DE7EE55A014}">
      <formula1>INDIRECT(CONCATENATE(SUBSTITUTE($C8," ","")&amp;SUBSTITUTE($D$7," ","")))</formula1>
    </dataValidation>
    <dataValidation type="list" allowBlank="1" showInputMessage="1" showErrorMessage="1" sqref="C18" xr:uid="{76F98D29-8814-40EB-BB97-DB7CFEB309EA}">
      <formula1>INDIRECT(CONCATENATE(SUBSTITUTE($B$18," ","")&amp;SUBSTITUTE($C$7," ","")))</formula1>
    </dataValidation>
    <dataValidation type="list" allowBlank="1" showInputMessage="1" showErrorMessage="1" sqref="C8:C17 C19:C27" xr:uid="{CF009877-68B1-4209-A669-8B65892A1403}">
      <formula1>INDIRECT(CONCATENATE(SUBSTITUTE(B8," ","")&amp;$C$7))</formula1>
    </dataValidation>
    <dataValidation type="decimal" operator="greaterThan" allowBlank="1" showInputMessage="1" showErrorMessage="1" errorTitle="Numeric data" error="Please enter a number greater than zero" sqref="G8:G27 G41:G50" xr:uid="{118E93AE-EABC-4026-A4BD-E2E7C23D68D5}">
      <formula1>0</formula1>
    </dataValidation>
    <dataValidation type="list" allowBlank="1" showInputMessage="1" showErrorMessage="1" sqref="B31:B50" xr:uid="{5C083BBB-6937-4AA5-8124-12639411EC13}">
      <formula1>INDIRECT(SUBSTITUTE($B$29," - ",""))</formula1>
    </dataValidation>
    <dataValidation type="list" allowBlank="1" showInputMessage="1" showErrorMessage="1" sqref="N31:N50 N8:N27" xr:uid="{9C1C319F-6ACD-4D91-867E-331D571DF6B8}">
      <formula1>Ease</formula1>
    </dataValidation>
    <dataValidation type="list" allowBlank="1" showInputMessage="1" showErrorMessage="1" sqref="E8:E27 E31:E50" xr:uid="{71764929-B442-409D-B197-0982CB8441E8}">
      <formula1>Methodologyall</formula1>
    </dataValidation>
  </dataValidations>
  <pageMargins left="0.7" right="0.7" top="0.75" bottom="0.75" header="0.3" footer="0.3"/>
  <pageSetup paperSize="9" orientation="portrait" r:id="rId1"/>
  <tableParts count="2">
    <tablePart r:id="rId2"/>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27CCF9"/>
  </sheetPr>
  <dimension ref="A1:Y75"/>
  <sheetViews>
    <sheetView showGridLines="0" workbookViewId="0">
      <selection activeCell="B1" sqref="B1"/>
    </sheetView>
  </sheetViews>
  <sheetFormatPr defaultColWidth="8.54296875" defaultRowHeight="14.5" x14ac:dyDescent="0.35"/>
  <cols>
    <col min="1" max="1" width="2.08984375" style="1" customWidth="1"/>
    <col min="2" max="2" width="20.453125" style="1" customWidth="1"/>
    <col min="3" max="3" width="18.453125" style="1" customWidth="1"/>
    <col min="4" max="4" width="20.1796875" style="1" customWidth="1"/>
    <col min="5" max="5" width="22.81640625" style="1" customWidth="1"/>
    <col min="6" max="6" width="15.453125" style="1" customWidth="1"/>
    <col min="7" max="7" width="11.453125" style="1" customWidth="1"/>
    <col min="8" max="8" width="15.453125" style="1" customWidth="1"/>
    <col min="9" max="9" width="19.54296875" style="1" customWidth="1"/>
    <col min="10" max="10" width="19" style="1" customWidth="1"/>
    <col min="11" max="11" width="22.1796875" style="1" customWidth="1"/>
    <col min="12" max="12" width="19.54296875" style="1" customWidth="1"/>
    <col min="13" max="13" width="15.453125" style="1" customWidth="1"/>
    <col min="14" max="14" width="22.453125" style="1" customWidth="1"/>
    <col min="15" max="15" width="17.1796875" style="1" customWidth="1"/>
    <col min="16" max="16" width="22.453125" style="1" customWidth="1"/>
    <col min="17" max="17" width="17.1796875" style="1" customWidth="1"/>
    <col min="18" max="18" width="14.54296875" style="1" customWidth="1"/>
    <col min="19" max="22" width="17.1796875" style="1" customWidth="1"/>
    <col min="23" max="23" width="8.54296875" style="1"/>
    <col min="24" max="25" width="0" style="1" hidden="1" customWidth="1"/>
    <col min="26" max="16384" width="8.54296875" style="1"/>
  </cols>
  <sheetData>
    <row r="1" spans="1:25" ht="15" thickBot="1" x14ac:dyDescent="0.4">
      <c r="N1" s="161" t="s">
        <v>108</v>
      </c>
      <c r="O1" s="520" t="s">
        <v>8</v>
      </c>
      <c r="P1" s="521"/>
      <c r="Q1" s="508" t="s">
        <v>12</v>
      </c>
      <c r="R1" s="509"/>
    </row>
    <row r="2" spans="1:25" ht="19" thickBot="1" x14ac:dyDescent="0.4">
      <c r="B2" s="525" t="s">
        <v>155</v>
      </c>
      <c r="C2" s="526"/>
      <c r="D2" s="526"/>
      <c r="E2" s="526"/>
      <c r="F2" s="526"/>
      <c r="G2" s="526"/>
      <c r="H2" s="526"/>
      <c r="I2" s="526"/>
      <c r="J2" s="526"/>
      <c r="K2" s="526"/>
      <c r="L2" s="526"/>
      <c r="M2" s="526"/>
      <c r="N2" s="162"/>
      <c r="O2" s="518" t="s">
        <v>10</v>
      </c>
      <c r="P2" s="519"/>
      <c r="Q2" s="510" t="s">
        <v>13</v>
      </c>
      <c r="R2" s="511"/>
    </row>
    <row r="3" spans="1:25" ht="46.5" customHeight="1" thickBot="1" x14ac:dyDescent="0.4">
      <c r="B3" s="527" t="s">
        <v>1071</v>
      </c>
      <c r="C3" s="528"/>
      <c r="D3" s="528"/>
      <c r="E3" s="528"/>
      <c r="F3" s="528"/>
      <c r="G3" s="528"/>
      <c r="H3" s="528"/>
      <c r="I3" s="528"/>
      <c r="J3" s="528"/>
      <c r="K3" s="528"/>
      <c r="L3" s="528"/>
      <c r="M3" s="529"/>
      <c r="N3" s="162"/>
    </row>
    <row r="4" spans="1:25" ht="120" customHeight="1" x14ac:dyDescent="0.35">
      <c r="B4" s="515" t="s">
        <v>1067</v>
      </c>
      <c r="C4" s="516"/>
      <c r="D4" s="516"/>
      <c r="E4" s="516"/>
      <c r="F4" s="516"/>
      <c r="G4" s="516"/>
      <c r="H4" s="516"/>
      <c r="I4" s="516"/>
      <c r="J4" s="516"/>
      <c r="K4" s="471"/>
      <c r="L4" s="471"/>
      <c r="M4" s="471"/>
    </row>
    <row r="5" spans="1:25" ht="25.75" customHeight="1" x14ac:dyDescent="0.35">
      <c r="B5" s="522" t="s">
        <v>156</v>
      </c>
      <c r="C5" s="523"/>
      <c r="D5" s="523"/>
      <c r="E5" s="523"/>
      <c r="F5" s="523"/>
      <c r="G5" s="523"/>
      <c r="H5" s="523"/>
      <c r="I5" s="523"/>
      <c r="J5" s="523"/>
      <c r="K5" s="523"/>
      <c r="L5" s="523"/>
      <c r="M5" s="523"/>
      <c r="N5" s="524"/>
    </row>
    <row r="6" spans="1:25" ht="19" thickBot="1" x14ac:dyDescent="0.4">
      <c r="B6" s="37" t="s">
        <v>70</v>
      </c>
      <c r="C6" s="41"/>
      <c r="H6" s="441" t="str">
        <f>IF($Y$7=0,"No data entered",IF($X$7=0,"No errors in this table","There are errors in this table see highlighted row(s)"))</f>
        <v>No data entered</v>
      </c>
      <c r="I6"/>
      <c r="O6" s="51" t="s">
        <v>111</v>
      </c>
      <c r="T6" s="56"/>
      <c r="X6" s="15" t="s">
        <v>1188</v>
      </c>
      <c r="Y6" s="15" t="s">
        <v>1189</v>
      </c>
    </row>
    <row r="7" spans="1:25" ht="15" thickBot="1" x14ac:dyDescent="0.4">
      <c r="A7" s="32"/>
      <c r="B7" s="52" t="s">
        <v>157</v>
      </c>
      <c r="C7" s="34" t="s">
        <v>114</v>
      </c>
      <c r="D7" s="34" t="s">
        <v>158</v>
      </c>
      <c r="E7" s="34" t="s">
        <v>159</v>
      </c>
      <c r="F7" s="34" t="s">
        <v>116</v>
      </c>
      <c r="G7" s="34" t="s">
        <v>117</v>
      </c>
      <c r="H7" s="34" t="s">
        <v>118</v>
      </c>
      <c r="I7" s="34" t="s">
        <v>119</v>
      </c>
      <c r="J7" s="34" t="s">
        <v>120</v>
      </c>
      <c r="K7" s="34" t="s">
        <v>121</v>
      </c>
      <c r="L7" s="34" t="s">
        <v>88</v>
      </c>
      <c r="M7" s="34" t="s">
        <v>122</v>
      </c>
      <c r="N7" s="34" t="s">
        <v>123</v>
      </c>
      <c r="O7" s="12" t="s">
        <v>59</v>
      </c>
      <c r="P7" s="12" t="s">
        <v>124</v>
      </c>
      <c r="Q7" s="12" t="s">
        <v>125</v>
      </c>
      <c r="R7" s="12" t="s">
        <v>126</v>
      </c>
      <c r="S7" s="12" t="s">
        <v>127</v>
      </c>
      <c r="T7" s="12" t="s">
        <v>67</v>
      </c>
      <c r="U7" s="325" t="s">
        <v>68</v>
      </c>
      <c r="V7" s="329" t="s">
        <v>63</v>
      </c>
      <c r="X7" s="15">
        <f>SUM(X8:X34)</f>
        <v>0</v>
      </c>
      <c r="Y7" s="15">
        <f>SUM(Y8:Y34)</f>
        <v>0</v>
      </c>
    </row>
    <row r="8" spans="1:25" ht="15" thickBot="1" x14ac:dyDescent="0.4">
      <c r="A8" s="32"/>
      <c r="B8" s="198"/>
      <c r="C8" s="199"/>
      <c r="D8" s="199"/>
      <c r="E8" s="199"/>
      <c r="F8" s="137" t="str">
        <f>IF(E8="","",INDEX(Lists!$BA$4:$BC$31,MATCH('Business travel, commute, home'!$B8,Lists!$AZ$4:$AZ$31,0),MATCH('Business travel, commute, home'!E8,Lists!$BA$3:$BC$3,0)))</f>
        <v/>
      </c>
      <c r="G8" s="148"/>
      <c r="H8" s="199"/>
      <c r="I8" s="36" t="str">
        <f t="array" ref="I8">IF(OR($B8="",$C8="",$D8="",H8=""),"",IF(H8=J8,G8,(INDEX('Emission factors'!$K$3:$V$276,MATCH($B8&amp;$C8&amp;$D8,'Emission factors'!$J$3:$J$276&amp;'Emission factors'!$K$3:$K$276&amp;'Emission factors'!$L$3:$L$276,0),MATCH('Business travel, commute, home'!I$7,'Emission factors'!$K$2:$V$2,0)))*G8))</f>
        <v/>
      </c>
      <c r="J8" s="35" t="str">
        <f t="array" ref="J8">IF(OR($B8="",$C8="",$G8=""),"",INDEX('Emission factors'!$K$3:$V$276,MATCH($B8&amp;$C8&amp;$D8,'Emission factors'!$J$3:$J$276&amp;'Emission factors'!$K$3:$K$276&amp;'Emission factors'!$L$3:$L$276,0),MATCH('Business travel, commute, home'!J$7,'Emission factors'!$K$2:$V$2,0)))</f>
        <v/>
      </c>
      <c r="K8" s="35" t="str">
        <f t="array" ref="K8">IF(OR(B8="",C8="",D8=""),"",INDEX('Emission factors'!$K$3:$V$276,MATCH($B8&amp;$C8&amp;$D8,'Emission factors'!$J$3:$J$276&amp;'Emission factors'!$K$3:$K$276&amp;'Emission factors'!$L$3:$L$276,0),MATCH('Business travel, commute, home'!K$7,'Emission factors'!$K$2:$V$2,0)))</f>
        <v/>
      </c>
      <c r="L8" s="38" t="str">
        <f>IF(OR(I8="",K8=""),"",SUM(BusinessTable[[#This Row],[Direct]:[Indirect WTT]]))</f>
        <v/>
      </c>
      <c r="M8" s="201"/>
      <c r="N8" s="199"/>
      <c r="O8" s="292" t="str" cm="1">
        <f t="array" ref="O8">IF(OR($C8="",$G8=""),"",(INDEX('Emission factors'!$K$3:$V$201,MATCH($B8&amp;$C8&amp;$D8,'Emission factors'!$J$3:$J$201&amp;'Emission factors'!$K$3:$K$201&amp;'Emission factors'!$L$3:$L$201,0),MATCH(O$7,'Emission factors'!$K$2:$V$2,0)))*$I8)</f>
        <v/>
      </c>
      <c r="P8" s="292" t="str" cm="1">
        <f t="array" ref="P8">IF(OR($C8="",$G8=""),"",(INDEX('Emission factors'!$K$3:$V$201,MATCH($B8&amp;$C8&amp;$D8,'Emission factors'!$J$3:$J$201&amp;'Emission factors'!$K$3:$K$201&amp;'Emission factors'!$L$3:$L$201,0),MATCH(P$7,'Emission factors'!$K$2:$V$2,0)))*$I8)</f>
        <v/>
      </c>
      <c r="Q8" s="292" t="str" cm="1">
        <f t="array" ref="Q8">IF(OR($C8="",$G8=""),"",(INDEX('Emission factors'!$K$3:$V$201,MATCH($B8&amp;$C8&amp;$D8,'Emission factors'!$J$3:$J$201&amp;'Emission factors'!$K$3:$K$201&amp;'Emission factors'!$L$3:$L$201,0),MATCH(Q$7,'Emission factors'!$K$2:$V$2,0)))*$I8)</f>
        <v/>
      </c>
      <c r="R8" s="292" t="str" cm="1">
        <f t="array" ref="R8">IF(OR($C8="",$G8=""),"",(INDEX('Emission factors'!$K$3:$V$201,MATCH($B8&amp;$C8&amp;$D8,'Emission factors'!$J$3:$J$201&amp;'Emission factors'!$K$3:$K$201&amp;'Emission factors'!$L$3:$L$201,0),MATCH(R$7,'Emission factors'!$K$2:$V$2,0)))*$I8)</f>
        <v/>
      </c>
      <c r="S8" s="292" t="str" cm="1">
        <f t="array" ref="S8">IF(OR($C8="",$G8=""),"",(INDEX('Emission factors'!$K$3:$V$201,MATCH($B8&amp;$C8&amp;$D8,'Emission factors'!$J$3:$J$201&amp;'Emission factors'!$K$3:$K$201&amp;'Emission factors'!$L$3:$L$201,0),MATCH(S$7,'Emission factors'!$K$2:$V$2,0)))*$I8)</f>
        <v/>
      </c>
      <c r="T8" s="293" t="str">
        <f>IF(OR($L8="",$F8=""),"",$L8*(1+$F8))</f>
        <v/>
      </c>
      <c r="U8" s="330" t="str">
        <f t="shared" ref="U8:U34" si="0">IF(OR($L8="",$F8=""),"",$L8*(1-$F8))</f>
        <v/>
      </c>
      <c r="V8" s="327" t="str" cm="1">
        <f t="array" ref="V8">IF(OR($C8="",$G8=""),"",(INDEX('Emission factors'!$K$3:$V$201,MATCH($B8&amp;$C8&amp;$D8,'Emission factors'!$J$3:$J$201&amp;'Emission factors'!$K$3:$K$201&amp;'Emission factors'!$L$3:$L$201,0),MATCH(V$7,'Emission factors'!$K$2:$V$2,0)))*$I8)</f>
        <v/>
      </c>
      <c r="X8" s="1" cm="1">
        <f t="array" ref="X8">IF(OR(ISERROR(B8:V8)),1,0)</f>
        <v>0</v>
      </c>
      <c r="Y8" s="1">
        <f>IF(AND(D8="",G8="",H8=""),0,1)</f>
        <v>0</v>
      </c>
    </row>
    <row r="9" spans="1:25" ht="15" thickBot="1" x14ac:dyDescent="0.4">
      <c r="A9" s="32"/>
      <c r="B9" s="198"/>
      <c r="C9" s="199"/>
      <c r="D9" s="199"/>
      <c r="E9" s="199"/>
      <c r="F9" s="137" t="str">
        <f>IF(E9="","",INDEX(Lists!$BA$4:$BC$31,MATCH('Business travel, commute, home'!$B9,Lists!$AZ$4:$AZ$31,0),MATCH('Business travel, commute, home'!E9,Lists!$BA$3:$BC$3,0)))</f>
        <v/>
      </c>
      <c r="G9" s="148"/>
      <c r="H9" s="199"/>
      <c r="I9" s="36" t="str" cm="1">
        <f t="array" ref="I9">IF(OR($B9="",$C9="",$D9="",H9=""),"",IF(H9=J9,G9,(INDEX('Emission factors'!$K$3:$V$276,MATCH($B9&amp;$C9&amp;$D9,'Emission factors'!$J$3:$J$276&amp;'Emission factors'!$K$3:$K$276&amp;'Emission factors'!$L$3:$L$276,0),MATCH('Business travel, commute, home'!I$7,'Emission factors'!$K$2:$V$2,0)))*G9))</f>
        <v/>
      </c>
      <c r="J9" s="35" t="str">
        <f t="array" ref="J9">IF(OR($B9="",$C9="",$G9=""),"",INDEX('Emission factors'!$K$3:$V$276,MATCH($B9&amp;$C9&amp;$D9,'Emission factors'!$J$3:$J$276&amp;'Emission factors'!$K$3:$K$276&amp;'Emission factors'!$L$3:$L$276,0),MATCH('Business travel, commute, home'!J$7,'Emission factors'!$K$2:$V$2,0)))</f>
        <v/>
      </c>
      <c r="K9" s="35" t="str" cm="1">
        <f t="array" ref="K9">IF(OR(B9="",C9="",D9=""),"",INDEX('Emission factors'!$K$3:$V$276,MATCH($B9&amp;$C9&amp;$D9,'Emission factors'!$J$3:$J$276&amp;'Emission factors'!$K$3:$K$276&amp;'Emission factors'!$L$3:$L$276,0),MATCH('Business travel, commute, home'!K$7,'Emission factors'!$K$2:$V$2,0)))</f>
        <v/>
      </c>
      <c r="L9" s="38" t="str">
        <f>IF(OR(I9="",K9=""),"",SUM(BusinessTable[[#This Row],[Direct]:[Indirect WTT]]))</f>
        <v/>
      </c>
      <c r="M9" s="201"/>
      <c r="N9" s="199"/>
      <c r="O9" s="292" t="str" cm="1">
        <f t="array" ref="O9">IF(OR($C9="",$G9=""),"",(INDEX('Emission factors'!$K$3:$V$201,MATCH($B9&amp;$C9&amp;$D9,'Emission factors'!$J$3:$J$201&amp;'Emission factors'!$K$3:$K$201&amp;'Emission factors'!$L$3:$L$201,0),MATCH(O$7,'Emission factors'!$K$2:$V$2,0)))*$I9)</f>
        <v/>
      </c>
      <c r="P9" s="292" t="str" cm="1">
        <f t="array" ref="P9">IF(OR($C9="",$G9=""),"",(INDEX('Emission factors'!$K$3:$V$201,MATCH($B9&amp;$C9&amp;$D9,'Emission factors'!$J$3:$J$201&amp;'Emission factors'!$K$3:$K$201&amp;'Emission factors'!$L$3:$L$201,0),MATCH(P$7,'Emission factors'!$K$2:$V$2,0)))*$I9)</f>
        <v/>
      </c>
      <c r="Q9" s="292" t="str" cm="1">
        <f t="array" ref="Q9">IF(OR($C9="",$G9=""),"",(INDEX('Emission factors'!$K$3:$V$201,MATCH($B9&amp;$C9&amp;$D9,'Emission factors'!$J$3:$J$201&amp;'Emission factors'!$K$3:$K$201&amp;'Emission factors'!$L$3:$L$201,0),MATCH(Q$7,'Emission factors'!$K$2:$V$2,0)))*$I9)</f>
        <v/>
      </c>
      <c r="R9" s="292" t="str" cm="1">
        <f t="array" ref="R9">IF(OR($C9="",$G9=""),"",(INDEX('Emission factors'!$K$3:$V$201,MATCH($B9&amp;$C9&amp;$D9,'Emission factors'!$J$3:$J$201&amp;'Emission factors'!$K$3:$K$201&amp;'Emission factors'!$L$3:$L$201,0),MATCH(R$7,'Emission factors'!$K$2:$V$2,0)))*$I9)</f>
        <v/>
      </c>
      <c r="S9" s="292" t="str" cm="1">
        <f t="array" ref="S9">IF(OR($C9="",$G9=""),"",(INDEX('Emission factors'!$K$3:$V$201,MATCH($B9&amp;$C9&amp;$D9,'Emission factors'!$J$3:$J$201&amp;'Emission factors'!$K$3:$K$201&amp;'Emission factors'!$L$3:$L$201,0),MATCH(S$7,'Emission factors'!$K$2:$V$2,0)))*$I9)</f>
        <v/>
      </c>
      <c r="T9" s="293" t="str">
        <f t="shared" ref="T9:T34" si="1">IF(OR($L9="",$F9=""),"",$L9*(1+$F9))</f>
        <v/>
      </c>
      <c r="U9" s="330" t="str">
        <f t="shared" si="0"/>
        <v/>
      </c>
      <c r="V9" s="326" t="str" cm="1">
        <f t="array" ref="V9">IF(OR($C9="",$G9=""),"",(INDEX('Emission factors'!$K$3:$V$201,MATCH($B9&amp;$C9&amp;$D9,'Emission factors'!$J$3:$J$201&amp;'Emission factors'!$K$3:$K$201&amp;'Emission factors'!$L$3:$L$201,0),MATCH(V$7,'Emission factors'!$K$2:$V$2,0)))*$I9)</f>
        <v/>
      </c>
      <c r="X9" s="1" cm="1">
        <f t="array" ref="X9">IF(OR(ISERROR(B9:V9)),1,0)</f>
        <v>0</v>
      </c>
      <c r="Y9" s="1">
        <f t="shared" ref="Y9:Y34" si="2">IF(AND(D9="",G9="",H9=""),0,1)</f>
        <v>0</v>
      </c>
    </row>
    <row r="10" spans="1:25" ht="15" thickBot="1" x14ac:dyDescent="0.4">
      <c r="A10" s="32"/>
      <c r="B10" s="198"/>
      <c r="C10" s="199"/>
      <c r="D10" s="199"/>
      <c r="E10" s="199"/>
      <c r="F10" s="137" t="str">
        <f>IF(E10="","",INDEX(Lists!$BA$4:$BC$31,MATCH('Business travel, commute, home'!$B10,Lists!$AZ$4:$AZ$31,0),MATCH('Business travel, commute, home'!E10,Lists!$BA$3:$BC$3,0)))</f>
        <v/>
      </c>
      <c r="G10" s="148"/>
      <c r="H10" s="199"/>
      <c r="I10" s="36" t="str" cm="1">
        <f t="array" ref="I10">IF(OR($B10="",$C10="",$D10="",H10=""),"",IF(H10=J10,G10,(INDEX('Emission factors'!$K$3:$V$276,MATCH($B10&amp;$C10&amp;$D10,'Emission factors'!$J$3:$J$276&amp;'Emission factors'!$K$3:$K$276&amp;'Emission factors'!$L$3:$L$276,0),MATCH('Business travel, commute, home'!I$7,'Emission factors'!$K$2:$V$2,0)))*G10))</f>
        <v/>
      </c>
      <c r="J10" s="35" t="str">
        <f t="array" ref="J10">IF(OR($B10="",$C10="",$G10=""),"",INDEX('Emission factors'!$K$3:$V$276,MATCH($B10&amp;$C10&amp;$D10,'Emission factors'!$J$3:$J$276&amp;'Emission factors'!$K$3:$K$276&amp;'Emission factors'!$L$3:$L$276,0),MATCH('Business travel, commute, home'!J$7,'Emission factors'!$K$2:$V$2,0)))</f>
        <v/>
      </c>
      <c r="K10" s="35" t="str">
        <f t="array" ref="K10">IF(OR(B10="",C10="",D10=""),"",INDEX('Emission factors'!$K$3:$V$276,MATCH($B10&amp;$C10&amp;$D10,'Emission factors'!$J$3:$J$276&amp;'Emission factors'!$K$3:$K$276&amp;'Emission factors'!$L$3:$L$276,0),MATCH('Business travel, commute, home'!K$7,'Emission factors'!$K$2:$V$2,0)))</f>
        <v/>
      </c>
      <c r="L10" s="38" t="str">
        <f>IF(OR(I10="",K10=""),"",SUM(BusinessTable[[#This Row],[Direct]:[Indirect WTT]]))</f>
        <v/>
      </c>
      <c r="M10" s="201"/>
      <c r="N10" s="199"/>
      <c r="O10" s="292" t="str" cm="1">
        <f t="array" ref="O10">IF(OR($C10="",$G10=""),"",(INDEX('Emission factors'!$K$3:$V$201,MATCH($B10&amp;$C10&amp;$D10,'Emission factors'!$J$3:$J$201&amp;'Emission factors'!$K$3:$K$201&amp;'Emission factors'!$L$3:$L$201,0),MATCH(O$7,'Emission factors'!$K$2:$V$2,0)))*$I10)</f>
        <v/>
      </c>
      <c r="P10" s="292" t="str" cm="1">
        <f t="array" ref="P10">IF(OR($C10="",$G10=""),"",(INDEX('Emission factors'!$K$3:$V$201,MATCH($B10&amp;$C10&amp;$D10,'Emission factors'!$J$3:$J$201&amp;'Emission factors'!$K$3:$K$201&amp;'Emission factors'!$L$3:$L$201,0),MATCH(P$7,'Emission factors'!$K$2:$V$2,0)))*$I10)</f>
        <v/>
      </c>
      <c r="Q10" s="292" t="str" cm="1">
        <f t="array" ref="Q10">IF(OR($C10="",$G10=""),"",(INDEX('Emission factors'!$K$3:$V$201,MATCH($B10&amp;$C10&amp;$D10,'Emission factors'!$J$3:$J$201&amp;'Emission factors'!$K$3:$K$201&amp;'Emission factors'!$L$3:$L$201,0),MATCH(Q$7,'Emission factors'!$K$2:$V$2,0)))*$I10)</f>
        <v/>
      </c>
      <c r="R10" s="292" t="str" cm="1">
        <f t="array" ref="R10">IF(OR($C10="",$G10=""),"",(INDEX('Emission factors'!$K$3:$V$201,MATCH($B10&amp;$C10&amp;$D10,'Emission factors'!$J$3:$J$201&amp;'Emission factors'!$K$3:$K$201&amp;'Emission factors'!$L$3:$L$201,0),MATCH(R$7,'Emission factors'!$K$2:$V$2,0)))*$I10)</f>
        <v/>
      </c>
      <c r="S10" s="292" t="str" cm="1">
        <f t="array" ref="S10">IF(OR($C10="",$G10=""),"",(INDEX('Emission factors'!$K$3:$V$201,MATCH($B10&amp;$C10&amp;$D10,'Emission factors'!$J$3:$J$201&amp;'Emission factors'!$K$3:$K$201&amp;'Emission factors'!$L$3:$L$201,0),MATCH(S$7,'Emission factors'!$K$2:$V$2,0)))*$I10)</f>
        <v/>
      </c>
      <c r="T10" s="293" t="str">
        <f t="shared" si="1"/>
        <v/>
      </c>
      <c r="U10" s="330" t="str">
        <f t="shared" si="0"/>
        <v/>
      </c>
      <c r="V10" s="326" t="str" cm="1">
        <f t="array" ref="V10">IF(OR($C10="",$G10=""),"",(INDEX('Emission factors'!$K$3:$V$201,MATCH($B10&amp;$C10&amp;$D10,'Emission factors'!$J$3:$J$201&amp;'Emission factors'!$K$3:$K$201&amp;'Emission factors'!$L$3:$L$201,0),MATCH(V$7,'Emission factors'!$K$2:$V$2,0)))*$I10)</f>
        <v/>
      </c>
      <c r="X10" s="1" cm="1">
        <f t="array" ref="X10">IF(OR(ISERROR(B10:V10)),1,0)</f>
        <v>0</v>
      </c>
      <c r="Y10" s="1">
        <f t="shared" si="2"/>
        <v>0</v>
      </c>
    </row>
    <row r="11" spans="1:25" ht="15" thickBot="1" x14ac:dyDescent="0.4">
      <c r="A11" s="32"/>
      <c r="B11" s="198"/>
      <c r="C11" s="199"/>
      <c r="D11" s="199"/>
      <c r="E11" s="199"/>
      <c r="F11" s="137" t="str">
        <f>IF(E11="","",INDEX(Lists!$BA$4:$BC$31,MATCH('Business travel, commute, home'!$B11,Lists!$AZ$4:$AZ$31,0),MATCH('Business travel, commute, home'!E11,Lists!$BA$3:$BC$3,0)))</f>
        <v/>
      </c>
      <c r="G11" s="148"/>
      <c r="H11" s="199"/>
      <c r="I11" s="36" t="str" cm="1">
        <f t="array" ref="I11">IF(OR($B11="",$C11="",$D11="",H11=""),"",IF(H11=J11,G11,(INDEX('Emission factors'!$K$3:$V$276,MATCH($B11&amp;$C11&amp;$D11,'Emission factors'!$J$3:$J$276&amp;'Emission factors'!$K$3:$K$276&amp;'Emission factors'!$L$3:$L$276,0),MATCH('Business travel, commute, home'!I$7,'Emission factors'!$K$2:$V$2,0)))*G11))</f>
        <v/>
      </c>
      <c r="J11" s="35" t="str">
        <f t="array" ref="J11">IF(OR($B11="",$C11="",$G11=""),"",INDEX('Emission factors'!$K$3:$V$276,MATCH($B11&amp;$C11&amp;$D11,'Emission factors'!$J$3:$J$276&amp;'Emission factors'!$K$3:$K$276&amp;'Emission factors'!$L$3:$L$276,0),MATCH('Business travel, commute, home'!J$7,'Emission factors'!$K$2:$V$2,0)))</f>
        <v/>
      </c>
      <c r="K11" s="35" t="str">
        <f t="array" ref="K11">IF(OR(B11="",C11="",D11=""),"",INDEX('Emission factors'!$K$3:$V$276,MATCH($B11&amp;$C11&amp;$D11,'Emission factors'!$J$3:$J$276&amp;'Emission factors'!$K$3:$K$276&amp;'Emission factors'!$L$3:$L$276,0),MATCH('Business travel, commute, home'!K$7,'Emission factors'!$K$2:$V$2,0)))</f>
        <v/>
      </c>
      <c r="L11" s="38" t="str">
        <f>IF(OR(I11="",K11=""),"",SUM(BusinessTable[[#This Row],[Direct]:[Indirect WTT]]))</f>
        <v/>
      </c>
      <c r="M11" s="201"/>
      <c r="N11" s="199"/>
      <c r="O11" s="292" t="str" cm="1">
        <f t="array" ref="O11">IF(OR($C11="",$G11=""),"",(INDEX('Emission factors'!$K$3:$V$201,MATCH($B11&amp;$C11&amp;$D11,'Emission factors'!$J$3:$J$201&amp;'Emission factors'!$K$3:$K$201&amp;'Emission factors'!$L$3:$L$201,0),MATCH(O$7,'Emission factors'!$K$2:$V$2,0)))*$I11)</f>
        <v/>
      </c>
      <c r="P11" s="292" t="str" cm="1">
        <f t="array" ref="P11">IF(OR($C11="",$G11=""),"",(INDEX('Emission factors'!$K$3:$V$201,MATCH($B11&amp;$C11&amp;$D11,'Emission factors'!$J$3:$J$201&amp;'Emission factors'!$K$3:$K$201&amp;'Emission factors'!$L$3:$L$201,0),MATCH(P$7,'Emission factors'!$K$2:$V$2,0)))*$I11)</f>
        <v/>
      </c>
      <c r="Q11" s="292" t="str" cm="1">
        <f t="array" ref="Q11">IF(OR($C11="",$G11=""),"",(INDEX('Emission factors'!$K$3:$V$201,MATCH($B11&amp;$C11&amp;$D11,'Emission factors'!$J$3:$J$201&amp;'Emission factors'!$K$3:$K$201&amp;'Emission factors'!$L$3:$L$201,0),MATCH(Q$7,'Emission factors'!$K$2:$V$2,0)))*$I11)</f>
        <v/>
      </c>
      <c r="R11" s="292" t="str" cm="1">
        <f t="array" ref="R11">IF(OR($C11="",$G11=""),"",(INDEX('Emission factors'!$K$3:$V$201,MATCH($B11&amp;$C11&amp;$D11,'Emission factors'!$J$3:$J$201&amp;'Emission factors'!$K$3:$K$201&amp;'Emission factors'!$L$3:$L$201,0),MATCH(R$7,'Emission factors'!$K$2:$V$2,0)))*$I11)</f>
        <v/>
      </c>
      <c r="S11" s="292" t="str" cm="1">
        <f t="array" ref="S11">IF(OR($C11="",$G11=""),"",(INDEX('Emission factors'!$K$3:$V$201,MATCH($B11&amp;$C11&amp;$D11,'Emission factors'!$J$3:$J$201&amp;'Emission factors'!$K$3:$K$201&amp;'Emission factors'!$L$3:$L$201,0),MATCH(S$7,'Emission factors'!$K$2:$V$2,0)))*$I11)</f>
        <v/>
      </c>
      <c r="T11" s="293" t="str">
        <f t="shared" si="1"/>
        <v/>
      </c>
      <c r="U11" s="330" t="str">
        <f t="shared" si="0"/>
        <v/>
      </c>
      <c r="V11" s="326" t="str" cm="1">
        <f t="array" ref="V11">IF(OR($C11="",$G11=""),"",(INDEX('Emission factors'!$K$3:$V$201,MATCH($B11&amp;$C11&amp;$D11,'Emission factors'!$J$3:$J$201&amp;'Emission factors'!$K$3:$K$201&amp;'Emission factors'!$L$3:$L$201,0),MATCH(V$7,'Emission factors'!$K$2:$V$2,0)))*$I11)</f>
        <v/>
      </c>
      <c r="X11" s="1" cm="1">
        <f t="array" ref="X11">IF(OR(ISERROR(B11:V11)),1,0)</f>
        <v>0</v>
      </c>
      <c r="Y11" s="1">
        <f t="shared" si="2"/>
        <v>0</v>
      </c>
    </row>
    <row r="12" spans="1:25" ht="15" thickBot="1" x14ac:dyDescent="0.4">
      <c r="A12" s="32"/>
      <c r="B12" s="198"/>
      <c r="C12" s="199"/>
      <c r="D12" s="199"/>
      <c r="E12" s="199"/>
      <c r="F12" s="137" t="str">
        <f>IF(E12="","",INDEX(Lists!$BA$4:$BC$31,MATCH('Business travel, commute, home'!$B12,Lists!$AZ$4:$AZ$31,0),MATCH('Business travel, commute, home'!E12,Lists!$BA$3:$BC$3,0)))</f>
        <v/>
      </c>
      <c r="G12" s="148"/>
      <c r="H12" s="199"/>
      <c r="I12" s="36" t="str" cm="1">
        <f t="array" ref="I12">IF(OR($B12="",$C12="",$D12="",H12=""),"",IF(H12=J12,G12,(INDEX('Emission factors'!$K$3:$V$276,MATCH($B12&amp;$C12&amp;$D12,'Emission factors'!$J$3:$J$276&amp;'Emission factors'!$K$3:$K$276&amp;'Emission factors'!$L$3:$L$276,0),MATCH('Business travel, commute, home'!I$7,'Emission factors'!$K$2:$V$2,0)))*G12))</f>
        <v/>
      </c>
      <c r="J12" s="35" t="str">
        <f t="array" ref="J12">IF(OR($B12="",$C12="",$G12=""),"",INDEX('Emission factors'!$K$3:$V$276,MATCH($B12&amp;$C12&amp;$D12,'Emission factors'!$J$3:$J$276&amp;'Emission factors'!$K$3:$K$276&amp;'Emission factors'!$L$3:$L$276,0),MATCH('Business travel, commute, home'!J$7,'Emission factors'!$K$2:$V$2,0)))</f>
        <v/>
      </c>
      <c r="K12" s="35" t="str">
        <f t="array" ref="K12">IF(OR(B12="",C12="",D12=""),"",INDEX('Emission factors'!$K$3:$V$276,MATCH($B12&amp;$C12&amp;$D12,'Emission factors'!$J$3:$J$276&amp;'Emission factors'!$K$3:$K$276&amp;'Emission factors'!$L$3:$L$276,0),MATCH('Business travel, commute, home'!K$7,'Emission factors'!$K$2:$V$2,0)))</f>
        <v/>
      </c>
      <c r="L12" s="38" t="str">
        <f>IF(OR(I12="",K12=""),"",SUM(BusinessTable[[#This Row],[Direct]:[Indirect WTT]]))</f>
        <v/>
      </c>
      <c r="M12" s="201"/>
      <c r="N12" s="199"/>
      <c r="O12" s="292" t="str" cm="1">
        <f t="array" ref="O12">IF(OR($C12="",$G12=""),"",(INDEX('Emission factors'!$K$3:$V$201,MATCH($B12&amp;$C12&amp;$D12,'Emission factors'!$J$3:$J$201&amp;'Emission factors'!$K$3:$K$201&amp;'Emission factors'!$L$3:$L$201,0),MATCH(O$7,'Emission factors'!$K$2:$V$2,0)))*$I12)</f>
        <v/>
      </c>
      <c r="P12" s="292" t="str" cm="1">
        <f t="array" ref="P12">IF(OR($C12="",$G12=""),"",(INDEX('Emission factors'!$K$3:$V$201,MATCH($B12&amp;$C12&amp;$D12,'Emission factors'!$J$3:$J$201&amp;'Emission factors'!$K$3:$K$201&amp;'Emission factors'!$L$3:$L$201,0),MATCH(P$7,'Emission factors'!$K$2:$V$2,0)))*$I12)</f>
        <v/>
      </c>
      <c r="Q12" s="292" t="str" cm="1">
        <f t="array" ref="Q12">IF(OR($C12="",$G12=""),"",(INDEX('Emission factors'!$K$3:$V$201,MATCH($B12&amp;$C12&amp;$D12,'Emission factors'!$J$3:$J$201&amp;'Emission factors'!$K$3:$K$201&amp;'Emission factors'!$L$3:$L$201,0),MATCH(Q$7,'Emission factors'!$K$2:$V$2,0)))*$I12)</f>
        <v/>
      </c>
      <c r="R12" s="292" t="str" cm="1">
        <f t="array" ref="R12">IF(OR($C12="",$G12=""),"",(INDEX('Emission factors'!$K$3:$V$201,MATCH($B12&amp;$C12&amp;$D12,'Emission factors'!$J$3:$J$201&amp;'Emission factors'!$K$3:$K$201&amp;'Emission factors'!$L$3:$L$201,0),MATCH(R$7,'Emission factors'!$K$2:$V$2,0)))*$I12)</f>
        <v/>
      </c>
      <c r="S12" s="292" t="str" cm="1">
        <f t="array" ref="S12">IF(OR($C12="",$G12=""),"",(INDEX('Emission factors'!$K$3:$V$201,MATCH($B12&amp;$C12&amp;$D12,'Emission factors'!$J$3:$J$201&amp;'Emission factors'!$K$3:$K$201&amp;'Emission factors'!$L$3:$L$201,0),MATCH(S$7,'Emission factors'!$K$2:$V$2,0)))*$I12)</f>
        <v/>
      </c>
      <c r="T12" s="293" t="str">
        <f t="shared" si="1"/>
        <v/>
      </c>
      <c r="U12" s="330" t="str">
        <f t="shared" si="0"/>
        <v/>
      </c>
      <c r="V12" s="326" t="str" cm="1">
        <f t="array" ref="V12">IF(OR($C12="",$G12=""),"",(INDEX('Emission factors'!$K$3:$V$201,MATCH($B12&amp;$C12&amp;$D12,'Emission factors'!$J$3:$J$201&amp;'Emission factors'!$K$3:$K$201&amp;'Emission factors'!$L$3:$L$201,0),MATCH(V$7,'Emission factors'!$K$2:$V$2,0)))*$I12)</f>
        <v/>
      </c>
      <c r="X12" s="1" cm="1">
        <f t="array" ref="X12">IF(OR(ISERROR(B12:V12)),1,0)</f>
        <v>0</v>
      </c>
      <c r="Y12" s="1">
        <f t="shared" si="2"/>
        <v>0</v>
      </c>
    </row>
    <row r="13" spans="1:25" ht="15" thickBot="1" x14ac:dyDescent="0.4">
      <c r="A13" s="32"/>
      <c r="B13" s="245"/>
      <c r="C13" s="244"/>
      <c r="D13" s="244"/>
      <c r="E13" s="244"/>
      <c r="F13" s="195" t="str">
        <f>IF(E13="","",INDEX(Lists!$BA$4:$BC$31,MATCH('Business travel, commute, home'!$B13,Lists!$AZ$4:$AZ$31,0),MATCH('Business travel, commute, home'!E13,Lists!$BA$3:$BC$3,0)))</f>
        <v/>
      </c>
      <c r="G13" s="246"/>
      <c r="H13" s="245"/>
      <c r="I13" s="196" t="str" cm="1">
        <f t="array" ref="I13">IF(OR($B13="",$C13="",$D13="",H13=""),"",IF(H13=J13,G13,(INDEX('Emission factors'!$K$3:$V$276,MATCH($B13&amp;$C13&amp;$D13,'Emission factors'!$J$3:$J$276&amp;'Emission factors'!$K$3:$K$276&amp;'Emission factors'!$L$3:$L$276,0),MATCH('Business travel, commute, home'!I$7,'Emission factors'!$K$2:$V$2,0)))*G13))</f>
        <v/>
      </c>
      <c r="J13" s="197" t="str" cm="1">
        <f t="array" ref="J13">IF(OR($B13="",$C13="",$G13=""),"",INDEX('Emission factors'!$K$3:$V$276,MATCH($B13&amp;$C13&amp;$D13,'Emission factors'!$J$3:$J$276&amp;'Emission factors'!$K$3:$K$276&amp;'Emission factors'!$L$3:$L$276,0),MATCH('Business travel, commute, home'!J$7,'Emission factors'!$K$2:$V$2,0)))</f>
        <v/>
      </c>
      <c r="K13" s="197" t="str" cm="1">
        <f t="array" ref="K13">IF(OR(B13="",C13="",D13=""),"",INDEX('Emission factors'!$K$3:$V$276,MATCH($B13&amp;$C13&amp;$D13,'Emission factors'!$J$3:$J$276&amp;'Emission factors'!$K$3:$K$276&amp;'Emission factors'!$L$3:$L$276,0),MATCH('Business travel, commute, home'!K$7,'Emission factors'!$K$2:$V$2,0)))</f>
        <v/>
      </c>
      <c r="L13" s="38" t="str">
        <f>IF(OR(I13="",K13=""),"",SUM(BusinessTable[[#This Row],[Direct]:[Indirect WTT]]))</f>
        <v/>
      </c>
      <c r="M13" s="243"/>
      <c r="N13" s="244"/>
      <c r="O13" s="294" t="str" cm="1">
        <f t="array" ref="O13">IF(OR($C13="",$G13=""),"",(INDEX('Emission factors'!$K$3:$V$201,MATCH($B13&amp;$C13&amp;$D13,'Emission factors'!$J$3:$J$201&amp;'Emission factors'!$K$3:$K$201&amp;'Emission factors'!$L$3:$L$201,0),MATCH(O$7,'Emission factors'!$K$2:$V$2,0)))*$I13)</f>
        <v/>
      </c>
      <c r="P13" s="294" t="str" cm="1">
        <f t="array" ref="P13">IF(OR($C13="",$G13=""),"",(INDEX('Emission factors'!$K$3:$V$201,MATCH($B13&amp;$C13&amp;$D13,'Emission factors'!$J$3:$J$201&amp;'Emission factors'!$K$3:$K$201&amp;'Emission factors'!$L$3:$L$201,0),MATCH(P$7,'Emission factors'!$K$2:$V$2,0)))*$I13)</f>
        <v/>
      </c>
      <c r="Q13" s="294" t="str" cm="1">
        <f t="array" ref="Q13">IF(OR($C13="",$G13=""),"",(INDEX('Emission factors'!$K$3:$V$201,MATCH($B13&amp;$C13&amp;$D13,'Emission factors'!$J$3:$J$201&amp;'Emission factors'!$K$3:$K$201&amp;'Emission factors'!$L$3:$L$201,0),MATCH(Q$7,'Emission factors'!$K$2:$V$2,0)))*$I13)</f>
        <v/>
      </c>
      <c r="R13" s="294" t="str" cm="1">
        <f t="array" ref="R13">IF(OR($C13="",$G13=""),"",(INDEX('Emission factors'!$K$3:$V$201,MATCH($B13&amp;$C13&amp;$D13,'Emission factors'!$J$3:$J$201&amp;'Emission factors'!$K$3:$K$201&amp;'Emission factors'!$L$3:$L$201,0),MATCH(R$7,'Emission factors'!$K$2:$V$2,0)))*$I13)</f>
        <v/>
      </c>
      <c r="S13" s="294" t="str" cm="1">
        <f t="array" ref="S13">IF(OR($C13="",$G13=""),"",(INDEX('Emission factors'!$K$3:$V$201,MATCH($B13&amp;$C13&amp;$D13,'Emission factors'!$J$3:$J$201&amp;'Emission factors'!$K$3:$K$201&amp;'Emission factors'!$L$3:$L$201,0),MATCH(S$7,'Emission factors'!$K$2:$V$2,0)))*$I13)</f>
        <v/>
      </c>
      <c r="T13" s="295" t="str">
        <f t="shared" ref="T13:T19" si="3">IF(OR($L13="",$F13=""),"",$L13*(1+$F13))</f>
        <v/>
      </c>
      <c r="U13" s="330" t="str">
        <f t="shared" ref="U13:U19" si="4">IF(OR($L13="",$F13=""),"",$L13*(1-$F13))</f>
        <v/>
      </c>
      <c r="V13" s="326" t="str" cm="1">
        <f t="array" ref="V13">IF(OR($C13="",$G13=""),"",(INDEX('Emission factors'!$K$3:$V$201,MATCH($B13&amp;$C13&amp;$D13,'Emission factors'!$J$3:$J$201&amp;'Emission factors'!$K$3:$K$201&amp;'Emission factors'!$L$3:$L$201,0),MATCH(V$7,'Emission factors'!$K$2:$V$2,0)))*$I13)</f>
        <v/>
      </c>
      <c r="X13" s="1" cm="1">
        <f t="array" ref="X13">IF(OR(ISERROR(B13:V13)),1,0)</f>
        <v>0</v>
      </c>
      <c r="Y13" s="1">
        <f t="shared" si="2"/>
        <v>0</v>
      </c>
    </row>
    <row r="14" spans="1:25" ht="15" thickBot="1" x14ac:dyDescent="0.4">
      <c r="A14" s="32"/>
      <c r="B14" s="245"/>
      <c r="C14" s="244"/>
      <c r="D14" s="244"/>
      <c r="E14" s="244"/>
      <c r="F14" s="195" t="str">
        <f>IF(E14="","",INDEX(Lists!$BA$4:$BC$31,MATCH('Business travel, commute, home'!$B14,Lists!$AZ$4:$AZ$31,0),MATCH('Business travel, commute, home'!E14,Lists!$BA$3:$BC$3,0)))</f>
        <v/>
      </c>
      <c r="G14" s="246"/>
      <c r="H14" s="245"/>
      <c r="I14" s="196" t="str" cm="1">
        <f t="array" ref="I14">IF(OR($B14="",$C14="",$D14="",H14=""),"",IF(H14=J14,G14,(INDEX('Emission factors'!$K$3:$V$276,MATCH($B14&amp;$C14&amp;$D14,'Emission factors'!$J$3:$J$276&amp;'Emission factors'!$K$3:$K$276&amp;'Emission factors'!$L$3:$L$276,0),MATCH('Business travel, commute, home'!I$7,'Emission factors'!$K$2:$V$2,0)))*G14))</f>
        <v/>
      </c>
      <c r="J14" s="197" t="str" cm="1">
        <f t="array" ref="J14">IF(OR($B14="",$C14="",$G14=""),"",INDEX('Emission factors'!$K$3:$V$276,MATCH($B14&amp;$C14&amp;$D14,'Emission factors'!$J$3:$J$276&amp;'Emission factors'!$K$3:$K$276&amp;'Emission factors'!$L$3:$L$276,0),MATCH('Business travel, commute, home'!J$7,'Emission factors'!$K$2:$V$2,0)))</f>
        <v/>
      </c>
      <c r="K14" s="197" t="str" cm="1">
        <f t="array" ref="K14">IF(OR(B14="",C14="",D14=""),"",INDEX('Emission factors'!$K$3:$V$276,MATCH($B14&amp;$C14&amp;$D14,'Emission factors'!$J$3:$J$276&amp;'Emission factors'!$K$3:$K$276&amp;'Emission factors'!$L$3:$L$276,0),MATCH('Business travel, commute, home'!K$7,'Emission factors'!$K$2:$V$2,0)))</f>
        <v/>
      </c>
      <c r="L14" s="38" t="str">
        <f>IF(OR(I14="",K14=""),"",SUM(BusinessTable[[#This Row],[Direct]:[Indirect WTT]]))</f>
        <v/>
      </c>
      <c r="M14" s="243"/>
      <c r="N14" s="244"/>
      <c r="O14" s="294" t="str" cm="1">
        <f t="array" ref="O14">IF(OR($C14="",$G14=""),"",(INDEX('Emission factors'!$K$3:$V$201,MATCH($B14&amp;$C14&amp;$D14,'Emission factors'!$J$3:$J$201&amp;'Emission factors'!$K$3:$K$201&amp;'Emission factors'!$L$3:$L$201,0),MATCH(O$7,'Emission factors'!$K$2:$V$2,0)))*$I14)</f>
        <v/>
      </c>
      <c r="P14" s="294" t="str" cm="1">
        <f t="array" ref="P14">IF(OR($C14="",$G14=""),"",(INDEX('Emission factors'!$K$3:$V$201,MATCH($B14&amp;$C14&amp;$D14,'Emission factors'!$J$3:$J$201&amp;'Emission factors'!$K$3:$K$201&amp;'Emission factors'!$L$3:$L$201,0),MATCH(P$7,'Emission factors'!$K$2:$V$2,0)))*$I14)</f>
        <v/>
      </c>
      <c r="Q14" s="294" t="str" cm="1">
        <f t="array" ref="Q14">IF(OR($C14="",$G14=""),"",(INDEX('Emission factors'!$K$3:$V$201,MATCH($B14&amp;$C14&amp;$D14,'Emission factors'!$J$3:$J$201&amp;'Emission factors'!$K$3:$K$201&amp;'Emission factors'!$L$3:$L$201,0),MATCH(Q$7,'Emission factors'!$K$2:$V$2,0)))*$I14)</f>
        <v/>
      </c>
      <c r="R14" s="294" t="str" cm="1">
        <f t="array" ref="R14">IF(OR($C14="",$G14=""),"",(INDEX('Emission factors'!$K$3:$V$201,MATCH($B14&amp;$C14&amp;$D14,'Emission factors'!$J$3:$J$201&amp;'Emission factors'!$K$3:$K$201&amp;'Emission factors'!$L$3:$L$201,0),MATCH(R$7,'Emission factors'!$K$2:$V$2,0)))*$I14)</f>
        <v/>
      </c>
      <c r="S14" s="294" t="str" cm="1">
        <f t="array" ref="S14">IF(OR($C14="",$G14=""),"",(INDEX('Emission factors'!$K$3:$V$201,MATCH($B14&amp;$C14&amp;$D14,'Emission factors'!$J$3:$J$201&amp;'Emission factors'!$K$3:$K$201&amp;'Emission factors'!$L$3:$L$201,0),MATCH(S$7,'Emission factors'!$K$2:$V$2,0)))*$I14)</f>
        <v/>
      </c>
      <c r="T14" s="295" t="str">
        <f t="shared" si="3"/>
        <v/>
      </c>
      <c r="U14" s="330" t="str">
        <f t="shared" si="4"/>
        <v/>
      </c>
      <c r="V14" s="326" t="str" cm="1">
        <f t="array" ref="V14">IF(OR($C14="",$G14=""),"",(INDEX('Emission factors'!$K$3:$V$201,MATCH($B14&amp;$C14&amp;$D14,'Emission factors'!$J$3:$J$201&amp;'Emission factors'!$K$3:$K$201&amp;'Emission factors'!$L$3:$L$201,0),MATCH(V$7,'Emission factors'!$K$2:$V$2,0)))*$I14)</f>
        <v/>
      </c>
      <c r="X14" s="1" cm="1">
        <f t="array" ref="X14">IF(OR(ISERROR(B14:V14)),1,0)</f>
        <v>0</v>
      </c>
      <c r="Y14" s="1">
        <f t="shared" si="2"/>
        <v>0</v>
      </c>
    </row>
    <row r="15" spans="1:25" ht="15" thickBot="1" x14ac:dyDescent="0.4">
      <c r="A15" s="32"/>
      <c r="B15" s="245"/>
      <c r="C15" s="244"/>
      <c r="D15" s="244"/>
      <c r="E15" s="244"/>
      <c r="F15" s="195" t="str">
        <f>IF(E15="","",INDEX(Lists!$BA$4:$BC$31,MATCH('Business travel, commute, home'!$B15,Lists!$AZ$4:$AZ$31,0),MATCH('Business travel, commute, home'!E15,Lists!$BA$3:$BC$3,0)))</f>
        <v/>
      </c>
      <c r="G15" s="246"/>
      <c r="H15" s="245"/>
      <c r="I15" s="196" t="str" cm="1">
        <f t="array" ref="I15">IF(OR($B15="",$C15="",$D15="",H15=""),"",IF(H15=J15,G15,(INDEX('Emission factors'!$K$3:$V$276,MATCH($B15&amp;$C15&amp;$D15,'Emission factors'!$J$3:$J$276&amp;'Emission factors'!$K$3:$K$276&amp;'Emission factors'!$L$3:$L$276,0),MATCH('Business travel, commute, home'!I$7,'Emission factors'!$K$2:$V$2,0)))*G15))</f>
        <v/>
      </c>
      <c r="J15" s="197" t="str" cm="1">
        <f t="array" ref="J15">IF(OR($B15="",$C15="",$G15=""),"",INDEX('Emission factors'!$K$3:$V$276,MATCH($B15&amp;$C15&amp;$D15,'Emission factors'!$J$3:$J$276&amp;'Emission factors'!$K$3:$K$276&amp;'Emission factors'!$L$3:$L$276,0),MATCH('Business travel, commute, home'!J$7,'Emission factors'!$K$2:$V$2,0)))</f>
        <v/>
      </c>
      <c r="K15" s="197" t="str" cm="1">
        <f t="array" ref="K15">IF(OR(B15="",C15="",D15=""),"",INDEX('Emission factors'!$K$3:$V$276,MATCH($B15&amp;$C15&amp;$D15,'Emission factors'!$J$3:$J$276&amp;'Emission factors'!$K$3:$K$276&amp;'Emission factors'!$L$3:$L$276,0),MATCH('Business travel, commute, home'!K$7,'Emission factors'!$K$2:$V$2,0)))</f>
        <v/>
      </c>
      <c r="L15" s="38" t="str">
        <f>IF(OR(I15="",K15=""),"",SUM(BusinessTable[[#This Row],[Direct]:[Indirect WTT]]))</f>
        <v/>
      </c>
      <c r="M15" s="243"/>
      <c r="N15" s="244"/>
      <c r="O15" s="294" t="str" cm="1">
        <f t="array" ref="O15">IF(OR($C15="",$G15=""),"",(INDEX('Emission factors'!$K$3:$V$201,MATCH($B15&amp;$C15&amp;$D15,'Emission factors'!$J$3:$J$201&amp;'Emission factors'!$K$3:$K$201&amp;'Emission factors'!$L$3:$L$201,0),MATCH(O$7,'Emission factors'!$K$2:$V$2,0)))*$I15)</f>
        <v/>
      </c>
      <c r="P15" s="294" t="str" cm="1">
        <f t="array" ref="P15">IF(OR($C15="",$G15=""),"",(INDEX('Emission factors'!$K$3:$V$201,MATCH($B15&amp;$C15&amp;$D15,'Emission factors'!$J$3:$J$201&amp;'Emission factors'!$K$3:$K$201&amp;'Emission factors'!$L$3:$L$201,0),MATCH(P$7,'Emission factors'!$K$2:$V$2,0)))*$I15)</f>
        <v/>
      </c>
      <c r="Q15" s="294" t="str" cm="1">
        <f t="array" ref="Q15">IF(OR($C15="",$G15=""),"",(INDEX('Emission factors'!$K$3:$V$201,MATCH($B15&amp;$C15&amp;$D15,'Emission factors'!$J$3:$J$201&amp;'Emission factors'!$K$3:$K$201&amp;'Emission factors'!$L$3:$L$201,0),MATCH(Q$7,'Emission factors'!$K$2:$V$2,0)))*$I15)</f>
        <v/>
      </c>
      <c r="R15" s="294" t="str" cm="1">
        <f t="array" ref="R15">IF(OR($C15="",$G15=""),"",(INDEX('Emission factors'!$K$3:$V$201,MATCH($B15&amp;$C15&amp;$D15,'Emission factors'!$J$3:$J$201&amp;'Emission factors'!$K$3:$K$201&amp;'Emission factors'!$L$3:$L$201,0),MATCH(R$7,'Emission factors'!$K$2:$V$2,0)))*$I15)</f>
        <v/>
      </c>
      <c r="S15" s="294" t="str" cm="1">
        <f t="array" ref="S15">IF(OR($C15="",$G15=""),"",(INDEX('Emission factors'!$K$3:$V$201,MATCH($B15&amp;$C15&amp;$D15,'Emission factors'!$J$3:$J$201&amp;'Emission factors'!$K$3:$K$201&amp;'Emission factors'!$L$3:$L$201,0),MATCH(S$7,'Emission factors'!$K$2:$V$2,0)))*$I15)</f>
        <v/>
      </c>
      <c r="T15" s="295" t="str">
        <f t="shared" si="3"/>
        <v/>
      </c>
      <c r="U15" s="330" t="str">
        <f t="shared" si="4"/>
        <v/>
      </c>
      <c r="V15" s="326" t="str" cm="1">
        <f t="array" ref="V15">IF(OR($C15="",$G15=""),"",(INDEX('Emission factors'!$K$3:$V$201,MATCH($B15&amp;$C15&amp;$D15,'Emission factors'!$J$3:$J$201&amp;'Emission factors'!$K$3:$K$201&amp;'Emission factors'!$L$3:$L$201,0),MATCH(V$7,'Emission factors'!$K$2:$V$2,0)))*$I15)</f>
        <v/>
      </c>
      <c r="X15" s="1" cm="1">
        <f t="array" ref="X15">IF(OR(ISERROR(B15:V15)),1,0)</f>
        <v>0</v>
      </c>
      <c r="Y15" s="1">
        <f t="shared" si="2"/>
        <v>0</v>
      </c>
    </row>
    <row r="16" spans="1:25" ht="15" thickBot="1" x14ac:dyDescent="0.4">
      <c r="A16" s="32"/>
      <c r="B16" s="245"/>
      <c r="C16" s="244"/>
      <c r="D16" s="244"/>
      <c r="E16" s="244"/>
      <c r="F16" s="195" t="str">
        <f>IF(E16="","",INDEX(Lists!$BA$4:$BC$31,MATCH('Business travel, commute, home'!$B16,Lists!$AZ$4:$AZ$31,0),MATCH('Business travel, commute, home'!E16,Lists!$BA$3:$BC$3,0)))</f>
        <v/>
      </c>
      <c r="G16" s="246"/>
      <c r="H16" s="245"/>
      <c r="I16" s="196" t="str" cm="1">
        <f t="array" ref="I16">IF(OR($B16="",$C16="",$D16="",H16=""),"",IF(H16=J16,G16,(INDEX('Emission factors'!$K$3:$V$276,MATCH($B16&amp;$C16&amp;$D16,'Emission factors'!$J$3:$J$276&amp;'Emission factors'!$K$3:$K$276&amp;'Emission factors'!$L$3:$L$276,0),MATCH('Business travel, commute, home'!I$7,'Emission factors'!$K$2:$V$2,0)))*G16))</f>
        <v/>
      </c>
      <c r="J16" s="197" t="str" cm="1">
        <f t="array" ref="J16">IF(OR($B16="",$C16="",$G16=""),"",INDEX('Emission factors'!$K$3:$V$276,MATCH($B16&amp;$C16&amp;$D16,'Emission factors'!$J$3:$J$276&amp;'Emission factors'!$K$3:$K$276&amp;'Emission factors'!$L$3:$L$276,0),MATCH('Business travel, commute, home'!J$7,'Emission factors'!$K$2:$V$2,0)))</f>
        <v/>
      </c>
      <c r="K16" s="197" t="str" cm="1">
        <f t="array" ref="K16">IF(OR(B16="",C16="",D16=""),"",INDEX('Emission factors'!$K$3:$V$276,MATCH($B16&amp;$C16&amp;$D16,'Emission factors'!$J$3:$J$276&amp;'Emission factors'!$K$3:$K$276&amp;'Emission factors'!$L$3:$L$276,0),MATCH('Business travel, commute, home'!K$7,'Emission factors'!$K$2:$V$2,0)))</f>
        <v/>
      </c>
      <c r="L16" s="38" t="str">
        <f>IF(OR(I16="",K16=""),"",SUM(BusinessTable[[#This Row],[Direct]:[Indirect WTT]]))</f>
        <v/>
      </c>
      <c r="M16" s="243"/>
      <c r="N16" s="244"/>
      <c r="O16" s="294" t="str" cm="1">
        <f t="array" ref="O16">IF(OR($C16="",$G16=""),"",(INDEX('Emission factors'!$K$3:$V$201,MATCH($B16&amp;$C16&amp;$D16,'Emission factors'!$J$3:$J$201&amp;'Emission factors'!$K$3:$K$201&amp;'Emission factors'!$L$3:$L$201,0),MATCH(O$7,'Emission factors'!$K$2:$V$2,0)))*$I16)</f>
        <v/>
      </c>
      <c r="P16" s="294" t="str" cm="1">
        <f t="array" ref="P16">IF(OR($C16="",$G16=""),"",(INDEX('Emission factors'!$K$3:$V$201,MATCH($B16&amp;$C16&amp;$D16,'Emission factors'!$J$3:$J$201&amp;'Emission factors'!$K$3:$K$201&amp;'Emission factors'!$L$3:$L$201,0),MATCH(P$7,'Emission factors'!$K$2:$V$2,0)))*$I16)</f>
        <v/>
      </c>
      <c r="Q16" s="294" t="str" cm="1">
        <f t="array" ref="Q16">IF(OR($C16="",$G16=""),"",(INDEX('Emission factors'!$K$3:$V$201,MATCH($B16&amp;$C16&amp;$D16,'Emission factors'!$J$3:$J$201&amp;'Emission factors'!$K$3:$K$201&amp;'Emission factors'!$L$3:$L$201,0),MATCH(Q$7,'Emission factors'!$K$2:$V$2,0)))*$I16)</f>
        <v/>
      </c>
      <c r="R16" s="294" t="str" cm="1">
        <f t="array" ref="R16">IF(OR($C16="",$G16=""),"",(INDEX('Emission factors'!$K$3:$V$201,MATCH($B16&amp;$C16&amp;$D16,'Emission factors'!$J$3:$J$201&amp;'Emission factors'!$K$3:$K$201&amp;'Emission factors'!$L$3:$L$201,0),MATCH(R$7,'Emission factors'!$K$2:$V$2,0)))*$I16)</f>
        <v/>
      </c>
      <c r="S16" s="294" t="str" cm="1">
        <f t="array" ref="S16">IF(OR($C16="",$G16=""),"",(INDEX('Emission factors'!$K$3:$V$201,MATCH($B16&amp;$C16&amp;$D16,'Emission factors'!$J$3:$J$201&amp;'Emission factors'!$K$3:$K$201&amp;'Emission factors'!$L$3:$L$201,0),MATCH(S$7,'Emission factors'!$K$2:$V$2,0)))*$I16)</f>
        <v/>
      </c>
      <c r="T16" s="295" t="str">
        <f t="shared" si="3"/>
        <v/>
      </c>
      <c r="U16" s="330" t="str">
        <f t="shared" si="4"/>
        <v/>
      </c>
      <c r="V16" s="326" t="str" cm="1">
        <f t="array" ref="V16">IF(OR($C16="",$G16=""),"",(INDEX('Emission factors'!$K$3:$V$201,MATCH($B16&amp;$C16&amp;$D16,'Emission factors'!$J$3:$J$201&amp;'Emission factors'!$K$3:$K$201&amp;'Emission factors'!$L$3:$L$201,0),MATCH(V$7,'Emission factors'!$K$2:$V$2,0)))*$I16)</f>
        <v/>
      </c>
      <c r="X16" s="1" cm="1">
        <f t="array" ref="X16">IF(OR(ISERROR(B16:V16)),1,0)</f>
        <v>0</v>
      </c>
      <c r="Y16" s="1">
        <f t="shared" si="2"/>
        <v>0</v>
      </c>
    </row>
    <row r="17" spans="1:25" ht="15" thickBot="1" x14ac:dyDescent="0.4">
      <c r="A17" s="32"/>
      <c r="B17" s="245"/>
      <c r="C17" s="244"/>
      <c r="D17" s="244"/>
      <c r="E17" s="244"/>
      <c r="F17" s="195" t="str">
        <f>IF(E17="","",INDEX(Lists!$BA$4:$BC$31,MATCH('Business travel, commute, home'!$B17,Lists!$AZ$4:$AZ$31,0),MATCH('Business travel, commute, home'!E17,Lists!$BA$3:$BC$3,0)))</f>
        <v/>
      </c>
      <c r="G17" s="246"/>
      <c r="H17" s="245"/>
      <c r="I17" s="196" t="str" cm="1">
        <f t="array" ref="I17">IF(OR($B17="",$C17="",$D17="",H17=""),"",IF(H17=J17,G17,(INDEX('Emission factors'!$K$3:$V$276,MATCH($B17&amp;$C17&amp;$D17,'Emission factors'!$J$3:$J$276&amp;'Emission factors'!$K$3:$K$276&amp;'Emission factors'!$L$3:$L$276,0),MATCH('Business travel, commute, home'!I$7,'Emission factors'!$K$2:$V$2,0)))*G17))</f>
        <v/>
      </c>
      <c r="J17" s="197" t="str" cm="1">
        <f t="array" ref="J17">IF(OR($B17="",$C17="",$G17=""),"",INDEX('Emission factors'!$K$3:$V$276,MATCH($B17&amp;$C17&amp;$D17,'Emission factors'!$J$3:$J$276&amp;'Emission factors'!$K$3:$K$276&amp;'Emission factors'!$L$3:$L$276,0),MATCH('Business travel, commute, home'!J$7,'Emission factors'!$K$2:$V$2,0)))</f>
        <v/>
      </c>
      <c r="K17" s="197" t="str" cm="1">
        <f t="array" ref="K17">IF(OR(B17="",C17="",D17=""),"",INDEX('Emission factors'!$K$3:$V$276,MATCH($B17&amp;$C17&amp;$D17,'Emission factors'!$J$3:$J$276&amp;'Emission factors'!$K$3:$K$276&amp;'Emission factors'!$L$3:$L$276,0),MATCH('Business travel, commute, home'!K$7,'Emission factors'!$K$2:$V$2,0)))</f>
        <v/>
      </c>
      <c r="L17" s="38" t="str">
        <f>IF(OR(I17="",K17=""),"",SUM(BusinessTable[[#This Row],[Direct]:[Indirect WTT]]))</f>
        <v/>
      </c>
      <c r="M17" s="243"/>
      <c r="N17" s="244"/>
      <c r="O17" s="294" t="str" cm="1">
        <f t="array" ref="O17">IF(OR($C17="",$G17=""),"",(INDEX('Emission factors'!$K$3:$V$201,MATCH($B17&amp;$C17&amp;$D17,'Emission factors'!$J$3:$J$201&amp;'Emission factors'!$K$3:$K$201&amp;'Emission factors'!$L$3:$L$201,0),MATCH(O$7,'Emission factors'!$K$2:$V$2,0)))*$I17)</f>
        <v/>
      </c>
      <c r="P17" s="294" t="str" cm="1">
        <f t="array" ref="P17">IF(OR($C17="",$G17=""),"",(INDEX('Emission factors'!$K$3:$V$201,MATCH($B17&amp;$C17&amp;$D17,'Emission factors'!$J$3:$J$201&amp;'Emission factors'!$K$3:$K$201&amp;'Emission factors'!$L$3:$L$201,0),MATCH(P$7,'Emission factors'!$K$2:$V$2,0)))*$I17)</f>
        <v/>
      </c>
      <c r="Q17" s="294" t="str" cm="1">
        <f t="array" ref="Q17">IF(OR($C17="",$G17=""),"",(INDEX('Emission factors'!$K$3:$V$201,MATCH($B17&amp;$C17&amp;$D17,'Emission factors'!$J$3:$J$201&amp;'Emission factors'!$K$3:$K$201&amp;'Emission factors'!$L$3:$L$201,0),MATCH(Q$7,'Emission factors'!$K$2:$V$2,0)))*$I17)</f>
        <v/>
      </c>
      <c r="R17" s="294" t="str" cm="1">
        <f t="array" ref="R17">IF(OR($C17="",$G17=""),"",(INDEX('Emission factors'!$K$3:$V$201,MATCH($B17&amp;$C17&amp;$D17,'Emission factors'!$J$3:$J$201&amp;'Emission factors'!$K$3:$K$201&amp;'Emission factors'!$L$3:$L$201,0),MATCH(R$7,'Emission factors'!$K$2:$V$2,0)))*$I17)</f>
        <v/>
      </c>
      <c r="S17" s="294" t="str" cm="1">
        <f t="array" ref="S17">IF(OR($C17="",$G17=""),"",(INDEX('Emission factors'!$K$3:$V$201,MATCH($B17&amp;$C17&amp;$D17,'Emission factors'!$J$3:$J$201&amp;'Emission factors'!$K$3:$K$201&amp;'Emission factors'!$L$3:$L$201,0),MATCH(S$7,'Emission factors'!$K$2:$V$2,0)))*$I17)</f>
        <v/>
      </c>
      <c r="T17" s="295" t="str">
        <f t="shared" si="3"/>
        <v/>
      </c>
      <c r="U17" s="330" t="str">
        <f t="shared" si="4"/>
        <v/>
      </c>
      <c r="V17" s="326" t="str" cm="1">
        <f t="array" ref="V17">IF(OR($C17="",$G17=""),"",(INDEX('Emission factors'!$K$3:$V$201,MATCH($B17&amp;$C17&amp;$D17,'Emission factors'!$J$3:$J$201&amp;'Emission factors'!$K$3:$K$201&amp;'Emission factors'!$L$3:$L$201,0),MATCH(V$7,'Emission factors'!$K$2:$V$2,0)))*$I17)</f>
        <v/>
      </c>
      <c r="X17" s="1" cm="1">
        <f t="array" ref="X17">IF(OR(ISERROR(B17:V17)),1,0)</f>
        <v>0</v>
      </c>
      <c r="Y17" s="1">
        <f t="shared" si="2"/>
        <v>0</v>
      </c>
    </row>
    <row r="18" spans="1:25" ht="15" thickBot="1" x14ac:dyDescent="0.4">
      <c r="A18" s="32"/>
      <c r="B18" s="245"/>
      <c r="C18" s="244"/>
      <c r="D18" s="244"/>
      <c r="E18" s="244"/>
      <c r="F18" s="195" t="str">
        <f>IF(E18="","",INDEX(Lists!$BA$4:$BC$31,MATCH('Business travel, commute, home'!$B18,Lists!$AZ$4:$AZ$31,0),MATCH('Business travel, commute, home'!E18,Lists!$BA$3:$BC$3,0)))</f>
        <v/>
      </c>
      <c r="G18" s="246"/>
      <c r="H18" s="245"/>
      <c r="I18" s="196" t="str" cm="1">
        <f t="array" ref="I18">IF(OR($B18="",$C18="",$D18="",H18=""),"",IF(H18=J18,G18,(INDEX('Emission factors'!$K$3:$V$276,MATCH($B18&amp;$C18&amp;$D18,'Emission factors'!$J$3:$J$276&amp;'Emission factors'!$K$3:$K$276&amp;'Emission factors'!$L$3:$L$276,0),MATCH('Business travel, commute, home'!I$7,'Emission factors'!$K$2:$V$2,0)))*G18))</f>
        <v/>
      </c>
      <c r="J18" s="197" t="str" cm="1">
        <f t="array" ref="J18">IF(OR($B18="",$C18="",$G18=""),"",INDEX('Emission factors'!$K$3:$V$276,MATCH($B18&amp;$C18&amp;$D18,'Emission factors'!$J$3:$J$276&amp;'Emission factors'!$K$3:$K$276&amp;'Emission factors'!$L$3:$L$276,0),MATCH('Business travel, commute, home'!J$7,'Emission factors'!$K$2:$V$2,0)))</f>
        <v/>
      </c>
      <c r="K18" s="197" t="str" cm="1">
        <f t="array" ref="K18">IF(OR(B18="",C18="",D18=""),"",INDEX('Emission factors'!$K$3:$V$276,MATCH($B18&amp;$C18&amp;$D18,'Emission factors'!$J$3:$J$276&amp;'Emission factors'!$K$3:$K$276&amp;'Emission factors'!$L$3:$L$276,0),MATCH('Business travel, commute, home'!K$7,'Emission factors'!$K$2:$V$2,0)))</f>
        <v/>
      </c>
      <c r="L18" s="38" t="str">
        <f>IF(OR(I18="",K18=""),"",SUM(BusinessTable[[#This Row],[Direct]:[Indirect WTT]]))</f>
        <v/>
      </c>
      <c r="M18" s="243"/>
      <c r="N18" s="244"/>
      <c r="O18" s="294" t="str" cm="1">
        <f t="array" ref="O18">IF(OR($C18="",$G18=""),"",(INDEX('Emission factors'!$K$3:$V$201,MATCH($B18&amp;$C18&amp;$D18,'Emission factors'!$J$3:$J$201&amp;'Emission factors'!$K$3:$K$201&amp;'Emission factors'!$L$3:$L$201,0),MATCH(O$7,'Emission factors'!$K$2:$V$2,0)))*$I18)</f>
        <v/>
      </c>
      <c r="P18" s="294" t="str" cm="1">
        <f t="array" ref="P18">IF(OR($C18="",$G18=""),"",(INDEX('Emission factors'!$K$3:$V$201,MATCH($B18&amp;$C18&amp;$D18,'Emission factors'!$J$3:$J$201&amp;'Emission factors'!$K$3:$K$201&amp;'Emission factors'!$L$3:$L$201,0),MATCH(P$7,'Emission factors'!$K$2:$V$2,0)))*$I18)</f>
        <v/>
      </c>
      <c r="Q18" s="294" t="str" cm="1">
        <f t="array" ref="Q18">IF(OR($C18="",$G18=""),"",(INDEX('Emission factors'!$K$3:$V$201,MATCH($B18&amp;$C18&amp;$D18,'Emission factors'!$J$3:$J$201&amp;'Emission factors'!$K$3:$K$201&amp;'Emission factors'!$L$3:$L$201,0),MATCH(Q$7,'Emission factors'!$K$2:$V$2,0)))*$I18)</f>
        <v/>
      </c>
      <c r="R18" s="294" t="str" cm="1">
        <f t="array" ref="R18">IF(OR($C18="",$G18=""),"",(INDEX('Emission factors'!$K$3:$V$201,MATCH($B18&amp;$C18&amp;$D18,'Emission factors'!$J$3:$J$201&amp;'Emission factors'!$K$3:$K$201&amp;'Emission factors'!$L$3:$L$201,0),MATCH(R$7,'Emission factors'!$K$2:$V$2,0)))*$I18)</f>
        <v/>
      </c>
      <c r="S18" s="294" t="str" cm="1">
        <f t="array" ref="S18">IF(OR($C18="",$G18=""),"",(INDEX('Emission factors'!$K$3:$V$201,MATCH($B18&amp;$C18&amp;$D18,'Emission factors'!$J$3:$J$201&amp;'Emission factors'!$K$3:$K$201&amp;'Emission factors'!$L$3:$L$201,0),MATCH(S$7,'Emission factors'!$K$2:$V$2,0)))*$I18)</f>
        <v/>
      </c>
      <c r="T18" s="295" t="str">
        <f t="shared" si="3"/>
        <v/>
      </c>
      <c r="U18" s="330" t="str">
        <f t="shared" si="4"/>
        <v/>
      </c>
      <c r="V18" s="326" t="str" cm="1">
        <f t="array" ref="V18">IF(OR($C18="",$G18=""),"",(INDEX('Emission factors'!$K$3:$V$201,MATCH($B18&amp;$C18&amp;$D18,'Emission factors'!$J$3:$J$201&amp;'Emission factors'!$K$3:$K$201&amp;'Emission factors'!$L$3:$L$201,0),MATCH(V$7,'Emission factors'!$K$2:$V$2,0)))*$I18)</f>
        <v/>
      </c>
      <c r="X18" s="1" cm="1">
        <f t="array" ref="X18">IF(OR(ISERROR(B18:V18)),1,0)</f>
        <v>0</v>
      </c>
      <c r="Y18" s="1">
        <f t="shared" si="2"/>
        <v>0</v>
      </c>
    </row>
    <row r="19" spans="1:25" ht="15" thickBot="1" x14ac:dyDescent="0.4">
      <c r="A19" s="32"/>
      <c r="B19" s="245"/>
      <c r="C19" s="244"/>
      <c r="D19" s="244"/>
      <c r="E19" s="244"/>
      <c r="F19" s="195" t="str">
        <f>IF(E19="","",INDEX(Lists!$BA$4:$BC$31,MATCH('Business travel, commute, home'!$B19,Lists!$AZ$4:$AZ$31,0),MATCH('Business travel, commute, home'!E19,Lists!$BA$3:$BC$3,0)))</f>
        <v/>
      </c>
      <c r="G19" s="246"/>
      <c r="H19" s="245"/>
      <c r="I19" s="196" t="str" cm="1">
        <f t="array" ref="I19">IF(OR($B19="",$C19="",$D19="",H19=""),"",IF(H19=J19,G19,(INDEX('Emission factors'!$K$3:$V$276,MATCH($B19&amp;$C19&amp;$D19,'Emission factors'!$J$3:$J$276&amp;'Emission factors'!$K$3:$K$276&amp;'Emission factors'!$L$3:$L$276,0),MATCH('Business travel, commute, home'!I$7,'Emission factors'!$K$2:$V$2,0)))*G19))</f>
        <v/>
      </c>
      <c r="J19" s="197" t="str" cm="1">
        <f t="array" ref="J19">IF(OR($B19="",$C19="",$G19=""),"",INDEX('Emission factors'!$K$3:$V$276,MATCH($B19&amp;$C19&amp;$D19,'Emission factors'!$J$3:$J$276&amp;'Emission factors'!$K$3:$K$276&amp;'Emission factors'!$L$3:$L$276,0),MATCH('Business travel, commute, home'!J$7,'Emission factors'!$K$2:$V$2,0)))</f>
        <v/>
      </c>
      <c r="K19" s="197" t="str" cm="1">
        <f t="array" ref="K19">IF(OR(B19="",C19="",D19=""),"",INDEX('Emission factors'!$K$3:$V$276,MATCH($B19&amp;$C19&amp;$D19,'Emission factors'!$J$3:$J$276&amp;'Emission factors'!$K$3:$K$276&amp;'Emission factors'!$L$3:$L$276,0),MATCH('Business travel, commute, home'!K$7,'Emission factors'!$K$2:$V$2,0)))</f>
        <v/>
      </c>
      <c r="L19" s="38" t="str">
        <f>IF(OR(I19="",K19=""),"",SUM(BusinessTable[[#This Row],[Direct]:[Indirect WTT]]))</f>
        <v/>
      </c>
      <c r="M19" s="243"/>
      <c r="N19" s="244"/>
      <c r="O19" s="294" t="str" cm="1">
        <f t="array" ref="O19">IF(OR($C19="",$G19=""),"",(INDEX('Emission factors'!$K$3:$V$201,MATCH($B19&amp;$C19&amp;$D19,'Emission factors'!$J$3:$J$201&amp;'Emission factors'!$K$3:$K$201&amp;'Emission factors'!$L$3:$L$201,0),MATCH(O$7,'Emission factors'!$K$2:$V$2,0)))*$I19)</f>
        <v/>
      </c>
      <c r="P19" s="294" t="str" cm="1">
        <f t="array" ref="P19">IF(OR($C19="",$G19=""),"",(INDEX('Emission factors'!$K$3:$V$201,MATCH($B19&amp;$C19&amp;$D19,'Emission factors'!$J$3:$J$201&amp;'Emission factors'!$K$3:$K$201&amp;'Emission factors'!$L$3:$L$201,0),MATCH(P$7,'Emission factors'!$K$2:$V$2,0)))*$I19)</f>
        <v/>
      </c>
      <c r="Q19" s="294" t="str" cm="1">
        <f t="array" ref="Q19">IF(OR($C19="",$G19=""),"",(INDEX('Emission factors'!$K$3:$V$201,MATCH($B19&amp;$C19&amp;$D19,'Emission factors'!$J$3:$J$201&amp;'Emission factors'!$K$3:$K$201&amp;'Emission factors'!$L$3:$L$201,0),MATCH(Q$7,'Emission factors'!$K$2:$V$2,0)))*$I19)</f>
        <v/>
      </c>
      <c r="R19" s="294" t="str" cm="1">
        <f t="array" ref="R19">IF(OR($C19="",$G19=""),"",(INDEX('Emission factors'!$K$3:$V$201,MATCH($B19&amp;$C19&amp;$D19,'Emission factors'!$J$3:$J$201&amp;'Emission factors'!$K$3:$K$201&amp;'Emission factors'!$L$3:$L$201,0),MATCH(R$7,'Emission factors'!$K$2:$V$2,0)))*$I19)</f>
        <v/>
      </c>
      <c r="S19" s="294" t="str" cm="1">
        <f t="array" ref="S19">IF(OR($C19="",$G19=""),"",(INDEX('Emission factors'!$K$3:$V$201,MATCH($B19&amp;$C19&amp;$D19,'Emission factors'!$J$3:$J$201&amp;'Emission factors'!$K$3:$K$201&amp;'Emission factors'!$L$3:$L$201,0),MATCH(S$7,'Emission factors'!$K$2:$V$2,0)))*$I19)</f>
        <v/>
      </c>
      <c r="T19" s="295" t="str">
        <f t="shared" si="3"/>
        <v/>
      </c>
      <c r="U19" s="330" t="str">
        <f t="shared" si="4"/>
        <v/>
      </c>
      <c r="V19" s="326" t="str" cm="1">
        <f t="array" ref="V19">IF(OR($C19="",$G19=""),"",(INDEX('Emission factors'!$K$3:$V$201,MATCH($B19&amp;$C19&amp;$D19,'Emission factors'!$J$3:$J$201&amp;'Emission factors'!$K$3:$K$201&amp;'Emission factors'!$L$3:$L$201,0),MATCH(V$7,'Emission factors'!$K$2:$V$2,0)))*$I19)</f>
        <v/>
      </c>
      <c r="X19" s="1" cm="1">
        <f t="array" ref="X19">IF(OR(ISERROR(B19:V19)),1,0)</f>
        <v>0</v>
      </c>
      <c r="Y19" s="1">
        <f t="shared" si="2"/>
        <v>0</v>
      </c>
    </row>
    <row r="20" spans="1:25" ht="15" thickBot="1" x14ac:dyDescent="0.4">
      <c r="A20" s="32"/>
      <c r="B20" s="198"/>
      <c r="C20" s="199"/>
      <c r="D20" s="199"/>
      <c r="E20" s="199"/>
      <c r="F20" s="137" t="str">
        <f>IF(E20="","",INDEX(Lists!$BA$4:$BC$31,MATCH('Business travel, commute, home'!$B20,Lists!$AZ$4:$AZ$31,0),MATCH('Business travel, commute, home'!E20,Lists!$BA$3:$BC$3,0)))</f>
        <v/>
      </c>
      <c r="G20" s="148"/>
      <c r="H20" s="199"/>
      <c r="I20" s="36" t="str" cm="1">
        <f t="array" ref="I20">IF(OR($B20="",$C20="",$D20="",H20=""),"",IF(H20=J20,G20,(INDEX('Emission factors'!$K$3:$V$276,MATCH($B20&amp;$C20&amp;$D20,'Emission factors'!$J$3:$J$276&amp;'Emission factors'!$K$3:$K$276&amp;'Emission factors'!$L$3:$L$276,0),MATCH('Business travel, commute, home'!I$7,'Emission factors'!$K$2:$V$2,0)))*G20))</f>
        <v/>
      </c>
      <c r="J20" s="35" t="str">
        <f t="array" ref="J20">IF(OR($B20="",$C20="",$G20=""),"",INDEX('Emission factors'!$K$3:$V$276,MATCH($B20&amp;$C20&amp;$D20,'Emission factors'!$J$3:$J$276&amp;'Emission factors'!$K$3:$K$276&amp;'Emission factors'!$L$3:$L$276,0),MATCH('Business travel, commute, home'!J$7,'Emission factors'!$K$2:$V$2,0)))</f>
        <v/>
      </c>
      <c r="K20" s="35" t="str">
        <f t="array" ref="K20">IF(OR(B20="",C20="",D20=""),"",INDEX('Emission factors'!$K$3:$V$276,MATCH($B20&amp;$C20&amp;$D20,'Emission factors'!$J$3:$J$276&amp;'Emission factors'!$K$3:$K$276&amp;'Emission factors'!$L$3:$L$276,0),MATCH('Business travel, commute, home'!K$7,'Emission factors'!$K$2:$V$2,0)))</f>
        <v/>
      </c>
      <c r="L20" s="38" t="str">
        <f>IF(OR(I20="",K20=""),"",SUM(BusinessTable[[#This Row],[Direct]:[Indirect WTT]]))</f>
        <v/>
      </c>
      <c r="M20" s="201"/>
      <c r="N20" s="199"/>
      <c r="O20" s="292" t="str" cm="1">
        <f t="array" ref="O20">IF(OR($C20="",$G20=""),"",(INDEX('Emission factors'!$K$3:$V$201,MATCH($B20&amp;$C20&amp;$D20,'Emission factors'!$J$3:$J$201&amp;'Emission factors'!$K$3:$K$201&amp;'Emission factors'!$L$3:$L$201,0),MATCH(O$7,'Emission factors'!$K$2:$V$2,0)))*$I20)</f>
        <v/>
      </c>
      <c r="P20" s="292" t="str" cm="1">
        <f t="array" ref="P20">IF(OR($C20="",$G20=""),"",(INDEX('Emission factors'!$K$3:$V$201,MATCH($B20&amp;$C20&amp;$D20,'Emission factors'!$J$3:$J$201&amp;'Emission factors'!$K$3:$K$201&amp;'Emission factors'!$L$3:$L$201,0),MATCH(P$7,'Emission factors'!$K$2:$V$2,0)))*$I20)</f>
        <v/>
      </c>
      <c r="Q20" s="292" t="str" cm="1">
        <f t="array" ref="Q20">IF(OR($C20="",$G20=""),"",(INDEX('Emission factors'!$K$3:$V$201,MATCH($B20&amp;$C20&amp;$D20,'Emission factors'!$J$3:$J$201&amp;'Emission factors'!$K$3:$K$201&amp;'Emission factors'!$L$3:$L$201,0),MATCH(Q$7,'Emission factors'!$K$2:$V$2,0)))*$I20)</f>
        <v/>
      </c>
      <c r="R20" s="292" t="str" cm="1">
        <f t="array" ref="R20">IF(OR($C20="",$G20=""),"",(INDEX('Emission factors'!$K$3:$V$201,MATCH($B20&amp;$C20&amp;$D20,'Emission factors'!$J$3:$J$201&amp;'Emission factors'!$K$3:$K$201&amp;'Emission factors'!$L$3:$L$201,0),MATCH(R$7,'Emission factors'!$K$2:$V$2,0)))*$I20)</f>
        <v/>
      </c>
      <c r="S20" s="292" t="str" cm="1">
        <f t="array" ref="S20">IF(OR($C20="",$G20=""),"",(INDEX('Emission factors'!$K$3:$V$201,MATCH($B20&amp;$C20&amp;$D20,'Emission factors'!$J$3:$J$201&amp;'Emission factors'!$K$3:$K$201&amp;'Emission factors'!$L$3:$L$201,0),MATCH(S$7,'Emission factors'!$K$2:$V$2,0)))*$I20)</f>
        <v/>
      </c>
      <c r="T20" s="293" t="str">
        <f t="shared" si="1"/>
        <v/>
      </c>
      <c r="U20" s="330" t="str">
        <f t="shared" si="0"/>
        <v/>
      </c>
      <c r="V20" s="326" t="str" cm="1">
        <f t="array" ref="V20">IF(OR($C20="",$G20=""),"",(INDEX('Emission factors'!$K$3:$V$201,MATCH($B20&amp;$C20&amp;$D20,'Emission factors'!$J$3:$J$201&amp;'Emission factors'!$K$3:$K$201&amp;'Emission factors'!$L$3:$L$201,0),MATCH(V$7,'Emission factors'!$K$2:$V$2,0)))*$I20)</f>
        <v/>
      </c>
      <c r="X20" s="1" cm="1">
        <f t="array" ref="X20">IF(OR(ISERROR(B20:V20)),1,0)</f>
        <v>0</v>
      </c>
      <c r="Y20" s="1">
        <f t="shared" si="2"/>
        <v>0</v>
      </c>
    </row>
    <row r="21" spans="1:25" ht="15" thickBot="1" x14ac:dyDescent="0.4">
      <c r="A21" s="32"/>
      <c r="B21" s="198"/>
      <c r="C21" s="199"/>
      <c r="D21" s="199"/>
      <c r="E21" s="199"/>
      <c r="F21" s="137" t="str">
        <f>IF(E21="","",INDEX(Lists!$BA$4:$BC$31,MATCH('Business travel, commute, home'!$B21,Lists!$AZ$4:$AZ$31,0),MATCH('Business travel, commute, home'!E21,Lists!$BA$3:$BC$3,0)))</f>
        <v/>
      </c>
      <c r="G21" s="148"/>
      <c r="H21" s="199"/>
      <c r="I21" s="36" t="str" cm="1">
        <f t="array" ref="I21">IF(OR($B21="",$C21="",$D21="",H21=""),"",IF(H21=J21,G21,(INDEX('Emission factors'!$K$3:$V$276,MATCH($B21&amp;$C21&amp;$D21,'Emission factors'!$J$3:$J$276&amp;'Emission factors'!$K$3:$K$276&amp;'Emission factors'!$L$3:$L$276,0),MATCH('Business travel, commute, home'!I$7,'Emission factors'!$K$2:$V$2,0)))*G21))</f>
        <v/>
      </c>
      <c r="J21" s="35" t="str">
        <f t="array" ref="J21">IF(OR($B21="",$C21="",$G21=""),"",INDEX('Emission factors'!$K$3:$V$276,MATCH($B21&amp;$C21&amp;$D21,'Emission factors'!$J$3:$J$276&amp;'Emission factors'!$K$3:$K$276&amp;'Emission factors'!$L$3:$L$276,0),MATCH('Business travel, commute, home'!J$7,'Emission factors'!$K$2:$V$2,0)))</f>
        <v/>
      </c>
      <c r="K21" s="35" t="str">
        <f t="array" ref="K21">IF(OR(B21="",C21="",D21=""),"",INDEX('Emission factors'!$K$3:$V$276,MATCH($B21&amp;$C21&amp;$D21,'Emission factors'!$J$3:$J$276&amp;'Emission factors'!$K$3:$K$276&amp;'Emission factors'!$L$3:$L$276,0),MATCH('Business travel, commute, home'!K$7,'Emission factors'!$K$2:$V$2,0)))</f>
        <v/>
      </c>
      <c r="L21" s="38" t="str">
        <f>IF(OR(I21="",K21=""),"",SUM(BusinessTable[[#This Row],[Direct]:[Indirect WTT]]))</f>
        <v/>
      </c>
      <c r="M21" s="201"/>
      <c r="N21" s="199"/>
      <c r="O21" s="292" t="str" cm="1">
        <f t="array" ref="O21">IF(OR($C21="",$G21=""),"",(INDEX('Emission factors'!$K$3:$V$201,MATCH($B21&amp;$C21&amp;$D21,'Emission factors'!$J$3:$J$201&amp;'Emission factors'!$K$3:$K$201&amp;'Emission factors'!$L$3:$L$201,0),MATCH(O$7,'Emission factors'!$K$2:$V$2,0)))*$I21)</f>
        <v/>
      </c>
      <c r="P21" s="292" t="str" cm="1">
        <f t="array" ref="P21">IF(OR($C21="",$G21=""),"",(INDEX('Emission factors'!$K$3:$V$201,MATCH($B21&amp;$C21&amp;$D21,'Emission factors'!$J$3:$J$201&amp;'Emission factors'!$K$3:$K$201&amp;'Emission factors'!$L$3:$L$201,0),MATCH(P$7,'Emission factors'!$K$2:$V$2,0)))*$I21)</f>
        <v/>
      </c>
      <c r="Q21" s="292" t="str" cm="1">
        <f t="array" ref="Q21">IF(OR($C21="",$G21=""),"",(INDEX('Emission factors'!$K$3:$V$201,MATCH($B21&amp;$C21&amp;$D21,'Emission factors'!$J$3:$J$201&amp;'Emission factors'!$K$3:$K$201&amp;'Emission factors'!$L$3:$L$201,0),MATCH(Q$7,'Emission factors'!$K$2:$V$2,0)))*$I21)</f>
        <v/>
      </c>
      <c r="R21" s="292" t="str" cm="1">
        <f t="array" ref="R21">IF(OR($C21="",$G21=""),"",(INDEX('Emission factors'!$K$3:$V$201,MATCH($B21&amp;$C21&amp;$D21,'Emission factors'!$J$3:$J$201&amp;'Emission factors'!$K$3:$K$201&amp;'Emission factors'!$L$3:$L$201,0),MATCH(R$7,'Emission factors'!$K$2:$V$2,0)))*$I21)</f>
        <v/>
      </c>
      <c r="S21" s="292" t="str" cm="1">
        <f t="array" ref="S21">IF(OR($C21="",$G21=""),"",(INDEX('Emission factors'!$K$3:$V$201,MATCH($B21&amp;$C21&amp;$D21,'Emission factors'!$J$3:$J$201&amp;'Emission factors'!$K$3:$K$201&amp;'Emission factors'!$L$3:$L$201,0),MATCH(S$7,'Emission factors'!$K$2:$V$2,0)))*$I21)</f>
        <v/>
      </c>
      <c r="T21" s="293" t="str">
        <f t="shared" si="1"/>
        <v/>
      </c>
      <c r="U21" s="330" t="str">
        <f t="shared" si="0"/>
        <v/>
      </c>
      <c r="V21" s="326" t="str" cm="1">
        <f t="array" ref="V21">IF(OR($C21="",$G21=""),"",(INDEX('Emission factors'!$K$3:$V$201,MATCH($B21&amp;$C21&amp;$D21,'Emission factors'!$J$3:$J$201&amp;'Emission factors'!$K$3:$K$201&amp;'Emission factors'!$L$3:$L$201,0),MATCH(V$7,'Emission factors'!$K$2:$V$2,0)))*$I21)</f>
        <v/>
      </c>
      <c r="X21" s="1" cm="1">
        <f t="array" ref="X21">IF(OR(ISERROR(B21:V21)),1,0)</f>
        <v>0</v>
      </c>
      <c r="Y21" s="1">
        <f t="shared" si="2"/>
        <v>0</v>
      </c>
    </row>
    <row r="22" spans="1:25" ht="15" thickBot="1" x14ac:dyDescent="0.4">
      <c r="A22" s="32"/>
      <c r="B22" s="198"/>
      <c r="C22" s="199"/>
      <c r="D22" s="199"/>
      <c r="E22" s="199"/>
      <c r="F22" s="144" t="str">
        <f>IF(E22="","",INDEX(Lists!$BA$4:$BC$31,MATCH('Business travel, commute, home'!$B22,Lists!$AZ$4:$AZ$31,0),MATCH('Business travel, commute, home'!E22,Lists!$BA$3:$BC$3,0)))</f>
        <v/>
      </c>
      <c r="G22" s="216"/>
      <c r="H22" s="198"/>
      <c r="I22" s="36" t="str" cm="1">
        <f t="array" ref="I22">IF(OR($B22="",$C22="",$D22="",H22=""),"",IF(H22=J22,G22,(INDEX('Emission factors'!$K$3:$V$276,MATCH($B22&amp;$C22&amp;$D22,'Emission factors'!$J$3:$J$276&amp;'Emission factors'!$K$3:$K$276&amp;'Emission factors'!$L$3:$L$276,0),MATCH('Business travel, commute, home'!I$7,'Emission factors'!$K$2:$V$2,0)))*G22))</f>
        <v/>
      </c>
      <c r="J22" s="35" t="str" cm="1">
        <f t="array" ref="J22">IF(OR($B22="",$C22="",$G22=""),"",INDEX('Emission factors'!$K$3:$V$276,MATCH($B22&amp;$C22&amp;$D22,'Emission factors'!$J$3:$J$276&amp;'Emission factors'!$K$3:$K$276&amp;'Emission factors'!$L$3:$L$276,0),MATCH('Business travel, commute, home'!J$7,'Emission factors'!$K$2:$V$2,0)))</f>
        <v/>
      </c>
      <c r="K22" s="35" t="str" cm="1">
        <f t="array" ref="K22">IF(OR(B22="",C22="",D22=""),"",INDEX('Emission factors'!$K$3:$V$276,MATCH($B22&amp;$C22&amp;$D22,'Emission factors'!$J$3:$J$276&amp;'Emission factors'!$K$3:$K$276&amp;'Emission factors'!$L$3:$L$276,0),MATCH('Business travel, commute, home'!K$7,'Emission factors'!$K$2:$V$2,0)))</f>
        <v/>
      </c>
      <c r="L22" s="38" t="str">
        <f>IF(OR(I22="",K22=""),"",SUM(BusinessTable[[#This Row],[Direct]:[Indirect WTT]]))</f>
        <v/>
      </c>
      <c r="M22" s="201"/>
      <c r="N22" s="199"/>
      <c r="O22" s="292" t="str" cm="1">
        <f t="array" ref="O22">IF(OR($C22="",$G22=""),"",(INDEX('Emission factors'!$K$3:$V$201,MATCH($B22&amp;$C22&amp;$D22,'Emission factors'!$J$3:$J$201&amp;'Emission factors'!$K$3:$K$201&amp;'Emission factors'!$L$3:$L$201,0),MATCH(O$7,'Emission factors'!$K$2:$V$2,0)))*$I22)</f>
        <v/>
      </c>
      <c r="P22" s="292" t="str" cm="1">
        <f t="array" ref="P22">IF(OR($C22="",$G22=""),"",(INDEX('Emission factors'!$K$3:$V$201,MATCH($B22&amp;$C22&amp;$D22,'Emission factors'!$J$3:$J$201&amp;'Emission factors'!$K$3:$K$201&amp;'Emission factors'!$L$3:$L$201,0),MATCH(P$7,'Emission factors'!$K$2:$V$2,0)))*$I22)</f>
        <v/>
      </c>
      <c r="Q22" s="292" t="str" cm="1">
        <f t="array" ref="Q22">IF(OR($C22="",$G22=""),"",(INDEX('Emission factors'!$K$3:$V$201,MATCH($B22&amp;$C22&amp;$D22,'Emission factors'!$J$3:$J$201&amp;'Emission factors'!$K$3:$K$201&amp;'Emission factors'!$L$3:$L$201,0),MATCH(Q$7,'Emission factors'!$K$2:$V$2,0)))*$I22)</f>
        <v/>
      </c>
      <c r="R22" s="292" t="str" cm="1">
        <f t="array" ref="R22">IF(OR($C22="",$G22=""),"",(INDEX('Emission factors'!$K$3:$V$201,MATCH($B22&amp;$C22&amp;$D22,'Emission factors'!$J$3:$J$201&amp;'Emission factors'!$K$3:$K$201&amp;'Emission factors'!$L$3:$L$201,0),MATCH(R$7,'Emission factors'!$K$2:$V$2,0)))*$I22)</f>
        <v/>
      </c>
      <c r="S22" s="292" t="str" cm="1">
        <f t="array" ref="S22">IF(OR($C22="",$G22=""),"",(INDEX('Emission factors'!$K$3:$V$201,MATCH($B22&amp;$C22&amp;$D22,'Emission factors'!$J$3:$J$201&amp;'Emission factors'!$K$3:$K$201&amp;'Emission factors'!$L$3:$L$201,0),MATCH(S$7,'Emission factors'!$K$2:$V$2,0)))*$I22)</f>
        <v/>
      </c>
      <c r="T22" s="293" t="str">
        <f t="shared" ref="T22:T26" si="5">IF(OR($L22="",$F22=""),"",$L22*(1+$F22))</f>
        <v/>
      </c>
      <c r="U22" s="330" t="str">
        <f t="shared" ref="U22:U26" si="6">IF(OR($L22="",$F22=""),"",$L22*(1-$F22))</f>
        <v/>
      </c>
      <c r="V22" s="326" t="str" cm="1">
        <f t="array" ref="V22">IF(OR($C22="",$G22=""),"",(INDEX('Emission factors'!$K$3:$V$201,MATCH($B22&amp;$C22&amp;$D22,'Emission factors'!$J$3:$J$201&amp;'Emission factors'!$K$3:$K$201&amp;'Emission factors'!$L$3:$L$201,0),MATCH(V$7,'Emission factors'!$K$2:$V$2,0)))*$I22)</f>
        <v/>
      </c>
      <c r="X22" s="1" cm="1">
        <f t="array" ref="X22">IF(OR(ISERROR(B22:V22)),1,0)</f>
        <v>0</v>
      </c>
      <c r="Y22" s="1">
        <f t="shared" si="2"/>
        <v>0</v>
      </c>
    </row>
    <row r="23" spans="1:25" ht="15" thickBot="1" x14ac:dyDescent="0.4">
      <c r="A23" s="32"/>
      <c r="B23" s="198"/>
      <c r="C23" s="199"/>
      <c r="D23" s="199"/>
      <c r="E23" s="199"/>
      <c r="F23" s="144" t="str">
        <f>IF(E23="","",INDEX(Lists!$BA$4:$BC$31,MATCH('Business travel, commute, home'!$B23,Lists!$AZ$4:$AZ$31,0),MATCH('Business travel, commute, home'!E23,Lists!$BA$3:$BC$3,0)))</f>
        <v/>
      </c>
      <c r="G23" s="216"/>
      <c r="H23" s="198"/>
      <c r="I23" s="36" t="str" cm="1">
        <f t="array" ref="I23">IF(OR($B23="",$C23="",$D23="",H23=""),"",IF(H23=J23,G23,(INDEX('Emission factors'!$K$3:$V$276,MATCH($B23&amp;$C23&amp;$D23,'Emission factors'!$J$3:$J$276&amp;'Emission factors'!$K$3:$K$276&amp;'Emission factors'!$L$3:$L$276,0),MATCH('Business travel, commute, home'!I$7,'Emission factors'!$K$2:$V$2,0)))*G23))</f>
        <v/>
      </c>
      <c r="J23" s="35" t="str" cm="1">
        <f t="array" ref="J23">IF(OR($B23="",$C23="",$G23=""),"",INDEX('Emission factors'!$K$3:$V$276,MATCH($B23&amp;$C23&amp;$D23,'Emission factors'!$J$3:$J$276&amp;'Emission factors'!$K$3:$K$276&amp;'Emission factors'!$L$3:$L$276,0),MATCH('Business travel, commute, home'!J$7,'Emission factors'!$K$2:$V$2,0)))</f>
        <v/>
      </c>
      <c r="K23" s="35" t="str" cm="1">
        <f t="array" ref="K23">IF(OR(B23="",C23="",D23=""),"",INDEX('Emission factors'!$K$3:$V$276,MATCH($B23&amp;$C23&amp;$D23,'Emission factors'!$J$3:$J$276&amp;'Emission factors'!$K$3:$K$276&amp;'Emission factors'!$L$3:$L$276,0),MATCH('Business travel, commute, home'!K$7,'Emission factors'!$K$2:$V$2,0)))</f>
        <v/>
      </c>
      <c r="L23" s="38" t="str">
        <f>IF(OR(I23="",K23=""),"",SUM(BusinessTable[[#This Row],[Direct]:[Indirect WTT]]))</f>
        <v/>
      </c>
      <c r="M23" s="201"/>
      <c r="N23" s="199"/>
      <c r="O23" s="292" t="str" cm="1">
        <f t="array" ref="O23">IF(OR($C23="",$G23=""),"",(INDEX('Emission factors'!$K$3:$V$201,MATCH($B23&amp;$C23&amp;$D23,'Emission factors'!$J$3:$J$201&amp;'Emission factors'!$K$3:$K$201&amp;'Emission factors'!$L$3:$L$201,0),MATCH(O$7,'Emission factors'!$K$2:$V$2,0)))*$I23)</f>
        <v/>
      </c>
      <c r="P23" s="292" t="str" cm="1">
        <f t="array" ref="P23">IF(OR($C23="",$G23=""),"",(INDEX('Emission factors'!$K$3:$V$201,MATCH($B23&amp;$C23&amp;$D23,'Emission factors'!$J$3:$J$201&amp;'Emission factors'!$K$3:$K$201&amp;'Emission factors'!$L$3:$L$201,0),MATCH(P$7,'Emission factors'!$K$2:$V$2,0)))*$I23)</f>
        <v/>
      </c>
      <c r="Q23" s="292" t="str" cm="1">
        <f t="array" ref="Q23">IF(OR($C23="",$G23=""),"",(INDEX('Emission factors'!$K$3:$V$201,MATCH($B23&amp;$C23&amp;$D23,'Emission factors'!$J$3:$J$201&amp;'Emission factors'!$K$3:$K$201&amp;'Emission factors'!$L$3:$L$201,0),MATCH(Q$7,'Emission factors'!$K$2:$V$2,0)))*$I23)</f>
        <v/>
      </c>
      <c r="R23" s="292" t="str" cm="1">
        <f t="array" ref="R23">IF(OR($C23="",$G23=""),"",(INDEX('Emission factors'!$K$3:$V$201,MATCH($B23&amp;$C23&amp;$D23,'Emission factors'!$J$3:$J$201&amp;'Emission factors'!$K$3:$K$201&amp;'Emission factors'!$L$3:$L$201,0),MATCH(R$7,'Emission factors'!$K$2:$V$2,0)))*$I23)</f>
        <v/>
      </c>
      <c r="S23" s="292" t="str" cm="1">
        <f t="array" ref="S23">IF(OR($C23="",$G23=""),"",(INDEX('Emission factors'!$K$3:$V$201,MATCH($B23&amp;$C23&amp;$D23,'Emission factors'!$J$3:$J$201&amp;'Emission factors'!$K$3:$K$201&amp;'Emission factors'!$L$3:$L$201,0),MATCH(S$7,'Emission factors'!$K$2:$V$2,0)))*$I23)</f>
        <v/>
      </c>
      <c r="T23" s="293" t="str">
        <f t="shared" si="5"/>
        <v/>
      </c>
      <c r="U23" s="330" t="str">
        <f t="shared" si="6"/>
        <v/>
      </c>
      <c r="V23" s="326" t="str" cm="1">
        <f t="array" ref="V23">IF(OR($C23="",$G23=""),"",(INDEX('Emission factors'!$K$3:$V$201,MATCH($B23&amp;$C23&amp;$D23,'Emission factors'!$J$3:$J$201&amp;'Emission factors'!$K$3:$K$201&amp;'Emission factors'!$L$3:$L$201,0),MATCH(V$7,'Emission factors'!$K$2:$V$2,0)))*$I23)</f>
        <v/>
      </c>
      <c r="X23" s="1" cm="1">
        <f t="array" ref="X23">IF(OR(ISERROR(B23:V23)),1,0)</f>
        <v>0</v>
      </c>
      <c r="Y23" s="1">
        <f t="shared" si="2"/>
        <v>0</v>
      </c>
    </row>
    <row r="24" spans="1:25" ht="15" thickBot="1" x14ac:dyDescent="0.4">
      <c r="A24" s="32"/>
      <c r="B24" s="198"/>
      <c r="C24" s="199"/>
      <c r="D24" s="199"/>
      <c r="E24" s="199"/>
      <c r="F24" s="144" t="str">
        <f>IF(E24="","",INDEX(Lists!$BA$4:$BC$31,MATCH('Business travel, commute, home'!$B24,Lists!$AZ$4:$AZ$31,0),MATCH('Business travel, commute, home'!E24,Lists!$BA$3:$BC$3,0)))</f>
        <v/>
      </c>
      <c r="G24" s="216"/>
      <c r="H24" s="198"/>
      <c r="I24" s="36" t="str" cm="1">
        <f t="array" ref="I24">IF(OR($B24="",$C24="",$D24="",H24=""),"",IF(H24=J24,G24,(INDEX('Emission factors'!$K$3:$V$276,MATCH($B24&amp;$C24&amp;$D24,'Emission factors'!$J$3:$J$276&amp;'Emission factors'!$K$3:$K$276&amp;'Emission factors'!$L$3:$L$276,0),MATCH('Business travel, commute, home'!I$7,'Emission factors'!$K$2:$V$2,0)))*G24))</f>
        <v/>
      </c>
      <c r="J24" s="35" t="str" cm="1">
        <f t="array" ref="J24">IF(OR($B24="",$C24="",$G24=""),"",INDEX('Emission factors'!$K$3:$V$276,MATCH($B24&amp;$C24&amp;$D24,'Emission factors'!$J$3:$J$276&amp;'Emission factors'!$K$3:$K$276&amp;'Emission factors'!$L$3:$L$276,0),MATCH('Business travel, commute, home'!J$7,'Emission factors'!$K$2:$V$2,0)))</f>
        <v/>
      </c>
      <c r="K24" s="35" t="str" cm="1">
        <f t="array" ref="K24">IF(OR(B24="",C24="",D24=""),"",INDEX('Emission factors'!$K$3:$V$276,MATCH($B24&amp;$C24&amp;$D24,'Emission factors'!$J$3:$J$276&amp;'Emission factors'!$K$3:$K$276&amp;'Emission factors'!$L$3:$L$276,0),MATCH('Business travel, commute, home'!K$7,'Emission factors'!$K$2:$V$2,0)))</f>
        <v/>
      </c>
      <c r="L24" s="38" t="str">
        <f>IF(OR(I24="",K24=""),"",SUM(BusinessTable[[#This Row],[Direct]:[Indirect WTT]]))</f>
        <v/>
      </c>
      <c r="M24" s="201"/>
      <c r="N24" s="199"/>
      <c r="O24" s="292" t="str" cm="1">
        <f t="array" ref="O24">IF(OR($C24="",$G24=""),"",(INDEX('Emission factors'!$K$3:$V$201,MATCH($B24&amp;$C24&amp;$D24,'Emission factors'!$J$3:$J$201&amp;'Emission factors'!$K$3:$K$201&amp;'Emission factors'!$L$3:$L$201,0),MATCH(O$7,'Emission factors'!$K$2:$V$2,0)))*$I24)</f>
        <v/>
      </c>
      <c r="P24" s="292" t="str" cm="1">
        <f t="array" ref="P24">IF(OR($C24="",$G24=""),"",(INDEX('Emission factors'!$K$3:$V$201,MATCH($B24&amp;$C24&amp;$D24,'Emission factors'!$J$3:$J$201&amp;'Emission factors'!$K$3:$K$201&amp;'Emission factors'!$L$3:$L$201,0),MATCH(P$7,'Emission factors'!$K$2:$V$2,0)))*$I24)</f>
        <v/>
      </c>
      <c r="Q24" s="292" t="str" cm="1">
        <f t="array" ref="Q24">IF(OR($C24="",$G24=""),"",(INDEX('Emission factors'!$K$3:$V$201,MATCH($B24&amp;$C24&amp;$D24,'Emission factors'!$J$3:$J$201&amp;'Emission factors'!$K$3:$K$201&amp;'Emission factors'!$L$3:$L$201,0),MATCH(Q$7,'Emission factors'!$K$2:$V$2,0)))*$I24)</f>
        <v/>
      </c>
      <c r="R24" s="292" t="str" cm="1">
        <f t="array" ref="R24">IF(OR($C24="",$G24=""),"",(INDEX('Emission factors'!$K$3:$V$201,MATCH($B24&amp;$C24&amp;$D24,'Emission factors'!$J$3:$J$201&amp;'Emission factors'!$K$3:$K$201&amp;'Emission factors'!$L$3:$L$201,0),MATCH(R$7,'Emission factors'!$K$2:$V$2,0)))*$I24)</f>
        <v/>
      </c>
      <c r="S24" s="292" t="str" cm="1">
        <f t="array" ref="S24">IF(OR($C24="",$G24=""),"",(INDEX('Emission factors'!$K$3:$V$201,MATCH($B24&amp;$C24&amp;$D24,'Emission factors'!$J$3:$J$201&amp;'Emission factors'!$K$3:$K$201&amp;'Emission factors'!$L$3:$L$201,0),MATCH(S$7,'Emission factors'!$K$2:$V$2,0)))*$I24)</f>
        <v/>
      </c>
      <c r="T24" s="293" t="str">
        <f t="shared" si="5"/>
        <v/>
      </c>
      <c r="U24" s="330" t="str">
        <f t="shared" si="6"/>
        <v/>
      </c>
      <c r="V24" s="326" t="str" cm="1">
        <f t="array" ref="V24">IF(OR($C24="",$G24=""),"",(INDEX('Emission factors'!$K$3:$V$201,MATCH($B24&amp;$C24&amp;$D24,'Emission factors'!$J$3:$J$201&amp;'Emission factors'!$K$3:$K$201&amp;'Emission factors'!$L$3:$L$201,0),MATCH(V$7,'Emission factors'!$K$2:$V$2,0)))*$I24)</f>
        <v/>
      </c>
      <c r="X24" s="1" cm="1">
        <f t="array" ref="X24">IF(OR(ISERROR(B24:V24)),1,0)</f>
        <v>0</v>
      </c>
      <c r="Y24" s="1">
        <f t="shared" si="2"/>
        <v>0</v>
      </c>
    </row>
    <row r="25" spans="1:25" ht="15" thickBot="1" x14ac:dyDescent="0.4">
      <c r="A25" s="32"/>
      <c r="B25" s="198"/>
      <c r="C25" s="199"/>
      <c r="D25" s="199"/>
      <c r="E25" s="199"/>
      <c r="F25" s="144" t="str">
        <f>IF(E25="","",INDEX(Lists!$BA$4:$BC$31,MATCH('Business travel, commute, home'!$B25,Lists!$AZ$4:$AZ$31,0),MATCH('Business travel, commute, home'!E25,Lists!$BA$3:$BC$3,0)))</f>
        <v/>
      </c>
      <c r="G25" s="216"/>
      <c r="H25" s="198"/>
      <c r="I25" s="36" t="str" cm="1">
        <f t="array" ref="I25">IF(OR($B25="",$C25="",$D25="",H25=""),"",IF(H25=J25,G25,(INDEX('Emission factors'!$K$3:$V$276,MATCH($B25&amp;$C25&amp;$D25,'Emission factors'!$J$3:$J$276&amp;'Emission factors'!$K$3:$K$276&amp;'Emission factors'!$L$3:$L$276,0),MATCH('Business travel, commute, home'!I$7,'Emission factors'!$K$2:$V$2,0)))*G25))</f>
        <v/>
      </c>
      <c r="J25" s="35" t="str" cm="1">
        <f t="array" ref="J25">IF(OR($B25="",$C25="",$G25=""),"",INDEX('Emission factors'!$K$3:$V$276,MATCH($B25&amp;$C25&amp;$D25,'Emission factors'!$J$3:$J$276&amp;'Emission factors'!$K$3:$K$276&amp;'Emission factors'!$L$3:$L$276,0),MATCH('Business travel, commute, home'!J$7,'Emission factors'!$K$2:$V$2,0)))</f>
        <v/>
      </c>
      <c r="K25" s="35" t="str" cm="1">
        <f t="array" ref="K25">IF(OR(B25="",C25="",D25=""),"",INDEX('Emission factors'!$K$3:$V$276,MATCH($B25&amp;$C25&amp;$D25,'Emission factors'!$J$3:$J$276&amp;'Emission factors'!$K$3:$K$276&amp;'Emission factors'!$L$3:$L$276,0),MATCH('Business travel, commute, home'!K$7,'Emission factors'!$K$2:$V$2,0)))</f>
        <v/>
      </c>
      <c r="L25" s="38" t="str">
        <f>IF(OR(I25="",K25=""),"",SUM(BusinessTable[[#This Row],[Direct]:[Indirect WTT]]))</f>
        <v/>
      </c>
      <c r="M25" s="201"/>
      <c r="N25" s="199"/>
      <c r="O25" s="292" t="str" cm="1">
        <f t="array" ref="O25">IF(OR($C25="",$G25=""),"",(INDEX('Emission factors'!$K$3:$V$201,MATCH($B25&amp;$C25&amp;$D25,'Emission factors'!$J$3:$J$201&amp;'Emission factors'!$K$3:$K$201&amp;'Emission factors'!$L$3:$L$201,0),MATCH(O$7,'Emission factors'!$K$2:$V$2,0)))*$I25)</f>
        <v/>
      </c>
      <c r="P25" s="292" t="str" cm="1">
        <f t="array" ref="P25">IF(OR($C25="",$G25=""),"",(INDEX('Emission factors'!$K$3:$V$201,MATCH($B25&amp;$C25&amp;$D25,'Emission factors'!$J$3:$J$201&amp;'Emission factors'!$K$3:$K$201&amp;'Emission factors'!$L$3:$L$201,0),MATCH(P$7,'Emission factors'!$K$2:$V$2,0)))*$I25)</f>
        <v/>
      </c>
      <c r="Q25" s="292" t="str" cm="1">
        <f t="array" ref="Q25">IF(OR($C25="",$G25=""),"",(INDEX('Emission factors'!$K$3:$V$201,MATCH($B25&amp;$C25&amp;$D25,'Emission factors'!$J$3:$J$201&amp;'Emission factors'!$K$3:$K$201&amp;'Emission factors'!$L$3:$L$201,0),MATCH(Q$7,'Emission factors'!$K$2:$V$2,0)))*$I25)</f>
        <v/>
      </c>
      <c r="R25" s="292" t="str" cm="1">
        <f t="array" ref="R25">IF(OR($C25="",$G25=""),"",(INDEX('Emission factors'!$K$3:$V$201,MATCH($B25&amp;$C25&amp;$D25,'Emission factors'!$J$3:$J$201&amp;'Emission factors'!$K$3:$K$201&amp;'Emission factors'!$L$3:$L$201,0),MATCH(R$7,'Emission factors'!$K$2:$V$2,0)))*$I25)</f>
        <v/>
      </c>
      <c r="S25" s="292" t="str" cm="1">
        <f t="array" ref="S25">IF(OR($C25="",$G25=""),"",(INDEX('Emission factors'!$K$3:$V$201,MATCH($B25&amp;$C25&amp;$D25,'Emission factors'!$J$3:$J$201&amp;'Emission factors'!$K$3:$K$201&amp;'Emission factors'!$L$3:$L$201,0),MATCH(S$7,'Emission factors'!$K$2:$V$2,0)))*$I25)</f>
        <v/>
      </c>
      <c r="T25" s="293" t="str">
        <f t="shared" si="5"/>
        <v/>
      </c>
      <c r="U25" s="330" t="str">
        <f t="shared" si="6"/>
        <v/>
      </c>
      <c r="V25" s="326" t="str" cm="1">
        <f t="array" ref="V25">IF(OR($C25="",$G25=""),"",(INDEX('Emission factors'!$K$3:$V$201,MATCH($B25&amp;$C25&amp;$D25,'Emission factors'!$J$3:$J$201&amp;'Emission factors'!$K$3:$K$201&amp;'Emission factors'!$L$3:$L$201,0),MATCH(V$7,'Emission factors'!$K$2:$V$2,0)))*$I25)</f>
        <v/>
      </c>
      <c r="X25" s="1" cm="1">
        <f t="array" ref="X25">IF(OR(ISERROR(B25:V25)),1,0)</f>
        <v>0</v>
      </c>
      <c r="Y25" s="1">
        <f t="shared" si="2"/>
        <v>0</v>
      </c>
    </row>
    <row r="26" spans="1:25" ht="15" thickBot="1" x14ac:dyDescent="0.4">
      <c r="A26" s="32"/>
      <c r="B26" s="198"/>
      <c r="C26" s="199"/>
      <c r="D26" s="199"/>
      <c r="E26" s="199"/>
      <c r="F26" s="144" t="str">
        <f>IF(E26="","",INDEX(Lists!$BA$4:$BC$31,MATCH('Business travel, commute, home'!$B26,Lists!$AZ$4:$AZ$31,0),MATCH('Business travel, commute, home'!E26,Lists!$BA$3:$BC$3,0)))</f>
        <v/>
      </c>
      <c r="G26" s="216"/>
      <c r="H26" s="198"/>
      <c r="I26" s="36" t="str" cm="1">
        <f t="array" ref="I26">IF(OR($B26="",$C26="",$D26="",H26=""),"",IF(H26=J26,G26,(INDEX('Emission factors'!$K$3:$V$276,MATCH($B26&amp;$C26&amp;$D26,'Emission factors'!$J$3:$J$276&amp;'Emission factors'!$K$3:$K$276&amp;'Emission factors'!$L$3:$L$276,0),MATCH('Business travel, commute, home'!I$7,'Emission factors'!$K$2:$V$2,0)))*G26))</f>
        <v/>
      </c>
      <c r="J26" s="35" t="str" cm="1">
        <f t="array" ref="J26">IF(OR($B26="",$C26="",$G26=""),"",INDEX('Emission factors'!$K$3:$V$276,MATCH($B26&amp;$C26&amp;$D26,'Emission factors'!$J$3:$J$276&amp;'Emission factors'!$K$3:$K$276&amp;'Emission factors'!$L$3:$L$276,0),MATCH('Business travel, commute, home'!J$7,'Emission factors'!$K$2:$V$2,0)))</f>
        <v/>
      </c>
      <c r="K26" s="35" t="str" cm="1">
        <f t="array" ref="K26">IF(OR(B26="",C26="",D26=""),"",INDEX('Emission factors'!$K$3:$V$276,MATCH($B26&amp;$C26&amp;$D26,'Emission factors'!$J$3:$J$276&amp;'Emission factors'!$K$3:$K$276&amp;'Emission factors'!$L$3:$L$276,0),MATCH('Business travel, commute, home'!K$7,'Emission factors'!$K$2:$V$2,0)))</f>
        <v/>
      </c>
      <c r="L26" s="38" t="str">
        <f>IF(OR(I26="",K26=""),"",SUM(BusinessTable[[#This Row],[Direct]:[Indirect WTT]]))</f>
        <v/>
      </c>
      <c r="M26" s="201"/>
      <c r="N26" s="199"/>
      <c r="O26" s="292" t="str" cm="1">
        <f t="array" ref="O26">IF(OR($C26="",$G26=""),"",(INDEX('Emission factors'!$K$3:$V$201,MATCH($B26&amp;$C26&amp;$D26,'Emission factors'!$J$3:$J$201&amp;'Emission factors'!$K$3:$K$201&amp;'Emission factors'!$L$3:$L$201,0),MATCH(O$7,'Emission factors'!$K$2:$V$2,0)))*$I26)</f>
        <v/>
      </c>
      <c r="P26" s="292" t="str" cm="1">
        <f t="array" ref="P26">IF(OR($C26="",$G26=""),"",(INDEX('Emission factors'!$K$3:$V$201,MATCH($B26&amp;$C26&amp;$D26,'Emission factors'!$J$3:$J$201&amp;'Emission factors'!$K$3:$K$201&amp;'Emission factors'!$L$3:$L$201,0),MATCH(P$7,'Emission factors'!$K$2:$V$2,0)))*$I26)</f>
        <v/>
      </c>
      <c r="Q26" s="292" t="str" cm="1">
        <f t="array" ref="Q26">IF(OR($C26="",$G26=""),"",(INDEX('Emission factors'!$K$3:$V$201,MATCH($B26&amp;$C26&amp;$D26,'Emission factors'!$J$3:$J$201&amp;'Emission factors'!$K$3:$K$201&amp;'Emission factors'!$L$3:$L$201,0),MATCH(Q$7,'Emission factors'!$K$2:$V$2,0)))*$I26)</f>
        <v/>
      </c>
      <c r="R26" s="292" t="str" cm="1">
        <f t="array" ref="R26">IF(OR($C26="",$G26=""),"",(INDEX('Emission factors'!$K$3:$V$201,MATCH($B26&amp;$C26&amp;$D26,'Emission factors'!$J$3:$J$201&amp;'Emission factors'!$K$3:$K$201&amp;'Emission factors'!$L$3:$L$201,0),MATCH(R$7,'Emission factors'!$K$2:$V$2,0)))*$I26)</f>
        <v/>
      </c>
      <c r="S26" s="292" t="str" cm="1">
        <f t="array" ref="S26">IF(OR($C26="",$G26=""),"",(INDEX('Emission factors'!$K$3:$V$201,MATCH($B26&amp;$C26&amp;$D26,'Emission factors'!$J$3:$J$201&amp;'Emission factors'!$K$3:$K$201&amp;'Emission factors'!$L$3:$L$201,0),MATCH(S$7,'Emission factors'!$K$2:$V$2,0)))*$I26)</f>
        <v/>
      </c>
      <c r="T26" s="293" t="str">
        <f t="shared" si="5"/>
        <v/>
      </c>
      <c r="U26" s="330" t="str">
        <f t="shared" si="6"/>
        <v/>
      </c>
      <c r="V26" s="326" t="str" cm="1">
        <f t="array" ref="V26">IF(OR($C26="",$G26=""),"",(INDEX('Emission factors'!$K$3:$V$201,MATCH($B26&amp;$C26&amp;$D26,'Emission factors'!$J$3:$J$201&amp;'Emission factors'!$K$3:$K$201&amp;'Emission factors'!$L$3:$L$201,0),MATCH(V$7,'Emission factors'!$K$2:$V$2,0)))*$I26)</f>
        <v/>
      </c>
      <c r="X26" s="1" cm="1">
        <f t="array" ref="X26">IF(OR(ISERROR(B26:V26)),1,0)</f>
        <v>0</v>
      </c>
      <c r="Y26" s="1">
        <f t="shared" si="2"/>
        <v>0</v>
      </c>
    </row>
    <row r="27" spans="1:25" ht="15" thickBot="1" x14ac:dyDescent="0.4">
      <c r="A27" s="32"/>
      <c r="B27" s="198"/>
      <c r="C27" s="199"/>
      <c r="D27" s="199"/>
      <c r="E27" s="199"/>
      <c r="F27" s="137" t="str">
        <f>IF(E27="","",INDEX(Lists!$BA$4:$BC$31,MATCH('Business travel, commute, home'!$B27,Lists!$AZ$4:$AZ$31,0),MATCH('Business travel, commute, home'!E27,Lists!$BA$3:$BC$3,0)))</f>
        <v/>
      </c>
      <c r="G27" s="148"/>
      <c r="H27" s="199"/>
      <c r="I27" s="36" t="str" cm="1">
        <f t="array" ref="I27">IF(OR($B27="",$C27="",$D27="",H27=""),"",IF(H27=J27,G27,(INDEX('Emission factors'!$K$3:$V$276,MATCH($B27&amp;$C27&amp;$D27,'Emission factors'!$J$3:$J$276&amp;'Emission factors'!$K$3:$K$276&amp;'Emission factors'!$L$3:$L$276,0),MATCH('Business travel, commute, home'!I$7,'Emission factors'!$K$2:$V$2,0)))*G27))</f>
        <v/>
      </c>
      <c r="J27" s="35" t="str">
        <f t="array" ref="J27">IF(OR($B27="",$C27="",$G27=""),"",INDEX('Emission factors'!$K$3:$V$276,MATCH($B27&amp;$C27&amp;$D27,'Emission factors'!$J$3:$J$276&amp;'Emission factors'!$K$3:$K$276&amp;'Emission factors'!$L$3:$L$276,0),MATCH('Business travel, commute, home'!J$7,'Emission factors'!$K$2:$V$2,0)))</f>
        <v/>
      </c>
      <c r="K27" s="35" t="str">
        <f t="array" ref="K27">IF(OR(B27="",C27="",D27=""),"",INDEX('Emission factors'!$K$3:$V$276,MATCH($B27&amp;$C27&amp;$D27,'Emission factors'!$J$3:$J$276&amp;'Emission factors'!$K$3:$K$276&amp;'Emission factors'!$L$3:$L$276,0),MATCH('Business travel, commute, home'!K$7,'Emission factors'!$K$2:$V$2,0)))</f>
        <v/>
      </c>
      <c r="L27" s="38" t="str">
        <f>IF(OR(I27="",K27=""),"",SUM(BusinessTable[[#This Row],[Direct]:[Indirect WTT]]))</f>
        <v/>
      </c>
      <c r="M27" s="201"/>
      <c r="N27" s="199"/>
      <c r="O27" s="292" t="str" cm="1">
        <f t="array" ref="O27">IF(OR($C27="",$G27=""),"",(INDEX('Emission factors'!$K$3:$V$201,MATCH($B27&amp;$C27&amp;$D27,'Emission factors'!$J$3:$J$201&amp;'Emission factors'!$K$3:$K$201&amp;'Emission factors'!$L$3:$L$201,0),MATCH(O$7,'Emission factors'!$K$2:$V$2,0)))*$I27)</f>
        <v/>
      </c>
      <c r="P27" s="292" t="str" cm="1">
        <f t="array" ref="P27">IF(OR($C27="",$G27=""),"",(INDEX('Emission factors'!$K$3:$V$201,MATCH($B27&amp;$C27&amp;$D27,'Emission factors'!$J$3:$J$201&amp;'Emission factors'!$K$3:$K$201&amp;'Emission factors'!$L$3:$L$201,0),MATCH(P$7,'Emission factors'!$K$2:$V$2,0)))*$I27)</f>
        <v/>
      </c>
      <c r="Q27" s="292" t="str" cm="1">
        <f t="array" ref="Q27">IF(OR($C27="",$G27=""),"",(INDEX('Emission factors'!$K$3:$V$201,MATCH($B27&amp;$C27&amp;$D27,'Emission factors'!$J$3:$J$201&amp;'Emission factors'!$K$3:$K$201&amp;'Emission factors'!$L$3:$L$201,0),MATCH(Q$7,'Emission factors'!$K$2:$V$2,0)))*$I27)</f>
        <v/>
      </c>
      <c r="R27" s="292" t="str" cm="1">
        <f t="array" ref="R27">IF(OR($C27="",$G27=""),"",(INDEX('Emission factors'!$K$3:$V$201,MATCH($B27&amp;$C27&amp;$D27,'Emission factors'!$J$3:$J$201&amp;'Emission factors'!$K$3:$K$201&amp;'Emission factors'!$L$3:$L$201,0),MATCH(R$7,'Emission factors'!$K$2:$V$2,0)))*$I27)</f>
        <v/>
      </c>
      <c r="S27" s="292" t="str" cm="1">
        <f t="array" ref="S27">IF(OR($C27="",$G27=""),"",(INDEX('Emission factors'!$K$3:$V$201,MATCH($B27&amp;$C27&amp;$D27,'Emission factors'!$J$3:$J$201&amp;'Emission factors'!$K$3:$K$201&amp;'Emission factors'!$L$3:$L$201,0),MATCH(S$7,'Emission factors'!$K$2:$V$2,0)))*$I27)</f>
        <v/>
      </c>
      <c r="T27" s="293" t="str">
        <f t="shared" si="1"/>
        <v/>
      </c>
      <c r="U27" s="330" t="str">
        <f t="shared" si="0"/>
        <v/>
      </c>
      <c r="V27" s="326" t="str" cm="1">
        <f t="array" ref="V27">IF(OR($C27="",$G27=""),"",(INDEX('Emission factors'!$K$3:$V$201,MATCH($B27&amp;$C27&amp;$D27,'Emission factors'!$J$3:$J$201&amp;'Emission factors'!$K$3:$K$201&amp;'Emission factors'!$L$3:$L$201,0),MATCH(V$7,'Emission factors'!$K$2:$V$2,0)))*$I27)</f>
        <v/>
      </c>
      <c r="X27" s="1" cm="1">
        <f t="array" ref="X27">IF(OR(ISERROR(B27:V27)),1,0)</f>
        <v>0</v>
      </c>
      <c r="Y27" s="1">
        <f t="shared" si="2"/>
        <v>0</v>
      </c>
    </row>
    <row r="28" spans="1:25" ht="15" thickBot="1" x14ac:dyDescent="0.4">
      <c r="A28" s="32"/>
      <c r="B28" s="198"/>
      <c r="C28" s="199"/>
      <c r="D28" s="199"/>
      <c r="E28" s="199"/>
      <c r="F28" s="137" t="str">
        <f>IF(E28="","",INDEX(Lists!$BA$4:$BC$31,MATCH('Business travel, commute, home'!$B28,Lists!$AZ$4:$AZ$31,0),MATCH('Business travel, commute, home'!E28,Lists!$BA$3:$BC$3,0)))</f>
        <v/>
      </c>
      <c r="G28" s="148"/>
      <c r="H28" s="199"/>
      <c r="I28" s="36" t="str" cm="1">
        <f t="array" ref="I28">IF(OR($B28="",$C28="",$D28="",H28=""),"",IF(H28=J28,G28,(INDEX('Emission factors'!$K$3:$V$276,MATCH($B28&amp;$C28&amp;$D28,'Emission factors'!$J$3:$J$276&amp;'Emission factors'!$K$3:$K$276&amp;'Emission factors'!$L$3:$L$276,0),MATCH('Business travel, commute, home'!I$7,'Emission factors'!$K$2:$V$2,0)))*G28))</f>
        <v/>
      </c>
      <c r="J28" s="35" t="str">
        <f t="array" ref="J28">IF(OR($B28="",$C28="",$G28=""),"",INDEX('Emission factors'!$K$3:$V$276,MATCH($B28&amp;$C28&amp;$D28,'Emission factors'!$J$3:$J$276&amp;'Emission factors'!$K$3:$K$276&amp;'Emission factors'!$L$3:$L$276,0),MATCH('Business travel, commute, home'!J$7,'Emission factors'!$K$2:$V$2,0)))</f>
        <v/>
      </c>
      <c r="K28" s="35" t="str">
        <f t="array" ref="K28">IF(OR(B28="",C28="",D28=""),"",INDEX('Emission factors'!$K$3:$V$276,MATCH($B28&amp;$C28&amp;$D28,'Emission factors'!$J$3:$J$276&amp;'Emission factors'!$K$3:$K$276&amp;'Emission factors'!$L$3:$L$276,0),MATCH('Business travel, commute, home'!K$7,'Emission factors'!$K$2:$V$2,0)))</f>
        <v/>
      </c>
      <c r="L28" s="38" t="str">
        <f>IF(OR(I28="",K28=""),"",SUM(BusinessTable[[#This Row],[Direct]:[Indirect WTT]]))</f>
        <v/>
      </c>
      <c r="M28" s="201"/>
      <c r="N28" s="199"/>
      <c r="O28" s="292" t="str" cm="1">
        <f t="array" ref="O28">IF(OR($C28="",$G28=""),"",(INDEX('Emission factors'!$K$3:$V$201,MATCH($B28&amp;$C28&amp;$D28,'Emission factors'!$J$3:$J$201&amp;'Emission factors'!$K$3:$K$201&amp;'Emission factors'!$L$3:$L$201,0),MATCH(O$7,'Emission factors'!$K$2:$V$2,0)))*$I28)</f>
        <v/>
      </c>
      <c r="P28" s="292" t="str" cm="1">
        <f t="array" ref="P28">IF(OR($C28="",$G28=""),"",(INDEX('Emission factors'!$K$3:$V$201,MATCH($B28&amp;$C28&amp;$D28,'Emission factors'!$J$3:$J$201&amp;'Emission factors'!$K$3:$K$201&amp;'Emission factors'!$L$3:$L$201,0),MATCH(P$7,'Emission factors'!$K$2:$V$2,0)))*$I28)</f>
        <v/>
      </c>
      <c r="Q28" s="292" t="str" cm="1">
        <f t="array" ref="Q28">IF(OR($C28="",$G28=""),"",(INDEX('Emission factors'!$K$3:$V$201,MATCH($B28&amp;$C28&amp;$D28,'Emission factors'!$J$3:$J$201&amp;'Emission factors'!$K$3:$K$201&amp;'Emission factors'!$L$3:$L$201,0),MATCH(Q$7,'Emission factors'!$K$2:$V$2,0)))*$I28)</f>
        <v/>
      </c>
      <c r="R28" s="292" t="str" cm="1">
        <f t="array" ref="R28">IF(OR($C28="",$G28=""),"",(INDEX('Emission factors'!$K$3:$V$201,MATCH($B28&amp;$C28&amp;$D28,'Emission factors'!$J$3:$J$201&amp;'Emission factors'!$K$3:$K$201&amp;'Emission factors'!$L$3:$L$201,0),MATCH(R$7,'Emission factors'!$K$2:$V$2,0)))*$I28)</f>
        <v/>
      </c>
      <c r="S28" s="292" t="str" cm="1">
        <f t="array" ref="S28">IF(OR($C28="",$G28=""),"",(INDEX('Emission factors'!$K$3:$V$201,MATCH($B28&amp;$C28&amp;$D28,'Emission factors'!$J$3:$J$201&amp;'Emission factors'!$K$3:$K$201&amp;'Emission factors'!$L$3:$L$201,0),MATCH(S$7,'Emission factors'!$K$2:$V$2,0)))*$I28)</f>
        <v/>
      </c>
      <c r="T28" s="293" t="str">
        <f t="shared" si="1"/>
        <v/>
      </c>
      <c r="U28" s="330" t="str">
        <f t="shared" si="0"/>
        <v/>
      </c>
      <c r="V28" s="326" t="str" cm="1">
        <f t="array" ref="V28">IF(OR($C28="",$G28=""),"",(INDEX('Emission factors'!$K$3:$V$201,MATCH($B28&amp;$C28&amp;$D28,'Emission factors'!$J$3:$J$201&amp;'Emission factors'!$K$3:$K$201&amp;'Emission factors'!$L$3:$L$201,0),MATCH(V$7,'Emission factors'!$K$2:$V$2,0)))*$I28)</f>
        <v/>
      </c>
      <c r="X28" s="1" cm="1">
        <f t="array" ref="X28">IF(OR(ISERROR(B28:V28)),1,0)</f>
        <v>0</v>
      </c>
      <c r="Y28" s="1">
        <f t="shared" si="2"/>
        <v>0</v>
      </c>
    </row>
    <row r="29" spans="1:25" ht="15" thickBot="1" x14ac:dyDescent="0.4">
      <c r="A29" s="32"/>
      <c r="B29" s="198"/>
      <c r="C29" s="199"/>
      <c r="D29" s="199"/>
      <c r="E29" s="199"/>
      <c r="F29" s="137" t="str">
        <f>IF(E29="","",INDEX(Lists!$BA$4:$BC$31,MATCH('Business travel, commute, home'!$B29,Lists!$AZ$4:$AZ$31,0),MATCH('Business travel, commute, home'!E29,Lists!$BA$3:$BC$3,0)))</f>
        <v/>
      </c>
      <c r="G29" s="148"/>
      <c r="H29" s="199"/>
      <c r="I29" s="36" t="str" cm="1">
        <f t="array" ref="I29">IF(OR($B29="",$C29="",$D29="",H29=""),"",IF(H29=J29,G29,(INDEX('Emission factors'!$K$3:$V$276,MATCH($B29&amp;$C29&amp;$D29,'Emission factors'!$J$3:$J$276&amp;'Emission factors'!$K$3:$K$276&amp;'Emission factors'!$L$3:$L$276,0),MATCH('Business travel, commute, home'!I$7,'Emission factors'!$K$2:$V$2,0)))*G29))</f>
        <v/>
      </c>
      <c r="J29" s="35" t="str">
        <f t="array" ref="J29">IF(OR($B29="",$C29="",$G29=""),"",INDEX('Emission factors'!$K$3:$V$276,MATCH($B29&amp;$C29&amp;$D29,'Emission factors'!$J$3:$J$276&amp;'Emission factors'!$K$3:$K$276&amp;'Emission factors'!$L$3:$L$276,0),MATCH('Business travel, commute, home'!J$7,'Emission factors'!$K$2:$V$2,0)))</f>
        <v/>
      </c>
      <c r="K29" s="35" t="str">
        <f t="array" ref="K29">IF(OR(B29="",C29="",D29=""),"",INDEX('Emission factors'!$K$3:$V$276,MATCH($B29&amp;$C29&amp;$D29,'Emission factors'!$J$3:$J$276&amp;'Emission factors'!$K$3:$K$276&amp;'Emission factors'!$L$3:$L$276,0),MATCH('Business travel, commute, home'!K$7,'Emission factors'!$K$2:$V$2,0)))</f>
        <v/>
      </c>
      <c r="L29" s="38" t="str">
        <f>IF(OR(I29="",K29=""),"",SUM(BusinessTable[[#This Row],[Direct]:[Indirect WTT]]))</f>
        <v/>
      </c>
      <c r="M29" s="201"/>
      <c r="N29" s="199"/>
      <c r="O29" s="292" t="str" cm="1">
        <f t="array" ref="O29">IF(OR($C29="",$G29=""),"",(INDEX('Emission factors'!$K$3:$V$201,MATCH($B29&amp;$C29&amp;$D29,'Emission factors'!$J$3:$J$201&amp;'Emission factors'!$K$3:$K$201&amp;'Emission factors'!$L$3:$L$201,0),MATCH(O$7,'Emission factors'!$K$2:$V$2,0)))*$I29)</f>
        <v/>
      </c>
      <c r="P29" s="292" t="str" cm="1">
        <f t="array" ref="P29">IF(OR($C29="",$G29=""),"",(INDEX('Emission factors'!$K$3:$V$201,MATCH($B29&amp;$C29&amp;$D29,'Emission factors'!$J$3:$J$201&amp;'Emission factors'!$K$3:$K$201&amp;'Emission factors'!$L$3:$L$201,0),MATCH(P$7,'Emission factors'!$K$2:$V$2,0)))*$I29)</f>
        <v/>
      </c>
      <c r="Q29" s="292" t="str" cm="1">
        <f t="array" ref="Q29">IF(OR($C29="",$G29=""),"",(INDEX('Emission factors'!$K$3:$V$201,MATCH($B29&amp;$C29&amp;$D29,'Emission factors'!$J$3:$J$201&amp;'Emission factors'!$K$3:$K$201&amp;'Emission factors'!$L$3:$L$201,0),MATCH(Q$7,'Emission factors'!$K$2:$V$2,0)))*$I29)</f>
        <v/>
      </c>
      <c r="R29" s="292" t="str" cm="1">
        <f t="array" ref="R29">IF(OR($C29="",$G29=""),"",(INDEX('Emission factors'!$K$3:$V$201,MATCH($B29&amp;$C29&amp;$D29,'Emission factors'!$J$3:$J$201&amp;'Emission factors'!$K$3:$K$201&amp;'Emission factors'!$L$3:$L$201,0),MATCH(R$7,'Emission factors'!$K$2:$V$2,0)))*$I29)</f>
        <v/>
      </c>
      <c r="S29" s="292" t="str" cm="1">
        <f t="array" ref="S29">IF(OR($C29="",$G29=""),"",(INDEX('Emission factors'!$K$3:$V$201,MATCH($B29&amp;$C29&amp;$D29,'Emission factors'!$J$3:$J$201&amp;'Emission factors'!$K$3:$K$201&amp;'Emission factors'!$L$3:$L$201,0),MATCH(S$7,'Emission factors'!$K$2:$V$2,0)))*$I29)</f>
        <v/>
      </c>
      <c r="T29" s="293" t="str">
        <f t="shared" si="1"/>
        <v/>
      </c>
      <c r="U29" s="330" t="str">
        <f t="shared" si="0"/>
        <v/>
      </c>
      <c r="V29" s="326" t="str" cm="1">
        <f t="array" ref="V29">IF(OR($C29="",$G29=""),"",(INDEX('Emission factors'!$K$3:$V$201,MATCH($B29&amp;$C29&amp;$D29,'Emission factors'!$J$3:$J$201&amp;'Emission factors'!$K$3:$K$201&amp;'Emission factors'!$L$3:$L$201,0),MATCH(V$7,'Emission factors'!$K$2:$V$2,0)))*$I29)</f>
        <v/>
      </c>
      <c r="X29" s="1" cm="1">
        <f t="array" ref="X29">IF(OR(ISERROR(B29:V29)),1,0)</f>
        <v>0</v>
      </c>
      <c r="Y29" s="1">
        <f t="shared" si="2"/>
        <v>0</v>
      </c>
    </row>
    <row r="30" spans="1:25" ht="15" thickBot="1" x14ac:dyDescent="0.4">
      <c r="A30" s="32"/>
      <c r="B30" s="198"/>
      <c r="C30" s="199"/>
      <c r="D30" s="199"/>
      <c r="E30" s="199"/>
      <c r="F30" s="137" t="str">
        <f>IF(E30="","",INDEX(Lists!$BA$4:$BC$31,MATCH('Business travel, commute, home'!$B30,Lists!$AZ$4:$AZ$31,0),MATCH('Business travel, commute, home'!E30,Lists!$BA$3:$BC$3,0)))</f>
        <v/>
      </c>
      <c r="G30" s="148"/>
      <c r="H30" s="199"/>
      <c r="I30" s="36" t="str" cm="1">
        <f t="array" ref="I30">IF(OR($B30="",$C30="",$D30="",H30=""),"",IF(H30=J30,G30,(INDEX('Emission factors'!$K$3:$V$276,MATCH($B30&amp;$C30&amp;$D30,'Emission factors'!$J$3:$J$276&amp;'Emission factors'!$K$3:$K$276&amp;'Emission factors'!$L$3:$L$276,0),MATCH('Business travel, commute, home'!I$7,'Emission factors'!$K$2:$V$2,0)))*G30))</f>
        <v/>
      </c>
      <c r="J30" s="35" t="str">
        <f t="array" ref="J30">IF(OR($B30="",$C30="",$G30=""),"",INDEX('Emission factors'!$K$3:$V$276,MATCH($B30&amp;$C30&amp;$D30,'Emission factors'!$J$3:$J$276&amp;'Emission factors'!$K$3:$K$276&amp;'Emission factors'!$L$3:$L$276,0),MATCH('Business travel, commute, home'!J$7,'Emission factors'!$K$2:$V$2,0)))</f>
        <v/>
      </c>
      <c r="K30" s="35" t="str">
        <f t="array" ref="K30">IF(OR(B30="",C30="",D30=""),"",INDEX('Emission factors'!$K$3:$V$276,MATCH($B30&amp;$C30&amp;$D30,'Emission factors'!$J$3:$J$276&amp;'Emission factors'!$K$3:$K$276&amp;'Emission factors'!$L$3:$L$276,0),MATCH('Business travel, commute, home'!K$7,'Emission factors'!$K$2:$V$2,0)))</f>
        <v/>
      </c>
      <c r="L30" s="38" t="str">
        <f>IF(OR(I30="",K30=""),"",SUM(BusinessTable[[#This Row],[Direct]:[Indirect WTT]]))</f>
        <v/>
      </c>
      <c r="M30" s="201"/>
      <c r="N30" s="199"/>
      <c r="O30" s="292" t="str" cm="1">
        <f t="array" ref="O30">IF(OR($C30="",$G30=""),"",(INDEX('Emission factors'!$K$3:$V$201,MATCH($B30&amp;$C30&amp;$D30,'Emission factors'!$J$3:$J$201&amp;'Emission factors'!$K$3:$K$201&amp;'Emission factors'!$L$3:$L$201,0),MATCH(O$7,'Emission factors'!$K$2:$V$2,0)))*$I30)</f>
        <v/>
      </c>
      <c r="P30" s="292" t="str" cm="1">
        <f t="array" ref="P30">IF(OR($C30="",$G30=""),"",(INDEX('Emission factors'!$K$3:$V$201,MATCH($B30&amp;$C30&amp;$D30,'Emission factors'!$J$3:$J$201&amp;'Emission factors'!$K$3:$K$201&amp;'Emission factors'!$L$3:$L$201,0),MATCH(P$7,'Emission factors'!$K$2:$V$2,0)))*$I30)</f>
        <v/>
      </c>
      <c r="Q30" s="292" t="str" cm="1">
        <f t="array" ref="Q30">IF(OR($C30="",$G30=""),"",(INDEX('Emission factors'!$K$3:$V$201,MATCH($B30&amp;$C30&amp;$D30,'Emission factors'!$J$3:$J$201&amp;'Emission factors'!$K$3:$K$201&amp;'Emission factors'!$L$3:$L$201,0),MATCH(Q$7,'Emission factors'!$K$2:$V$2,0)))*$I30)</f>
        <v/>
      </c>
      <c r="R30" s="292" t="str" cm="1">
        <f t="array" ref="R30">IF(OR($C30="",$G30=""),"",(INDEX('Emission factors'!$K$3:$V$201,MATCH($B30&amp;$C30&amp;$D30,'Emission factors'!$J$3:$J$201&amp;'Emission factors'!$K$3:$K$201&amp;'Emission factors'!$L$3:$L$201,0),MATCH(R$7,'Emission factors'!$K$2:$V$2,0)))*$I30)</f>
        <v/>
      </c>
      <c r="S30" s="292" t="str" cm="1">
        <f t="array" ref="S30">IF(OR($C30="",$G30=""),"",(INDEX('Emission factors'!$K$3:$V$201,MATCH($B30&amp;$C30&amp;$D30,'Emission factors'!$J$3:$J$201&amp;'Emission factors'!$K$3:$K$201&amp;'Emission factors'!$L$3:$L$201,0),MATCH(S$7,'Emission factors'!$K$2:$V$2,0)))*$I30)</f>
        <v/>
      </c>
      <c r="T30" s="293" t="str">
        <f t="shared" si="1"/>
        <v/>
      </c>
      <c r="U30" s="330" t="str">
        <f t="shared" si="0"/>
        <v/>
      </c>
      <c r="V30" s="326" t="str" cm="1">
        <f t="array" ref="V30">IF(OR($C30="",$G30=""),"",(INDEX('Emission factors'!$K$3:$V$201,MATCH($B30&amp;$C30&amp;$D30,'Emission factors'!$J$3:$J$201&amp;'Emission factors'!$K$3:$K$201&amp;'Emission factors'!$L$3:$L$201,0),MATCH(V$7,'Emission factors'!$K$2:$V$2,0)))*$I30)</f>
        <v/>
      </c>
      <c r="X30" s="1" cm="1">
        <f t="array" ref="X30">IF(OR(ISERROR(B30:V30)),1,0)</f>
        <v>0</v>
      </c>
      <c r="Y30" s="1">
        <f t="shared" si="2"/>
        <v>0</v>
      </c>
    </row>
    <row r="31" spans="1:25" ht="15" thickBot="1" x14ac:dyDescent="0.4">
      <c r="A31" s="32"/>
      <c r="B31" s="198"/>
      <c r="C31" s="199"/>
      <c r="D31" s="199"/>
      <c r="E31" s="199"/>
      <c r="F31" s="137" t="str">
        <f>IF(E31="","",INDEX(Lists!$BA$4:$BC$31,MATCH('Business travel, commute, home'!$B31,Lists!$AZ$4:$AZ$31,0),MATCH('Business travel, commute, home'!E31,Lists!$BA$3:$BC$3,0)))</f>
        <v/>
      </c>
      <c r="G31" s="148"/>
      <c r="H31" s="199"/>
      <c r="I31" s="36" t="str" cm="1">
        <f t="array" ref="I31">IF(OR($B31="",$C31="",$D31="",H31=""),"",IF(H31=J31,G31,(INDEX('Emission factors'!$K$3:$V$276,MATCH($B31&amp;$C31&amp;$D31,'Emission factors'!$J$3:$J$276&amp;'Emission factors'!$K$3:$K$276&amp;'Emission factors'!$L$3:$L$276,0),MATCH('Business travel, commute, home'!I$7,'Emission factors'!$K$2:$V$2,0)))*G31))</f>
        <v/>
      </c>
      <c r="J31" s="35" t="str">
        <f t="array" ref="J31">IF(OR($B31="",$C31="",$G31=""),"",INDEX('Emission factors'!$K$3:$V$276,MATCH($B31&amp;$C31&amp;$D31,'Emission factors'!$J$3:$J$276&amp;'Emission factors'!$K$3:$K$276&amp;'Emission factors'!$L$3:$L$276,0),MATCH('Business travel, commute, home'!J$7,'Emission factors'!$K$2:$V$2,0)))</f>
        <v/>
      </c>
      <c r="K31" s="35" t="str">
        <f t="array" ref="K31">IF(OR(B31="",C31="",D31=""),"",INDEX('Emission factors'!$K$3:$V$276,MATCH($B31&amp;$C31&amp;$D31,'Emission factors'!$J$3:$J$276&amp;'Emission factors'!$K$3:$K$276&amp;'Emission factors'!$L$3:$L$276,0),MATCH('Business travel, commute, home'!K$7,'Emission factors'!$K$2:$V$2,0)))</f>
        <v/>
      </c>
      <c r="L31" s="38" t="str">
        <f>IF(OR(I31="",K31=""),"",SUM(BusinessTable[[#This Row],[Direct]:[Indirect WTT]]))</f>
        <v/>
      </c>
      <c r="M31" s="201"/>
      <c r="N31" s="199"/>
      <c r="O31" s="292" t="str" cm="1">
        <f t="array" ref="O31">IF(OR($C31="",$G31=""),"",(INDEX('Emission factors'!$K$3:$V$201,MATCH($B31&amp;$C31&amp;$D31,'Emission factors'!$J$3:$J$201&amp;'Emission factors'!$K$3:$K$201&amp;'Emission factors'!$L$3:$L$201,0),MATCH(O$7,'Emission factors'!$K$2:$V$2,0)))*$I31)</f>
        <v/>
      </c>
      <c r="P31" s="292" t="str" cm="1">
        <f t="array" ref="P31">IF(OR($C31="",$G31=""),"",(INDEX('Emission factors'!$K$3:$V$201,MATCH($B31&amp;$C31&amp;$D31,'Emission factors'!$J$3:$J$201&amp;'Emission factors'!$K$3:$K$201&amp;'Emission factors'!$L$3:$L$201,0),MATCH(P$7,'Emission factors'!$K$2:$V$2,0)))*$I31)</f>
        <v/>
      </c>
      <c r="Q31" s="292" t="str" cm="1">
        <f t="array" ref="Q31">IF(OR($C31="",$G31=""),"",(INDEX('Emission factors'!$K$3:$V$201,MATCH($B31&amp;$C31&amp;$D31,'Emission factors'!$J$3:$J$201&amp;'Emission factors'!$K$3:$K$201&amp;'Emission factors'!$L$3:$L$201,0),MATCH(Q$7,'Emission factors'!$K$2:$V$2,0)))*$I31)</f>
        <v/>
      </c>
      <c r="R31" s="292" t="str" cm="1">
        <f t="array" ref="R31">IF(OR($C31="",$G31=""),"",(INDEX('Emission factors'!$K$3:$V$201,MATCH($B31&amp;$C31&amp;$D31,'Emission factors'!$J$3:$J$201&amp;'Emission factors'!$K$3:$K$201&amp;'Emission factors'!$L$3:$L$201,0),MATCH(R$7,'Emission factors'!$K$2:$V$2,0)))*$I31)</f>
        <v/>
      </c>
      <c r="S31" s="292" t="str" cm="1">
        <f t="array" ref="S31">IF(OR($C31="",$G31=""),"",(INDEX('Emission factors'!$K$3:$V$201,MATCH($B31&amp;$C31&amp;$D31,'Emission factors'!$J$3:$J$201&amp;'Emission factors'!$K$3:$K$201&amp;'Emission factors'!$L$3:$L$201,0),MATCH(S$7,'Emission factors'!$K$2:$V$2,0)))*$I31)</f>
        <v/>
      </c>
      <c r="T31" s="293" t="str">
        <f t="shared" si="1"/>
        <v/>
      </c>
      <c r="U31" s="330" t="str">
        <f t="shared" si="0"/>
        <v/>
      </c>
      <c r="V31" s="326" t="str" cm="1">
        <f t="array" ref="V31">IF(OR($C31="",$G31=""),"",(INDEX('Emission factors'!$K$3:$V$201,MATCH($B31&amp;$C31&amp;$D31,'Emission factors'!$J$3:$J$201&amp;'Emission factors'!$K$3:$K$201&amp;'Emission factors'!$L$3:$L$201,0),MATCH(V$7,'Emission factors'!$K$2:$V$2,0)))*$I31)</f>
        <v/>
      </c>
      <c r="X31" s="1" cm="1">
        <f t="array" ref="X31">IF(OR(ISERROR(B31:V31)),1,0)</f>
        <v>0</v>
      </c>
      <c r="Y31" s="1">
        <f t="shared" si="2"/>
        <v>0</v>
      </c>
    </row>
    <row r="32" spans="1:25" ht="15" thickBot="1" x14ac:dyDescent="0.4">
      <c r="A32" s="32"/>
      <c r="B32" s="198"/>
      <c r="C32" s="199"/>
      <c r="D32" s="199"/>
      <c r="E32" s="199"/>
      <c r="F32" s="137" t="str">
        <f>IF(E32="","",INDEX(Lists!$BA$4:$BC$31,MATCH('Business travel, commute, home'!$B32,Lists!$AZ$4:$AZ$31,0),MATCH('Business travel, commute, home'!E32,Lists!$BA$3:$BC$3,0)))</f>
        <v/>
      </c>
      <c r="G32" s="148"/>
      <c r="H32" s="199"/>
      <c r="I32" s="36" t="str" cm="1">
        <f t="array" ref="I32">IF(OR($B32="",$C32="",$D32="",H32=""),"",IF(H32=J32,G32,(INDEX('Emission factors'!$K$3:$V$276,MATCH($B32&amp;$C32&amp;$D32,'Emission factors'!$J$3:$J$276&amp;'Emission factors'!$K$3:$K$276&amp;'Emission factors'!$L$3:$L$276,0),MATCH('Business travel, commute, home'!I$7,'Emission factors'!$K$2:$V$2,0)))*G32))</f>
        <v/>
      </c>
      <c r="J32" s="35" t="str">
        <f t="array" ref="J32">IF(OR($B32="",$C32="",$G32=""),"",INDEX('Emission factors'!$K$3:$V$276,MATCH($B32&amp;$C32&amp;$D32,'Emission factors'!$J$3:$J$276&amp;'Emission factors'!$K$3:$K$276&amp;'Emission factors'!$L$3:$L$276,0),MATCH('Business travel, commute, home'!J$7,'Emission factors'!$K$2:$V$2,0)))</f>
        <v/>
      </c>
      <c r="K32" s="35" t="str">
        <f t="array" ref="K32">IF(OR(B32="",C32="",D32=""),"",INDEX('Emission factors'!$K$3:$V$276,MATCH($B32&amp;$C32&amp;$D32,'Emission factors'!$J$3:$J$276&amp;'Emission factors'!$K$3:$K$276&amp;'Emission factors'!$L$3:$L$276,0),MATCH('Business travel, commute, home'!K$7,'Emission factors'!$K$2:$V$2,0)))</f>
        <v/>
      </c>
      <c r="L32" s="38" t="str">
        <f>IF(OR(I32="",K32=""),"",SUM(BusinessTable[[#This Row],[Direct]:[Indirect WTT]]))</f>
        <v/>
      </c>
      <c r="M32" s="201"/>
      <c r="N32" s="199"/>
      <c r="O32" s="292" t="str" cm="1">
        <f t="array" ref="O32">IF(OR($C32="",$G32=""),"",(INDEX('Emission factors'!$K$3:$V$201,MATCH($B32&amp;$C32&amp;$D32,'Emission factors'!$J$3:$J$201&amp;'Emission factors'!$K$3:$K$201&amp;'Emission factors'!$L$3:$L$201,0),MATCH(O$7,'Emission factors'!$K$2:$V$2,0)))*$I32)</f>
        <v/>
      </c>
      <c r="P32" s="292" t="str" cm="1">
        <f t="array" ref="P32">IF(OR($C32="",$G32=""),"",(INDEX('Emission factors'!$K$3:$V$201,MATCH($B32&amp;$C32&amp;$D32,'Emission factors'!$J$3:$J$201&amp;'Emission factors'!$K$3:$K$201&amp;'Emission factors'!$L$3:$L$201,0),MATCH(P$7,'Emission factors'!$K$2:$V$2,0)))*$I32)</f>
        <v/>
      </c>
      <c r="Q32" s="292" t="str" cm="1">
        <f t="array" ref="Q32">IF(OR($C32="",$G32=""),"",(INDEX('Emission factors'!$K$3:$V$201,MATCH($B32&amp;$C32&amp;$D32,'Emission factors'!$J$3:$J$201&amp;'Emission factors'!$K$3:$K$201&amp;'Emission factors'!$L$3:$L$201,0),MATCH(Q$7,'Emission factors'!$K$2:$V$2,0)))*$I32)</f>
        <v/>
      </c>
      <c r="R32" s="292" t="str" cm="1">
        <f t="array" ref="R32">IF(OR($C32="",$G32=""),"",(INDEX('Emission factors'!$K$3:$V$201,MATCH($B32&amp;$C32&amp;$D32,'Emission factors'!$J$3:$J$201&amp;'Emission factors'!$K$3:$K$201&amp;'Emission factors'!$L$3:$L$201,0),MATCH(R$7,'Emission factors'!$K$2:$V$2,0)))*$I32)</f>
        <v/>
      </c>
      <c r="S32" s="292" t="str" cm="1">
        <f t="array" ref="S32">IF(OR($C32="",$G32=""),"",(INDEX('Emission factors'!$K$3:$V$201,MATCH($B32&amp;$C32&amp;$D32,'Emission factors'!$J$3:$J$201&amp;'Emission factors'!$K$3:$K$201&amp;'Emission factors'!$L$3:$L$201,0),MATCH(S$7,'Emission factors'!$K$2:$V$2,0)))*$I32)</f>
        <v/>
      </c>
      <c r="T32" s="293" t="str">
        <f t="shared" si="1"/>
        <v/>
      </c>
      <c r="U32" s="330" t="str">
        <f t="shared" si="0"/>
        <v/>
      </c>
      <c r="V32" s="326" t="str" cm="1">
        <f t="array" ref="V32">IF(OR($C32="",$G32=""),"",(INDEX('Emission factors'!$K$3:$V$201,MATCH($B32&amp;$C32&amp;$D32,'Emission factors'!$J$3:$J$201&amp;'Emission factors'!$K$3:$K$201&amp;'Emission factors'!$L$3:$L$201,0),MATCH(V$7,'Emission factors'!$K$2:$V$2,0)))*$I32)</f>
        <v/>
      </c>
      <c r="X32" s="1" cm="1">
        <f t="array" ref="X32">IF(OR(ISERROR(B32:V32)),1,0)</f>
        <v>0</v>
      </c>
      <c r="Y32" s="1">
        <f t="shared" si="2"/>
        <v>0</v>
      </c>
    </row>
    <row r="33" spans="1:25" ht="15" thickBot="1" x14ac:dyDescent="0.4">
      <c r="A33" s="32"/>
      <c r="B33" s="198"/>
      <c r="C33" s="199"/>
      <c r="D33" s="199"/>
      <c r="E33" s="199"/>
      <c r="F33" s="137" t="str">
        <f>IF(E33="","",INDEX(Lists!$BA$4:$BC$31,MATCH('Business travel, commute, home'!$B33,Lists!$AZ$4:$AZ$31,0),MATCH('Business travel, commute, home'!E33,Lists!$BA$3:$BC$3,0)))</f>
        <v/>
      </c>
      <c r="G33" s="148"/>
      <c r="H33" s="199"/>
      <c r="I33" s="36" t="str" cm="1">
        <f t="array" ref="I33">IF(OR($B33="",$C33="",$D33="",H33=""),"",IF(H33=J33,G33,(INDEX('Emission factors'!$K$3:$V$276,MATCH($B33&amp;$C33&amp;$D33,'Emission factors'!$J$3:$J$276&amp;'Emission factors'!$K$3:$K$276&amp;'Emission factors'!$L$3:$L$276,0),MATCH('Business travel, commute, home'!I$7,'Emission factors'!$K$2:$V$2,0)))*G33))</f>
        <v/>
      </c>
      <c r="J33" s="35" t="str">
        <f t="array" ref="J33">IF(OR($B33="",$C33="",$G33=""),"",INDEX('Emission factors'!$K$3:$V$276,MATCH($B33&amp;$C33&amp;$D33,'Emission factors'!$J$3:$J$276&amp;'Emission factors'!$K$3:$K$276&amp;'Emission factors'!$L$3:$L$276,0),MATCH('Business travel, commute, home'!J$7,'Emission factors'!$K$2:$V$2,0)))</f>
        <v/>
      </c>
      <c r="K33" s="35" t="str">
        <f t="array" ref="K33">IF(OR(B33="",C33="",D33=""),"",INDEX('Emission factors'!$K$3:$V$276,MATCH($B33&amp;$C33&amp;$D33,'Emission factors'!$J$3:$J$276&amp;'Emission factors'!$K$3:$K$276&amp;'Emission factors'!$L$3:$L$276,0),MATCH('Business travel, commute, home'!K$7,'Emission factors'!$K$2:$V$2,0)))</f>
        <v/>
      </c>
      <c r="L33" s="38" t="str">
        <f>IF(OR(I33="",K33=""),"",SUM(BusinessTable[[#This Row],[Direct]:[Indirect WTT]]))</f>
        <v/>
      </c>
      <c r="M33" s="201"/>
      <c r="N33" s="199"/>
      <c r="O33" s="292" t="str" cm="1">
        <f t="array" ref="O33">IF(OR($C33="",$G33=""),"",(INDEX('Emission factors'!$K$3:$V$201,MATCH($B33&amp;$C33&amp;$D33,'Emission factors'!$J$3:$J$201&amp;'Emission factors'!$K$3:$K$201&amp;'Emission factors'!$L$3:$L$201,0),MATCH(O$7,'Emission factors'!$K$2:$V$2,0)))*$I33)</f>
        <v/>
      </c>
      <c r="P33" s="292" t="str" cm="1">
        <f t="array" ref="P33">IF(OR($C33="",$G33=""),"",(INDEX('Emission factors'!$K$3:$V$201,MATCH($B33&amp;$C33&amp;$D33,'Emission factors'!$J$3:$J$201&amp;'Emission factors'!$K$3:$K$201&amp;'Emission factors'!$L$3:$L$201,0),MATCH(P$7,'Emission factors'!$K$2:$V$2,0)))*$I33)</f>
        <v/>
      </c>
      <c r="Q33" s="292" t="str" cm="1">
        <f t="array" ref="Q33">IF(OR($C33="",$G33=""),"",(INDEX('Emission factors'!$K$3:$V$201,MATCH($B33&amp;$C33&amp;$D33,'Emission factors'!$J$3:$J$201&amp;'Emission factors'!$K$3:$K$201&amp;'Emission factors'!$L$3:$L$201,0),MATCH(Q$7,'Emission factors'!$K$2:$V$2,0)))*$I33)</f>
        <v/>
      </c>
      <c r="R33" s="292" t="str" cm="1">
        <f t="array" ref="R33">IF(OR($C33="",$G33=""),"",(INDEX('Emission factors'!$K$3:$V$201,MATCH($B33&amp;$C33&amp;$D33,'Emission factors'!$J$3:$J$201&amp;'Emission factors'!$K$3:$K$201&amp;'Emission factors'!$L$3:$L$201,0),MATCH(R$7,'Emission factors'!$K$2:$V$2,0)))*$I33)</f>
        <v/>
      </c>
      <c r="S33" s="292" t="str" cm="1">
        <f t="array" ref="S33">IF(OR($C33="",$G33=""),"",(INDEX('Emission factors'!$K$3:$V$201,MATCH($B33&amp;$C33&amp;$D33,'Emission factors'!$J$3:$J$201&amp;'Emission factors'!$K$3:$K$201&amp;'Emission factors'!$L$3:$L$201,0),MATCH(S$7,'Emission factors'!$K$2:$V$2,0)))*$I33)</f>
        <v/>
      </c>
      <c r="T33" s="293" t="str">
        <f t="shared" si="1"/>
        <v/>
      </c>
      <c r="U33" s="330" t="str">
        <f t="shared" si="0"/>
        <v/>
      </c>
      <c r="V33" s="326" t="str" cm="1">
        <f t="array" ref="V33">IF(OR($C33="",$G33=""),"",(INDEX('Emission factors'!$K$3:$V$201,MATCH($B33&amp;$C33&amp;$D33,'Emission factors'!$J$3:$J$201&amp;'Emission factors'!$K$3:$K$201&amp;'Emission factors'!$L$3:$L$201,0),MATCH(V$7,'Emission factors'!$K$2:$V$2,0)))*$I33)</f>
        <v/>
      </c>
      <c r="X33" s="1" cm="1">
        <f t="array" ref="X33">IF(OR(ISERROR(B33:V33)),1,0)</f>
        <v>0</v>
      </c>
      <c r="Y33" s="1">
        <f t="shared" si="2"/>
        <v>0</v>
      </c>
    </row>
    <row r="34" spans="1:25" ht="15" thickBot="1" x14ac:dyDescent="0.4">
      <c r="A34" s="32"/>
      <c r="B34" s="198"/>
      <c r="C34" s="199"/>
      <c r="D34" s="199"/>
      <c r="E34" s="200"/>
      <c r="F34" s="138" t="str">
        <f>IF(E34="","",INDEX(Lists!$BA$4:$BC$31,MATCH('Business travel, commute, home'!$B34,Lists!$AZ$4:$AZ$31,0),MATCH('Business travel, commute, home'!E34,Lists!$BA$3:$BC$3,0)))</f>
        <v/>
      </c>
      <c r="G34" s="148"/>
      <c r="H34" s="199"/>
      <c r="I34" s="53" t="str" cm="1">
        <f t="array" ref="I34">IF(OR($B34="",$C34="",$D34="",H34=""),"",IF(H34=J34,G34,(INDEX('Emission factors'!$K$3:$V$276,MATCH($B34&amp;$C34&amp;$D34,'Emission factors'!$J$3:$J$276&amp;'Emission factors'!$K$3:$K$276&amp;'Emission factors'!$L$3:$L$276,0),MATCH('Business travel, commute, home'!I$7,'Emission factors'!$K$2:$V$2,0)))*G34))</f>
        <v/>
      </c>
      <c r="J34" s="54" t="str">
        <f t="array" ref="J34">IF(OR($B34="",$C34="",$G34=""),"",INDEX('Emission factors'!$K$3:$V$276,MATCH($B34&amp;$C34&amp;$D34,'Emission factors'!$J$3:$J$276&amp;'Emission factors'!$K$3:$K$276&amp;'Emission factors'!$L$3:$L$276,0),MATCH('Business travel, commute, home'!J$7,'Emission factors'!$K$2:$V$2,0)))</f>
        <v/>
      </c>
      <c r="K34" s="54" t="str">
        <f t="array" ref="K34">IF(OR(B34="",C34="",D34=""),"",INDEX('Emission factors'!$K$3:$V$276,MATCH($B34&amp;$C34&amp;$D34,'Emission factors'!$J$3:$J$276&amp;'Emission factors'!$K$3:$K$276&amp;'Emission factors'!$L$3:$L$276,0),MATCH('Business travel, commute, home'!K$7,'Emission factors'!$K$2:$V$2,0)))</f>
        <v/>
      </c>
      <c r="L34" s="38" t="str">
        <f>IF(OR(I34="",K34=""),"",SUM(BusinessTable[[#This Row],[Direct]:[Indirect WTT]]))</f>
        <v/>
      </c>
      <c r="M34" s="202"/>
      <c r="N34" s="200"/>
      <c r="O34" s="296" t="str" cm="1">
        <f t="array" ref="O34">IF(OR($C34="",$G34=""),"",(INDEX('Emission factors'!$K$3:$V$201,MATCH($B34&amp;$C34&amp;$D34,'Emission factors'!$J$3:$J$201&amp;'Emission factors'!$K$3:$K$201&amp;'Emission factors'!$L$3:$L$201,0),MATCH(O$7,'Emission factors'!$K$2:$V$2,0)))*$I34)</f>
        <v/>
      </c>
      <c r="P34" s="296" t="str" cm="1">
        <f t="array" ref="P34">IF(OR($C34="",$G34=""),"",(INDEX('Emission factors'!$K$3:$V$201,MATCH($B34&amp;$C34&amp;$D34,'Emission factors'!$J$3:$J$201&amp;'Emission factors'!$K$3:$K$201&amp;'Emission factors'!$L$3:$L$201,0),MATCH(P$7,'Emission factors'!$K$2:$V$2,0)))*$I34)</f>
        <v/>
      </c>
      <c r="Q34" s="296" t="str" cm="1">
        <f t="array" ref="Q34">IF(OR($C34="",$G34=""),"",(INDEX('Emission factors'!$K$3:$V$201,MATCH($B34&amp;$C34&amp;$D34,'Emission factors'!$J$3:$J$201&amp;'Emission factors'!$K$3:$K$201&amp;'Emission factors'!$L$3:$L$201,0),MATCH(Q$7,'Emission factors'!$K$2:$V$2,0)))*$I34)</f>
        <v/>
      </c>
      <c r="R34" s="296" t="str" cm="1">
        <f t="array" ref="R34">IF(OR($C34="",$G34=""),"",(INDEX('Emission factors'!$K$3:$V$201,MATCH($B34&amp;$C34&amp;$D34,'Emission factors'!$J$3:$J$201&amp;'Emission factors'!$K$3:$K$201&amp;'Emission factors'!$L$3:$L$201,0),MATCH(R$7,'Emission factors'!$K$2:$V$2,0)))*$I34)</f>
        <v/>
      </c>
      <c r="S34" s="296" t="str" cm="1">
        <f t="array" ref="S34">IF(OR($C34="",$G34=""),"",(INDEX('Emission factors'!$K$3:$V$201,MATCH($B34&amp;$C34&amp;$D34,'Emission factors'!$J$3:$J$201&amp;'Emission factors'!$K$3:$K$201&amp;'Emission factors'!$L$3:$L$201,0),MATCH(S$7,'Emission factors'!$K$2:$V$2,0)))*$I34)</f>
        <v/>
      </c>
      <c r="T34" s="297" t="str">
        <f t="shared" si="1"/>
        <v/>
      </c>
      <c r="U34" s="331" t="str">
        <f t="shared" si="0"/>
        <v/>
      </c>
      <c r="V34" s="328" t="str" cm="1">
        <f t="array" ref="V34">IF(OR($C34="",$G34=""),"",(INDEX('Emission factors'!$K$3:$V$201,MATCH($B34&amp;$C34&amp;$D34,'Emission factors'!$J$3:$J$201&amp;'Emission factors'!$K$3:$K$201&amp;'Emission factors'!$L$3:$L$201,0),MATCH(V$7,'Emission factors'!$K$2:$V$2,0)))*$I34)</f>
        <v/>
      </c>
      <c r="X34" s="1" cm="1">
        <f t="array" ref="X34">IF(OR(ISERROR(B34:V34)),1,0)</f>
        <v>0</v>
      </c>
      <c r="Y34" s="1">
        <f t="shared" si="2"/>
        <v>0</v>
      </c>
    </row>
    <row r="35" spans="1:25" x14ac:dyDescent="0.35">
      <c r="A35" s="56"/>
      <c r="B35" s="58"/>
      <c r="C35" s="58"/>
      <c r="D35" s="58"/>
      <c r="E35" s="33"/>
      <c r="F35" s="33"/>
      <c r="G35" s="33"/>
      <c r="H35" s="33"/>
      <c r="I35" s="33"/>
      <c r="J35" s="33"/>
      <c r="K35" s="33"/>
      <c r="L35" s="33"/>
      <c r="M35" s="33"/>
      <c r="N35" s="33"/>
      <c r="O35" s="33"/>
      <c r="P35" s="33"/>
      <c r="Q35" s="33"/>
      <c r="R35" s="33"/>
      <c r="S35" s="33"/>
      <c r="T35" s="33"/>
      <c r="U35" s="308"/>
      <c r="V35" s="130"/>
    </row>
    <row r="36" spans="1:25" ht="19" thickBot="1" x14ac:dyDescent="0.4">
      <c r="B36" s="37" t="s">
        <v>71</v>
      </c>
      <c r="H36" s="441" t="str">
        <f>IF($Y$37=0,"No data entered",IF($X$37=0,"No errors in this table","There are errors in this table see highlighted row(s)"))</f>
        <v>No data entered</v>
      </c>
      <c r="I36"/>
      <c r="O36" s="51" t="s">
        <v>111</v>
      </c>
      <c r="T36" s="56"/>
      <c r="U36" s="309"/>
      <c r="V36" s="66"/>
    </row>
    <row r="37" spans="1:25" ht="15" thickBot="1" x14ac:dyDescent="0.4">
      <c r="B37" s="52" t="s">
        <v>157</v>
      </c>
      <c r="C37" s="34" t="s">
        <v>114</v>
      </c>
      <c r="D37" s="34" t="s">
        <v>158</v>
      </c>
      <c r="E37" s="34" t="s">
        <v>159</v>
      </c>
      <c r="F37" s="34" t="s">
        <v>116</v>
      </c>
      <c r="G37" s="34" t="s">
        <v>117</v>
      </c>
      <c r="H37" s="34" t="s">
        <v>118</v>
      </c>
      <c r="I37" s="34" t="s">
        <v>119</v>
      </c>
      <c r="J37" s="34" t="s">
        <v>120</v>
      </c>
      <c r="K37" s="34" t="s">
        <v>121</v>
      </c>
      <c r="L37" s="34" t="s">
        <v>88</v>
      </c>
      <c r="M37" s="34" t="s">
        <v>122</v>
      </c>
      <c r="N37" s="34" t="s">
        <v>123</v>
      </c>
      <c r="O37" s="95" t="s">
        <v>59</v>
      </c>
      <c r="P37" s="95" t="s">
        <v>124</v>
      </c>
      <c r="Q37" s="95" t="s">
        <v>125</v>
      </c>
      <c r="R37" s="95" t="s">
        <v>126</v>
      </c>
      <c r="S37" s="95" t="s">
        <v>127</v>
      </c>
      <c r="T37" s="95" t="s">
        <v>67</v>
      </c>
      <c r="U37" s="332" t="s">
        <v>68</v>
      </c>
      <c r="V37" s="329" t="s">
        <v>63</v>
      </c>
      <c r="X37" s="15">
        <f>SUM(X38:X64)</f>
        <v>0</v>
      </c>
      <c r="Y37" s="15">
        <f>SUM(Y38:Y64)</f>
        <v>0</v>
      </c>
    </row>
    <row r="38" spans="1:25" ht="15" thickBot="1" x14ac:dyDescent="0.4">
      <c r="B38" s="198"/>
      <c r="C38" s="199"/>
      <c r="D38" s="199"/>
      <c r="E38" s="199"/>
      <c r="F38" s="137" t="str">
        <f>IF(E38="","",INDEX(Lists!$BA$4:$BC$31,MATCH('Business travel, commute, home'!$B38,Lists!$AZ$4:$AZ$31,0),MATCH('Business travel, commute, home'!E38,Lists!$BA$3:$BC$3,0)))</f>
        <v/>
      </c>
      <c r="G38" s="148"/>
      <c r="H38" s="199"/>
      <c r="I38" s="36" t="str" cm="1">
        <f t="array" ref="I38">IF(OR($B38="",$C38="",$D38="",H38=""),"",IF(H38=J38,G38,(INDEX('Emission factors'!$K$3:$V$276,MATCH($B38&amp;$C38&amp;$D38,'Emission factors'!$J$3:$J$276&amp;'Emission factors'!$K$3:$K$276&amp;'Emission factors'!$L$3:$L$276,0),MATCH('Business travel, commute, home'!I$7,'Emission factors'!$K$2:$V$2,0)))*G38))</f>
        <v/>
      </c>
      <c r="J38" s="35" t="str" cm="1">
        <f t="array" ref="J38">IF(OR($B38="",$C38="",$G38=""),"",INDEX('Emission factors'!$K$3:$V$276,MATCH($B38&amp;$C38&amp;$D38,'Emission factors'!$J$3:$J$276&amp;'Emission factors'!$K$3:$K$276&amp;'Emission factors'!$L$3:$L$276,0),MATCH('Business travel, commute, home'!J$7,'Emission factors'!$K$2:$V$2,0)))</f>
        <v/>
      </c>
      <c r="K38" s="35" t="str">
        <f t="array" ref="K38">IF(OR(B38="",C38="",D38=""),"",INDEX('Emission factors'!$K$3:$V$276,MATCH($B38&amp;$C38&amp;$D38,'Emission factors'!$J$3:$J$276&amp;'Emission factors'!$K$3:$K$276&amp;'Emission factors'!$L$3:$L$276,0),MATCH('Business travel, commute, home'!K$7,'Emission factors'!$K$2:$V$2,0)))</f>
        <v/>
      </c>
      <c r="L38" s="38" t="str">
        <f>IF(OR(I38="",K38=""),"",SUM(CommutingTable[[#This Row],[Direct]:[Indirect WTT]]))</f>
        <v/>
      </c>
      <c r="M38" s="201"/>
      <c r="N38" s="199"/>
      <c r="O38" s="292" t="str" cm="1">
        <f t="array" ref="O38">IF(OR($C38="",$G38="",CommutingTable[[#This Row],[Converted data]]=""),"",(INDEX('Emission factors'!$K$3:$V$201,MATCH($B38&amp;$C38&amp;$D38,'Emission factors'!$J$3:$J$201&amp;'Emission factors'!$K$3:$K$201&amp;'Emission factors'!$L$3:$L$201,0),MATCH(O$37,'Emission factors'!$K$2:$V$2,0)))*$I38)</f>
        <v/>
      </c>
      <c r="P38" s="292" t="str" cm="1">
        <f t="array" ref="P38">IF(OR($C38="",$G38="",CommutingTable[[#This Row],[Converted data]]=""),"",(INDEX('Emission factors'!$K$3:$V$201,MATCH($B38&amp;$C38&amp;$D38,'Emission factors'!$J$3:$J$201&amp;'Emission factors'!$K$3:$K$201&amp;'Emission factors'!$L$3:$L$201,0),MATCH(P$37,'Emission factors'!$K$2:$V$2,0)))*$I38)</f>
        <v/>
      </c>
      <c r="Q38" s="292" t="str" cm="1">
        <f t="array" ref="Q38">IF(OR($C38="",$G38="",CommutingTable[[#This Row],[Converted data]]=""),"",(INDEX('Emission factors'!$K$3:$V$201,MATCH($B38&amp;$C38&amp;$D38,'Emission factors'!$J$3:$J$201&amp;'Emission factors'!$K$3:$K$201&amp;'Emission factors'!$L$3:$L$201,0),MATCH(Q$37,'Emission factors'!$K$2:$V$2,0)))*$I38)</f>
        <v/>
      </c>
      <c r="R38" s="292" t="str" cm="1">
        <f t="array" ref="R38">IF(OR($C38="",$G38="",CommutingTable[[#This Row],[Converted data]]=""),"",(INDEX('Emission factors'!$K$3:$V$201,MATCH($B38&amp;$C38&amp;$D38,'Emission factors'!$J$3:$J$201&amp;'Emission factors'!$K$3:$K$201&amp;'Emission factors'!$L$3:$L$201,0),MATCH(R$37,'Emission factors'!$K$2:$V$2,0)))*$I38)</f>
        <v/>
      </c>
      <c r="S38" s="292" t="str" cm="1">
        <f t="array" ref="S38">IF(OR($C38="",$G38="",CommutingTable[[#This Row],[Converted data]]=""),"",(INDEX('Emission factors'!$K$3:$V$201,MATCH($B38&amp;$C38&amp;$D38,'Emission factors'!$J$3:$J$201&amp;'Emission factors'!$K$3:$K$201&amp;'Emission factors'!$L$3:$L$201,0),MATCH(S$37,'Emission factors'!$K$2:$V$2,0)))*$I38)</f>
        <v/>
      </c>
      <c r="T38" s="293" t="str">
        <f t="shared" ref="T38:T61" si="7">IF(OR($L38="",$F38=""),"",$L38*(1+$F38))</f>
        <v/>
      </c>
      <c r="U38" s="333" t="str">
        <f t="shared" ref="U38:U61" si="8">IF(OR($L38="",$F38=""),"",$L38*(1-$F38))</f>
        <v/>
      </c>
      <c r="V38" s="327" t="str" cm="1">
        <f t="array" ref="V38">IF(OR($C38="",$G38="",CommutingTable[[#This Row],[Converted data]]=""),"",(INDEX('Emission factors'!$K$3:$V$201,MATCH($B38&amp;$C38&amp;$D38,'Emission factors'!$J$3:$J$201&amp;'Emission factors'!$K$3:$K$201&amp;'Emission factors'!$L$3:$L$201,0),MATCH(V$37,'Emission factors'!$K$2:$V$2,0)))*$I38)</f>
        <v/>
      </c>
      <c r="X38" s="1" cm="1">
        <f t="array" ref="X38">IF(OR(ISERROR(B38:V38)),1,0)</f>
        <v>0</v>
      </c>
      <c r="Y38" s="1">
        <f>IF(AND(D38="",G38="",H38=""),0,1)</f>
        <v>0</v>
      </c>
    </row>
    <row r="39" spans="1:25" ht="15" thickBot="1" x14ac:dyDescent="0.4">
      <c r="B39" s="198"/>
      <c r="C39" s="199"/>
      <c r="D39" s="199"/>
      <c r="E39" s="199"/>
      <c r="F39" s="137" t="str">
        <f>IF(E39="","",INDEX(Lists!$BA$4:$BC$31,MATCH('Business travel, commute, home'!$B39,Lists!$AZ$4:$AZ$31,0),MATCH('Business travel, commute, home'!E39,Lists!$BA$3:$BC$3,0)))</f>
        <v/>
      </c>
      <c r="G39" s="148"/>
      <c r="H39" s="199"/>
      <c r="I39" s="36" t="str" cm="1">
        <f t="array" ref="I39">IF(OR($B39="",$C39="",$D39="",H39=""),"",IF(H39=J39,G39,(INDEX('Emission factors'!$K$3:$V$276,MATCH($B39&amp;$C39&amp;$D39,'Emission factors'!$J$3:$J$276&amp;'Emission factors'!$K$3:$K$276&amp;'Emission factors'!$L$3:$L$276,0),MATCH('Business travel, commute, home'!I$7,'Emission factors'!$K$2:$V$2,0)))*G39))</f>
        <v/>
      </c>
      <c r="J39" s="35" t="str" cm="1">
        <f t="array" ref="J39">IF(OR($B39="",$C39="",$G39=""),"",INDEX('Emission factors'!$K$3:$V$276,MATCH($B39&amp;$C39&amp;$D39,'Emission factors'!$J$3:$J$276&amp;'Emission factors'!$K$3:$K$276&amp;'Emission factors'!$L$3:$L$276,0),MATCH('Business travel, commute, home'!J$7,'Emission factors'!$K$2:$V$2,0)))</f>
        <v/>
      </c>
      <c r="K39" s="35" t="str">
        <f t="array" ref="K39">IF(OR(B39="",C39="",D39=""),"",INDEX('Emission factors'!$K$3:$V$276,MATCH($B39&amp;$C39&amp;$D39,'Emission factors'!$J$3:$J$276&amp;'Emission factors'!$K$3:$K$276&amp;'Emission factors'!$L$3:$L$276,0),MATCH('Business travel, commute, home'!K$7,'Emission factors'!$K$2:$V$2,0)))</f>
        <v/>
      </c>
      <c r="L39" s="38" t="str">
        <f>IF(OR(I39="",K39=""),"",SUM(CommutingTable[[#This Row],[Direct]:[Indirect WTT]]))</f>
        <v/>
      </c>
      <c r="M39" s="201"/>
      <c r="N39" s="199"/>
      <c r="O39" s="292" t="str" cm="1">
        <f t="array" ref="O39">IF(OR($C39="",$G39="",CommutingTable[[#This Row],[Converted data]]=""),"",(INDEX('Emission factors'!$K$3:$V$201,MATCH($B39&amp;$C39&amp;$D39,'Emission factors'!$J$3:$J$201&amp;'Emission factors'!$K$3:$K$201&amp;'Emission factors'!$L$3:$L$201,0),MATCH(O$37,'Emission factors'!$K$2:$V$2,0)))*$I39)</f>
        <v/>
      </c>
      <c r="P39" s="292" t="str" cm="1">
        <f t="array" ref="P39">IF(OR($C39="",$G39="",CommutingTable[[#This Row],[Converted data]]=""),"",(INDEX('Emission factors'!$K$3:$V$201,MATCH($B39&amp;$C39&amp;$D39,'Emission factors'!$J$3:$J$201&amp;'Emission factors'!$K$3:$K$201&amp;'Emission factors'!$L$3:$L$201,0),MATCH(P$37,'Emission factors'!$K$2:$V$2,0)))*$I39)</f>
        <v/>
      </c>
      <c r="Q39" s="292" t="str" cm="1">
        <f t="array" ref="Q39">IF(OR($C39="",$G39="",CommutingTable[[#This Row],[Converted data]]=""),"",(INDEX('Emission factors'!$K$3:$V$201,MATCH($B39&amp;$C39&amp;$D39,'Emission factors'!$J$3:$J$201&amp;'Emission factors'!$K$3:$K$201&amp;'Emission factors'!$L$3:$L$201,0),MATCH(Q$37,'Emission factors'!$K$2:$V$2,0)))*$I39)</f>
        <v/>
      </c>
      <c r="R39" s="292" t="str" cm="1">
        <f t="array" ref="R39">IF(OR($C39="",$G39="",CommutingTable[[#This Row],[Converted data]]=""),"",(INDEX('Emission factors'!$K$3:$V$201,MATCH($B39&amp;$C39&amp;$D39,'Emission factors'!$J$3:$J$201&amp;'Emission factors'!$K$3:$K$201&amp;'Emission factors'!$L$3:$L$201,0),MATCH(R$37,'Emission factors'!$K$2:$V$2,0)))*$I39)</f>
        <v/>
      </c>
      <c r="S39" s="292" t="str" cm="1">
        <f t="array" ref="S39">IF(OR($C39="",$G39="",CommutingTable[[#This Row],[Converted data]]=""),"",(INDEX('Emission factors'!$K$3:$V$201,MATCH($B39&amp;$C39&amp;$D39,'Emission factors'!$J$3:$J$201&amp;'Emission factors'!$K$3:$K$201&amp;'Emission factors'!$L$3:$L$201,0),MATCH(S$37,'Emission factors'!$K$2:$V$2,0)))*$I39)</f>
        <v/>
      </c>
      <c r="T39" s="293" t="str">
        <f t="shared" si="7"/>
        <v/>
      </c>
      <c r="U39" s="333" t="str">
        <f t="shared" si="8"/>
        <v/>
      </c>
      <c r="V39" s="327" t="str" cm="1">
        <f t="array" ref="V39">IF(OR($C39="",$G39="",CommutingTable[[#This Row],[Converted data]]=""),"",(INDEX('Emission factors'!$K$3:$V$201,MATCH($B39&amp;$C39&amp;$D39,'Emission factors'!$J$3:$J$201&amp;'Emission factors'!$K$3:$K$201&amp;'Emission factors'!$L$3:$L$201,0),MATCH(V$37,'Emission factors'!$K$2:$V$2,0)))*$I39)</f>
        <v/>
      </c>
      <c r="X39" s="1" cm="1">
        <f t="array" ref="X39">IF(OR(ISERROR(B39:V39)),1,0)</f>
        <v>0</v>
      </c>
      <c r="Y39" s="1">
        <f t="shared" ref="Y39:Y61" si="9">IF(AND(D39="",G39="",H39=""),0,1)</f>
        <v>0</v>
      </c>
    </row>
    <row r="40" spans="1:25" ht="15" thickBot="1" x14ac:dyDescent="0.4">
      <c r="B40" s="198"/>
      <c r="C40" s="199"/>
      <c r="D40" s="199"/>
      <c r="E40" s="199"/>
      <c r="F40" s="137" t="str">
        <f>IF(E40="","",INDEX(Lists!$BA$4:$BC$31,MATCH('Business travel, commute, home'!$B40,Lists!$AZ$4:$AZ$31,0),MATCH('Business travel, commute, home'!E40,Lists!$BA$3:$BC$3,0)))</f>
        <v/>
      </c>
      <c r="G40" s="148"/>
      <c r="H40" s="199"/>
      <c r="I40" s="36" t="str" cm="1">
        <f t="array" ref="I40">IF(OR($B40="",$C40="",$D40="",H40=""),"",IF(H40=J40,G40,(INDEX('Emission factors'!$K$3:$V$276,MATCH($B40&amp;$C40&amp;$D40,'Emission factors'!$J$3:$J$276&amp;'Emission factors'!$K$3:$K$276&amp;'Emission factors'!$L$3:$L$276,0),MATCH('Business travel, commute, home'!I$7,'Emission factors'!$K$2:$V$2,0)))*G40))</f>
        <v/>
      </c>
      <c r="J40" s="35" t="str" cm="1">
        <f t="array" ref="J40">IF(OR($B40="",$C40="",$G40=""),"",INDEX('Emission factors'!$K$3:$V$276,MATCH($B40&amp;$C40&amp;$D40,'Emission factors'!$J$3:$J$276&amp;'Emission factors'!$K$3:$K$276&amp;'Emission factors'!$L$3:$L$276,0),MATCH('Business travel, commute, home'!J$7,'Emission factors'!$K$2:$V$2,0)))</f>
        <v/>
      </c>
      <c r="K40" s="35" t="str">
        <f t="array" ref="K40">IF(OR(B40="",C40="",D40=""),"",INDEX('Emission factors'!$K$3:$V$276,MATCH($B40&amp;$C40&amp;$D40,'Emission factors'!$J$3:$J$276&amp;'Emission factors'!$K$3:$K$276&amp;'Emission factors'!$L$3:$L$276,0),MATCH('Business travel, commute, home'!K$7,'Emission factors'!$K$2:$V$2,0)))</f>
        <v/>
      </c>
      <c r="L40" s="38" t="str">
        <f>IF(OR(I40="",K40=""),"",SUM(CommutingTable[[#This Row],[Direct]:[Indirect WTT]]))</f>
        <v/>
      </c>
      <c r="M40" s="201"/>
      <c r="N40" s="199"/>
      <c r="O40" s="292" t="str" cm="1">
        <f t="array" ref="O40">IF(OR($C40="",$G40="",CommutingTable[[#This Row],[Converted data]]=""),"",(INDEX('Emission factors'!$K$3:$V$201,MATCH($B40&amp;$C40&amp;$D40,'Emission factors'!$J$3:$J$201&amp;'Emission factors'!$K$3:$K$201&amp;'Emission factors'!$L$3:$L$201,0),MATCH(O$37,'Emission factors'!$K$2:$V$2,0)))*$I40)</f>
        <v/>
      </c>
      <c r="P40" s="292" t="str" cm="1">
        <f t="array" ref="P40">IF(OR($C40="",$G40="",CommutingTable[[#This Row],[Converted data]]=""),"",(INDEX('Emission factors'!$K$3:$V$201,MATCH($B40&amp;$C40&amp;$D40,'Emission factors'!$J$3:$J$201&amp;'Emission factors'!$K$3:$K$201&amp;'Emission factors'!$L$3:$L$201,0),MATCH(P$37,'Emission factors'!$K$2:$V$2,0)))*$I40)</f>
        <v/>
      </c>
      <c r="Q40" s="292" t="str" cm="1">
        <f t="array" ref="Q40">IF(OR($C40="",$G40="",CommutingTable[[#This Row],[Converted data]]=""),"",(INDEX('Emission factors'!$K$3:$V$201,MATCH($B40&amp;$C40&amp;$D40,'Emission factors'!$J$3:$J$201&amp;'Emission factors'!$K$3:$K$201&amp;'Emission factors'!$L$3:$L$201,0),MATCH(Q$37,'Emission factors'!$K$2:$V$2,0)))*$I40)</f>
        <v/>
      </c>
      <c r="R40" s="292" t="str" cm="1">
        <f t="array" ref="R40">IF(OR($C40="",$G40="",CommutingTable[[#This Row],[Converted data]]=""),"",(INDEX('Emission factors'!$K$3:$V$201,MATCH($B40&amp;$C40&amp;$D40,'Emission factors'!$J$3:$J$201&amp;'Emission factors'!$K$3:$K$201&amp;'Emission factors'!$L$3:$L$201,0),MATCH(R$37,'Emission factors'!$K$2:$V$2,0)))*$I40)</f>
        <v/>
      </c>
      <c r="S40" s="292" t="str" cm="1">
        <f t="array" ref="S40">IF(OR($C40="",$G40="",CommutingTable[[#This Row],[Converted data]]=""),"",(INDEX('Emission factors'!$K$3:$V$201,MATCH($B40&amp;$C40&amp;$D40,'Emission factors'!$J$3:$J$201&amp;'Emission factors'!$K$3:$K$201&amp;'Emission factors'!$L$3:$L$201,0),MATCH(S$37,'Emission factors'!$K$2:$V$2,0)))*$I40)</f>
        <v/>
      </c>
      <c r="T40" s="293" t="str">
        <f t="shared" si="7"/>
        <v/>
      </c>
      <c r="U40" s="333" t="str">
        <f t="shared" si="8"/>
        <v/>
      </c>
      <c r="V40" s="327" t="str" cm="1">
        <f t="array" ref="V40">IF(OR($C40="",$G40="",CommutingTable[[#This Row],[Converted data]]=""),"",(INDEX('Emission factors'!$K$3:$V$201,MATCH($B40&amp;$C40&amp;$D40,'Emission factors'!$J$3:$J$201&amp;'Emission factors'!$K$3:$K$201&amp;'Emission factors'!$L$3:$L$201,0),MATCH(V$37,'Emission factors'!$K$2:$V$2,0)))*$I40)</f>
        <v/>
      </c>
      <c r="X40" s="1" cm="1">
        <f t="array" ref="X40">IF(OR(ISERROR(B40:V40)),1,0)</f>
        <v>0</v>
      </c>
      <c r="Y40" s="1">
        <f t="shared" si="9"/>
        <v>0</v>
      </c>
    </row>
    <row r="41" spans="1:25" ht="15" thickBot="1" x14ac:dyDescent="0.4">
      <c r="B41" s="198"/>
      <c r="C41" s="199"/>
      <c r="D41" s="199"/>
      <c r="E41" s="199"/>
      <c r="F41" s="137" t="str">
        <f>IF(E41="","",INDEX(Lists!$BA$4:$BC$31,MATCH('Business travel, commute, home'!$B41,Lists!$AZ$4:$AZ$31,0),MATCH('Business travel, commute, home'!E41,Lists!$BA$3:$BC$3,0)))</f>
        <v/>
      </c>
      <c r="G41" s="148"/>
      <c r="H41" s="199"/>
      <c r="I41" s="36" t="str" cm="1">
        <f t="array" ref="I41">IF(OR($B41="",$C41="",$D41="",H41=""),"",IF(H41=J41,G41,(INDEX('Emission factors'!$K$3:$V$276,MATCH($B41&amp;$C41&amp;$D41,'Emission factors'!$J$3:$J$276&amp;'Emission factors'!$K$3:$K$276&amp;'Emission factors'!$L$3:$L$276,0),MATCH('Business travel, commute, home'!I$7,'Emission factors'!$K$2:$V$2,0)))*G41))</f>
        <v/>
      </c>
      <c r="J41" s="35" t="str" cm="1">
        <f t="array" ref="J41">IF(OR($B41="",$C41="",$G41=""),"",INDEX('Emission factors'!$K$3:$V$276,MATCH($B41&amp;$C41&amp;$D41,'Emission factors'!$J$3:$J$276&amp;'Emission factors'!$K$3:$K$276&amp;'Emission factors'!$L$3:$L$276,0),MATCH('Business travel, commute, home'!J$7,'Emission factors'!$K$2:$V$2,0)))</f>
        <v/>
      </c>
      <c r="K41" s="35" t="str">
        <f t="array" ref="K41">IF(OR(B41="",C41="",D41=""),"",INDEX('Emission factors'!$K$3:$V$276,MATCH($B41&amp;$C41&amp;$D41,'Emission factors'!$J$3:$J$276&amp;'Emission factors'!$K$3:$K$276&amp;'Emission factors'!$L$3:$L$276,0),MATCH('Business travel, commute, home'!K$7,'Emission factors'!$K$2:$V$2,0)))</f>
        <v/>
      </c>
      <c r="L41" s="38" t="str">
        <f>IF(OR(I41="",K41=""),"",SUM(CommutingTable[[#This Row],[Direct]:[Indirect WTT]]))</f>
        <v/>
      </c>
      <c r="M41" s="201"/>
      <c r="N41" s="199"/>
      <c r="O41" s="292" t="str" cm="1">
        <f t="array" ref="O41">IF(OR($C41="",$G41="",CommutingTable[[#This Row],[Converted data]]=""),"",(INDEX('Emission factors'!$K$3:$V$201,MATCH($B41&amp;$C41&amp;$D41,'Emission factors'!$J$3:$J$201&amp;'Emission factors'!$K$3:$K$201&amp;'Emission factors'!$L$3:$L$201,0),MATCH(O$37,'Emission factors'!$K$2:$V$2,0)))*$I41)</f>
        <v/>
      </c>
      <c r="P41" s="292" t="str" cm="1">
        <f t="array" ref="P41">IF(OR($C41="",$G41="",CommutingTable[[#This Row],[Converted data]]=""),"",(INDEX('Emission factors'!$K$3:$V$201,MATCH($B41&amp;$C41&amp;$D41,'Emission factors'!$J$3:$J$201&amp;'Emission factors'!$K$3:$K$201&amp;'Emission factors'!$L$3:$L$201,0),MATCH(P$37,'Emission factors'!$K$2:$V$2,0)))*$I41)</f>
        <v/>
      </c>
      <c r="Q41" s="292" t="str" cm="1">
        <f t="array" ref="Q41">IF(OR($C41="",$G41="",CommutingTable[[#This Row],[Converted data]]=""),"",(INDEX('Emission factors'!$K$3:$V$201,MATCH($B41&amp;$C41&amp;$D41,'Emission factors'!$J$3:$J$201&amp;'Emission factors'!$K$3:$K$201&amp;'Emission factors'!$L$3:$L$201,0),MATCH(Q$37,'Emission factors'!$K$2:$V$2,0)))*$I41)</f>
        <v/>
      </c>
      <c r="R41" s="292" t="str" cm="1">
        <f t="array" ref="R41">IF(OR($C41="",$G41="",CommutingTable[[#This Row],[Converted data]]=""),"",(INDEX('Emission factors'!$K$3:$V$201,MATCH($B41&amp;$C41&amp;$D41,'Emission factors'!$J$3:$J$201&amp;'Emission factors'!$K$3:$K$201&amp;'Emission factors'!$L$3:$L$201,0),MATCH(R$37,'Emission factors'!$K$2:$V$2,0)))*$I41)</f>
        <v/>
      </c>
      <c r="S41" s="292" t="str" cm="1">
        <f t="array" ref="S41">IF(OR($C41="",$G41="",CommutingTable[[#This Row],[Converted data]]=""),"",(INDEX('Emission factors'!$K$3:$V$201,MATCH($B41&amp;$C41&amp;$D41,'Emission factors'!$J$3:$J$201&amp;'Emission factors'!$K$3:$K$201&amp;'Emission factors'!$L$3:$L$201,0),MATCH(S$37,'Emission factors'!$K$2:$V$2,0)))*$I41)</f>
        <v/>
      </c>
      <c r="T41" s="293" t="str">
        <f t="shared" si="7"/>
        <v/>
      </c>
      <c r="U41" s="333" t="str">
        <f t="shared" si="8"/>
        <v/>
      </c>
      <c r="V41" s="327" t="str" cm="1">
        <f t="array" ref="V41">IF(OR($C41="",$G41="",CommutingTable[[#This Row],[Converted data]]=""),"",(INDEX('Emission factors'!$K$3:$V$201,MATCH($B41&amp;$C41&amp;$D41,'Emission factors'!$J$3:$J$201&amp;'Emission factors'!$K$3:$K$201&amp;'Emission factors'!$L$3:$L$201,0),MATCH(V$37,'Emission factors'!$K$2:$V$2,0)))*$I41)</f>
        <v/>
      </c>
      <c r="X41" s="1" cm="1">
        <f t="array" ref="X41">IF(OR(ISERROR(B41:V41)),1,0)</f>
        <v>0</v>
      </c>
      <c r="Y41" s="1">
        <f t="shared" si="9"/>
        <v>0</v>
      </c>
    </row>
    <row r="42" spans="1:25" ht="15" thickBot="1" x14ac:dyDescent="0.4">
      <c r="B42" s="198"/>
      <c r="C42" s="199"/>
      <c r="D42" s="199"/>
      <c r="E42" s="199"/>
      <c r="F42" s="137" t="str">
        <f>IF(E42="","",INDEX(Lists!$BA$4:$BC$31,MATCH('Business travel, commute, home'!$B42,Lists!$AZ$4:$AZ$31,0),MATCH('Business travel, commute, home'!E42,Lists!$BA$3:$BC$3,0)))</f>
        <v/>
      </c>
      <c r="G42" s="148"/>
      <c r="H42" s="199"/>
      <c r="I42" s="36" t="str" cm="1">
        <f t="array" ref="I42">IF(OR($B42="",$C42="",$D42="",H42=""),"",IF(H42=J42,G42,(INDEX('Emission factors'!$K$3:$V$276,MATCH($B42&amp;$C42&amp;$D42,'Emission factors'!$J$3:$J$276&amp;'Emission factors'!$K$3:$K$276&amp;'Emission factors'!$L$3:$L$276,0),MATCH('Business travel, commute, home'!I$7,'Emission factors'!$K$2:$V$2,0)))*G42))</f>
        <v/>
      </c>
      <c r="J42" s="35" t="str" cm="1">
        <f t="array" ref="J42">IF(OR($B42="",$C42="",$G42=""),"",INDEX('Emission factors'!$K$3:$V$276,MATCH($B42&amp;$C42&amp;$D42,'Emission factors'!$J$3:$J$276&amp;'Emission factors'!$K$3:$K$276&amp;'Emission factors'!$L$3:$L$276,0),MATCH('Business travel, commute, home'!J$7,'Emission factors'!$K$2:$V$2,0)))</f>
        <v/>
      </c>
      <c r="K42" s="35" t="str">
        <f t="array" ref="K42">IF(OR(B42="",C42="",D42=""),"",INDEX('Emission factors'!$K$3:$V$276,MATCH($B42&amp;$C42&amp;$D42,'Emission factors'!$J$3:$J$276&amp;'Emission factors'!$K$3:$K$276&amp;'Emission factors'!$L$3:$L$276,0),MATCH('Business travel, commute, home'!K$7,'Emission factors'!$K$2:$V$2,0)))</f>
        <v/>
      </c>
      <c r="L42" s="38" t="str">
        <f>IF(OR(I42="",K42=""),"",SUM(CommutingTable[[#This Row],[Direct]:[Indirect WTT]]))</f>
        <v/>
      </c>
      <c r="M42" s="201"/>
      <c r="N42" s="199"/>
      <c r="O42" s="292" t="str" cm="1">
        <f t="array" ref="O42">IF(OR($C42="",$G42="",CommutingTable[[#This Row],[Converted data]]=""),"",(INDEX('Emission factors'!$K$3:$V$201,MATCH($B42&amp;$C42&amp;$D42,'Emission factors'!$J$3:$J$201&amp;'Emission factors'!$K$3:$K$201&amp;'Emission factors'!$L$3:$L$201,0),MATCH(O$37,'Emission factors'!$K$2:$V$2,0)))*$I42)</f>
        <v/>
      </c>
      <c r="P42" s="292" t="str" cm="1">
        <f t="array" ref="P42">IF(OR($C42="",$G42="",CommutingTable[[#This Row],[Converted data]]=""),"",(INDEX('Emission factors'!$K$3:$V$201,MATCH($B42&amp;$C42&amp;$D42,'Emission factors'!$J$3:$J$201&amp;'Emission factors'!$K$3:$K$201&amp;'Emission factors'!$L$3:$L$201,0),MATCH(P$37,'Emission factors'!$K$2:$V$2,0)))*$I42)</f>
        <v/>
      </c>
      <c r="Q42" s="292" t="str" cm="1">
        <f t="array" ref="Q42">IF(OR($C42="",$G42="",CommutingTable[[#This Row],[Converted data]]=""),"",(INDEX('Emission factors'!$K$3:$V$201,MATCH($B42&amp;$C42&amp;$D42,'Emission factors'!$J$3:$J$201&amp;'Emission factors'!$K$3:$K$201&amp;'Emission factors'!$L$3:$L$201,0),MATCH(Q$37,'Emission factors'!$K$2:$V$2,0)))*$I42)</f>
        <v/>
      </c>
      <c r="R42" s="292" t="str" cm="1">
        <f t="array" ref="R42">IF(OR($C42="",$G42="",CommutingTable[[#This Row],[Converted data]]=""),"",(INDEX('Emission factors'!$K$3:$V$201,MATCH($B42&amp;$C42&amp;$D42,'Emission factors'!$J$3:$J$201&amp;'Emission factors'!$K$3:$K$201&amp;'Emission factors'!$L$3:$L$201,0),MATCH(R$37,'Emission factors'!$K$2:$V$2,0)))*$I42)</f>
        <v/>
      </c>
      <c r="S42" s="292" t="str" cm="1">
        <f t="array" ref="S42">IF(OR($C42="",$G42="",CommutingTable[[#This Row],[Converted data]]=""),"",(INDEX('Emission factors'!$K$3:$V$201,MATCH($B42&amp;$C42&amp;$D42,'Emission factors'!$J$3:$J$201&amp;'Emission factors'!$K$3:$K$201&amp;'Emission factors'!$L$3:$L$201,0),MATCH(S$37,'Emission factors'!$K$2:$V$2,0)))*$I42)</f>
        <v/>
      </c>
      <c r="T42" s="293" t="str">
        <f t="shared" si="7"/>
        <v/>
      </c>
      <c r="U42" s="333" t="str">
        <f t="shared" si="8"/>
        <v/>
      </c>
      <c r="V42" s="327" t="str" cm="1">
        <f t="array" ref="V42">IF(OR($C42="",$G42="",CommutingTable[[#This Row],[Converted data]]=""),"",(INDEX('Emission factors'!$K$3:$V$201,MATCH($B42&amp;$C42&amp;$D42,'Emission factors'!$J$3:$J$201&amp;'Emission factors'!$K$3:$K$201&amp;'Emission factors'!$L$3:$L$201,0),MATCH(V$37,'Emission factors'!$K$2:$V$2,0)))*$I42)</f>
        <v/>
      </c>
      <c r="X42" s="1" cm="1">
        <f t="array" ref="X42">IF(OR(ISERROR(B42:V42)),1,0)</f>
        <v>0</v>
      </c>
      <c r="Y42" s="1">
        <f t="shared" si="9"/>
        <v>0</v>
      </c>
    </row>
    <row r="43" spans="1:25" ht="15" thickBot="1" x14ac:dyDescent="0.4">
      <c r="B43" s="198"/>
      <c r="C43" s="199"/>
      <c r="D43" s="199"/>
      <c r="E43" s="199"/>
      <c r="F43" s="137" t="str">
        <f>IF(E43="","",INDEX(Lists!$BA$4:$BC$31,MATCH('Business travel, commute, home'!$B43,Lists!$AZ$4:$AZ$31,0),MATCH('Business travel, commute, home'!E43,Lists!$BA$3:$BC$3,0)))</f>
        <v/>
      </c>
      <c r="G43" s="148"/>
      <c r="H43" s="199"/>
      <c r="I43" s="36" t="str" cm="1">
        <f t="array" ref="I43">IF(OR($B43="",$C43="",$D43="",H43=""),"",IF(H43=J43,G43,(INDEX('Emission factors'!$K$3:$V$276,MATCH($B43&amp;$C43&amp;$D43,'Emission factors'!$J$3:$J$276&amp;'Emission factors'!$K$3:$K$276&amp;'Emission factors'!$L$3:$L$276,0),MATCH('Business travel, commute, home'!I$7,'Emission factors'!$K$2:$V$2,0)))*G43))</f>
        <v/>
      </c>
      <c r="J43" s="35" t="str" cm="1">
        <f t="array" ref="J43">IF(OR($B43="",$C43="",$G43=""),"",INDEX('Emission factors'!$K$3:$V$276,MATCH($B43&amp;$C43&amp;$D43,'Emission factors'!$J$3:$J$276&amp;'Emission factors'!$K$3:$K$276&amp;'Emission factors'!$L$3:$L$276,0),MATCH('Business travel, commute, home'!J$7,'Emission factors'!$K$2:$V$2,0)))</f>
        <v/>
      </c>
      <c r="K43" s="35" t="str">
        <f t="array" ref="K43">IF(OR(B43="",C43="",D43=""),"",INDEX('Emission factors'!$K$3:$V$276,MATCH($B43&amp;$C43&amp;$D43,'Emission factors'!$J$3:$J$276&amp;'Emission factors'!$K$3:$K$276&amp;'Emission factors'!$L$3:$L$276,0),MATCH('Business travel, commute, home'!K$7,'Emission factors'!$K$2:$V$2,0)))</f>
        <v/>
      </c>
      <c r="L43" s="38" t="str">
        <f>IF(OR(I43="",K43=""),"",SUM(CommutingTable[[#This Row],[Direct]:[Indirect WTT]]))</f>
        <v/>
      </c>
      <c r="M43" s="201"/>
      <c r="N43" s="199"/>
      <c r="O43" s="292" t="str" cm="1">
        <f t="array" ref="O43">IF(OR($C43="",$G43="",CommutingTable[[#This Row],[Converted data]]=""),"",(INDEX('Emission factors'!$K$3:$V$201,MATCH($B43&amp;$C43&amp;$D43,'Emission factors'!$J$3:$J$201&amp;'Emission factors'!$K$3:$K$201&amp;'Emission factors'!$L$3:$L$201,0),MATCH(O$37,'Emission factors'!$K$2:$V$2,0)))*$I43)</f>
        <v/>
      </c>
      <c r="P43" s="292" t="str" cm="1">
        <f t="array" ref="P43">IF(OR($C43="",$G43="",CommutingTable[[#This Row],[Converted data]]=""),"",(INDEX('Emission factors'!$K$3:$V$201,MATCH($B43&amp;$C43&amp;$D43,'Emission factors'!$J$3:$J$201&amp;'Emission factors'!$K$3:$K$201&amp;'Emission factors'!$L$3:$L$201,0),MATCH(P$37,'Emission factors'!$K$2:$V$2,0)))*$I43)</f>
        <v/>
      </c>
      <c r="Q43" s="292" t="str" cm="1">
        <f t="array" ref="Q43">IF(OR($C43="",$G43="",CommutingTable[[#This Row],[Converted data]]=""),"",(INDEX('Emission factors'!$K$3:$V$201,MATCH($B43&amp;$C43&amp;$D43,'Emission factors'!$J$3:$J$201&amp;'Emission factors'!$K$3:$K$201&amp;'Emission factors'!$L$3:$L$201,0),MATCH(Q$37,'Emission factors'!$K$2:$V$2,0)))*$I43)</f>
        <v/>
      </c>
      <c r="R43" s="292" t="str" cm="1">
        <f t="array" ref="R43">IF(OR($C43="",$G43="",CommutingTable[[#This Row],[Converted data]]=""),"",(INDEX('Emission factors'!$K$3:$V$201,MATCH($B43&amp;$C43&amp;$D43,'Emission factors'!$J$3:$J$201&amp;'Emission factors'!$K$3:$K$201&amp;'Emission factors'!$L$3:$L$201,0),MATCH(R$37,'Emission factors'!$K$2:$V$2,0)))*$I43)</f>
        <v/>
      </c>
      <c r="S43" s="292" t="str" cm="1">
        <f t="array" ref="S43">IF(OR($C43="",$G43="",CommutingTable[[#This Row],[Converted data]]=""),"",(INDEX('Emission factors'!$K$3:$V$201,MATCH($B43&amp;$C43&amp;$D43,'Emission factors'!$J$3:$J$201&amp;'Emission factors'!$K$3:$K$201&amp;'Emission factors'!$L$3:$L$201,0),MATCH(S$37,'Emission factors'!$K$2:$V$2,0)))*$I43)</f>
        <v/>
      </c>
      <c r="T43" s="293" t="str">
        <f t="shared" si="7"/>
        <v/>
      </c>
      <c r="U43" s="333" t="str">
        <f t="shared" si="8"/>
        <v/>
      </c>
      <c r="V43" s="327" t="str" cm="1">
        <f t="array" ref="V43">IF(OR($C43="",$G43="",CommutingTable[[#This Row],[Converted data]]=""),"",(INDEX('Emission factors'!$K$3:$V$201,MATCH($B43&amp;$C43&amp;$D43,'Emission factors'!$J$3:$J$201&amp;'Emission factors'!$K$3:$K$201&amp;'Emission factors'!$L$3:$L$201,0),MATCH(V$37,'Emission factors'!$K$2:$V$2,0)))*$I43)</f>
        <v/>
      </c>
      <c r="X43" s="1" cm="1">
        <f t="array" ref="X43">IF(OR(ISERROR(B43:V43)),1,0)</f>
        <v>0</v>
      </c>
      <c r="Y43" s="1">
        <f t="shared" si="9"/>
        <v>0</v>
      </c>
    </row>
    <row r="44" spans="1:25" ht="15" thickBot="1" x14ac:dyDescent="0.4">
      <c r="B44" s="198"/>
      <c r="C44" s="199"/>
      <c r="D44" s="199"/>
      <c r="E44" s="199"/>
      <c r="F44" s="137" t="str">
        <f>IF(E44="","",INDEX(Lists!$BA$4:$BC$31,MATCH('Business travel, commute, home'!$B44,Lists!$AZ$4:$AZ$31,0),MATCH('Business travel, commute, home'!E44,Lists!$BA$3:$BC$3,0)))</f>
        <v/>
      </c>
      <c r="G44" s="148"/>
      <c r="H44" s="199"/>
      <c r="I44" s="36" t="str" cm="1">
        <f t="array" ref="I44">IF(OR($B44="",$C44="",$D44="",H44=""),"",IF(H44=J44,G44,(INDEX('Emission factors'!$K$3:$V$276,MATCH($B44&amp;$C44&amp;$D44,'Emission factors'!$J$3:$J$276&amp;'Emission factors'!$K$3:$K$276&amp;'Emission factors'!$L$3:$L$276,0),MATCH('Business travel, commute, home'!I$7,'Emission factors'!$K$2:$V$2,0)))*G44))</f>
        <v/>
      </c>
      <c r="J44" s="35" t="str" cm="1">
        <f t="array" ref="J44">IF(OR($B44="",$C44="",$G44=""),"",INDEX('Emission factors'!$K$3:$V$276,MATCH($B44&amp;$C44&amp;$D44,'Emission factors'!$J$3:$J$276&amp;'Emission factors'!$K$3:$K$276&amp;'Emission factors'!$L$3:$L$276,0),MATCH('Business travel, commute, home'!J$7,'Emission factors'!$K$2:$V$2,0)))</f>
        <v/>
      </c>
      <c r="K44" s="35" t="str" cm="1">
        <f t="array" ref="K44">IF(OR(B44="",C44="",D44=""),"",INDEX('Emission factors'!$K$3:$V$276,MATCH($B44&amp;$C44&amp;$D44,'Emission factors'!$J$3:$J$276&amp;'Emission factors'!$K$3:$K$276&amp;'Emission factors'!$L$3:$L$276,0),MATCH('Business travel, commute, home'!K$7,'Emission factors'!$K$2:$V$2,0)))</f>
        <v/>
      </c>
      <c r="L44" s="38" t="str">
        <f>IF(OR(I44="",K44=""),"",SUM(CommutingTable[[#This Row],[Direct]:[Indirect WTT]]))</f>
        <v/>
      </c>
      <c r="M44" s="201"/>
      <c r="N44" s="199"/>
      <c r="O44" s="292" t="str" cm="1">
        <f t="array" ref="O44">IF(OR($C44="",$G44="",CommutingTable[[#This Row],[Converted data]]=""),"",(INDEX('Emission factors'!$K$3:$V$201,MATCH($B44&amp;$C44&amp;$D44,'Emission factors'!$J$3:$J$201&amp;'Emission factors'!$K$3:$K$201&amp;'Emission factors'!$L$3:$L$201,0),MATCH(O$37,'Emission factors'!$K$2:$V$2,0)))*$I44)</f>
        <v/>
      </c>
      <c r="P44" s="292" t="str" cm="1">
        <f t="array" ref="P44">IF(OR($C44="",$G44="",CommutingTable[[#This Row],[Converted data]]=""),"",(INDEX('Emission factors'!$K$3:$V$201,MATCH($B44&amp;$C44&amp;$D44,'Emission factors'!$J$3:$J$201&amp;'Emission factors'!$K$3:$K$201&amp;'Emission factors'!$L$3:$L$201,0),MATCH(P$37,'Emission factors'!$K$2:$V$2,0)))*$I44)</f>
        <v/>
      </c>
      <c r="Q44" s="292" t="str" cm="1">
        <f t="array" ref="Q44">IF(OR($C44="",$G44="",CommutingTable[[#This Row],[Converted data]]=""),"",(INDEX('Emission factors'!$K$3:$V$201,MATCH($B44&amp;$C44&amp;$D44,'Emission factors'!$J$3:$J$201&amp;'Emission factors'!$K$3:$K$201&amp;'Emission factors'!$L$3:$L$201,0),MATCH(Q$37,'Emission factors'!$K$2:$V$2,0)))*$I44)</f>
        <v/>
      </c>
      <c r="R44" s="292" t="str" cm="1">
        <f t="array" ref="R44">IF(OR($C44="",$G44="",CommutingTable[[#This Row],[Converted data]]=""),"",(INDEX('Emission factors'!$K$3:$V$201,MATCH($B44&amp;$C44&amp;$D44,'Emission factors'!$J$3:$J$201&amp;'Emission factors'!$K$3:$K$201&amp;'Emission factors'!$L$3:$L$201,0),MATCH(R$37,'Emission factors'!$K$2:$V$2,0)))*$I44)</f>
        <v/>
      </c>
      <c r="S44" s="292" t="str" cm="1">
        <f t="array" ref="S44">IF(OR($C44="",$G44="",CommutingTable[[#This Row],[Converted data]]=""),"",(INDEX('Emission factors'!$K$3:$V$201,MATCH($B44&amp;$C44&amp;$D44,'Emission factors'!$J$3:$J$201&amp;'Emission factors'!$K$3:$K$201&amp;'Emission factors'!$L$3:$L$201,0),MATCH(S$37,'Emission factors'!$K$2:$V$2,0)))*$I44)</f>
        <v/>
      </c>
      <c r="T44" s="293" t="str">
        <f t="shared" si="7"/>
        <v/>
      </c>
      <c r="U44" s="333" t="str">
        <f t="shared" si="8"/>
        <v/>
      </c>
      <c r="V44" s="327" t="str" cm="1">
        <f t="array" ref="V44">IF(OR($C44="",$G44="",CommutingTable[[#This Row],[Converted data]]=""),"",(INDEX('Emission factors'!$K$3:$V$201,MATCH($B44&amp;$C44&amp;$D44,'Emission factors'!$J$3:$J$201&amp;'Emission factors'!$K$3:$K$201&amp;'Emission factors'!$L$3:$L$201,0),MATCH(V$37,'Emission factors'!$K$2:$V$2,0)))*$I44)</f>
        <v/>
      </c>
      <c r="X44" s="1" cm="1">
        <f t="array" ref="X44">IF(OR(ISERROR(B44:V44)),1,0)</f>
        <v>0</v>
      </c>
      <c r="Y44" s="1">
        <f t="shared" si="9"/>
        <v>0</v>
      </c>
    </row>
    <row r="45" spans="1:25" ht="15" thickBot="1" x14ac:dyDescent="0.4">
      <c r="B45" s="198"/>
      <c r="C45" s="199"/>
      <c r="D45" s="199"/>
      <c r="E45" s="199"/>
      <c r="F45" s="137" t="str">
        <f>IF(E45="","",INDEX(Lists!$BA$4:$BC$31,MATCH('Business travel, commute, home'!$B45,Lists!$AZ$4:$AZ$31,0),MATCH('Business travel, commute, home'!E45,Lists!$BA$3:$BC$3,0)))</f>
        <v/>
      </c>
      <c r="G45" s="148"/>
      <c r="H45" s="199"/>
      <c r="I45" s="36" t="str" cm="1">
        <f t="array" ref="I45">IF(OR($B45="",$C45="",$D45="",H45=""),"",IF(H45=J45,G45,(INDEX('Emission factors'!$K$3:$V$276,MATCH($B45&amp;$C45&amp;$D45,'Emission factors'!$J$3:$J$276&amp;'Emission factors'!$K$3:$K$276&amp;'Emission factors'!$L$3:$L$276,0),MATCH('Business travel, commute, home'!I$7,'Emission factors'!$K$2:$V$2,0)))*G45))</f>
        <v/>
      </c>
      <c r="J45" s="35" t="str" cm="1">
        <f t="array" ref="J45">IF(OR($B45="",$C45="",$G45=""),"",INDEX('Emission factors'!$K$3:$V$276,MATCH($B45&amp;$C45&amp;$D45,'Emission factors'!$J$3:$J$276&amp;'Emission factors'!$K$3:$K$276&amp;'Emission factors'!$L$3:$L$276,0),MATCH('Business travel, commute, home'!J$7,'Emission factors'!$K$2:$V$2,0)))</f>
        <v/>
      </c>
      <c r="K45" s="35" t="str" cm="1">
        <f t="array" ref="K45">IF(OR(B45="",C45="",D45=""),"",INDEX('Emission factors'!$K$3:$V$276,MATCH($B45&amp;$C45&amp;$D45,'Emission factors'!$J$3:$J$276&amp;'Emission factors'!$K$3:$K$276&amp;'Emission factors'!$L$3:$L$276,0),MATCH('Business travel, commute, home'!K$7,'Emission factors'!$K$2:$V$2,0)))</f>
        <v/>
      </c>
      <c r="L45" s="38" t="str">
        <f>IF(OR(I45="",K45=""),"",SUM(CommutingTable[[#This Row],[Direct]:[Indirect WTT]]))</f>
        <v/>
      </c>
      <c r="M45" s="201"/>
      <c r="N45" s="199"/>
      <c r="O45" s="292" t="str" cm="1">
        <f t="array" ref="O45">IF(OR($C45="",$G45="",CommutingTable[[#This Row],[Converted data]]=""),"",(INDEX('Emission factors'!$K$3:$V$201,MATCH($B45&amp;$C45&amp;$D45,'Emission factors'!$J$3:$J$201&amp;'Emission factors'!$K$3:$K$201&amp;'Emission factors'!$L$3:$L$201,0),MATCH(O$37,'Emission factors'!$K$2:$V$2,0)))*$I45)</f>
        <v/>
      </c>
      <c r="P45" s="292" t="str" cm="1">
        <f t="array" ref="P45">IF(OR($C45="",$G45="",CommutingTable[[#This Row],[Converted data]]=""),"",(INDEX('Emission factors'!$K$3:$V$201,MATCH($B45&amp;$C45&amp;$D45,'Emission factors'!$J$3:$J$201&amp;'Emission factors'!$K$3:$K$201&amp;'Emission factors'!$L$3:$L$201,0),MATCH(P$37,'Emission factors'!$K$2:$V$2,0)))*$I45)</f>
        <v/>
      </c>
      <c r="Q45" s="292" t="str" cm="1">
        <f t="array" ref="Q45">IF(OR($C45="",$G45="",CommutingTable[[#This Row],[Converted data]]=""),"",(INDEX('Emission factors'!$K$3:$V$201,MATCH($B45&amp;$C45&amp;$D45,'Emission factors'!$J$3:$J$201&amp;'Emission factors'!$K$3:$K$201&amp;'Emission factors'!$L$3:$L$201,0),MATCH(Q$37,'Emission factors'!$K$2:$V$2,0)))*$I45)</f>
        <v/>
      </c>
      <c r="R45" s="292" t="str" cm="1">
        <f t="array" ref="R45">IF(OR($C45="",$G45="",CommutingTable[[#This Row],[Converted data]]=""),"",(INDEX('Emission factors'!$K$3:$V$201,MATCH($B45&amp;$C45&amp;$D45,'Emission factors'!$J$3:$J$201&amp;'Emission factors'!$K$3:$K$201&amp;'Emission factors'!$L$3:$L$201,0),MATCH(R$37,'Emission factors'!$K$2:$V$2,0)))*$I45)</f>
        <v/>
      </c>
      <c r="S45" s="292" t="str" cm="1">
        <f t="array" ref="S45">IF(OR($C45="",$G45="",CommutingTable[[#This Row],[Converted data]]=""),"",(INDEX('Emission factors'!$K$3:$V$201,MATCH($B45&amp;$C45&amp;$D45,'Emission factors'!$J$3:$J$201&amp;'Emission factors'!$K$3:$K$201&amp;'Emission factors'!$L$3:$L$201,0),MATCH(S$37,'Emission factors'!$K$2:$V$2,0)))*$I45)</f>
        <v/>
      </c>
      <c r="T45" s="293" t="str">
        <f t="shared" si="7"/>
        <v/>
      </c>
      <c r="U45" s="333" t="str">
        <f t="shared" si="8"/>
        <v/>
      </c>
      <c r="V45" s="327" t="str" cm="1">
        <f t="array" ref="V45">IF(OR($C45="",$G45="",CommutingTable[[#This Row],[Converted data]]=""),"",(INDEX('Emission factors'!$K$3:$V$201,MATCH($B45&amp;$C45&amp;$D45,'Emission factors'!$J$3:$J$201&amp;'Emission factors'!$K$3:$K$201&amp;'Emission factors'!$L$3:$L$201,0),MATCH(V$37,'Emission factors'!$K$2:$V$2,0)))*$I45)</f>
        <v/>
      </c>
      <c r="X45" s="1" cm="1">
        <f t="array" ref="X45">IF(OR(ISERROR(B45:V45)),1,0)</f>
        <v>0</v>
      </c>
      <c r="Y45" s="1">
        <f t="shared" si="9"/>
        <v>0</v>
      </c>
    </row>
    <row r="46" spans="1:25" ht="15" thickBot="1" x14ac:dyDescent="0.4">
      <c r="B46" s="198"/>
      <c r="C46" s="199"/>
      <c r="D46" s="199"/>
      <c r="E46" s="199"/>
      <c r="F46" s="137" t="str">
        <f>IF(E46="","",INDEX(Lists!$BA$4:$BC$31,MATCH('Business travel, commute, home'!$B46,Lists!$AZ$4:$AZ$31,0),MATCH('Business travel, commute, home'!E46,Lists!$BA$3:$BC$3,0)))</f>
        <v/>
      </c>
      <c r="G46" s="148"/>
      <c r="H46" s="199"/>
      <c r="I46" s="36" t="str" cm="1">
        <f t="array" ref="I46">IF(OR($B46="",$C46="",$D46="",H46=""),"",IF(H46=J46,G46,(INDEX('Emission factors'!$K$3:$V$276,MATCH($B46&amp;$C46&amp;$D46,'Emission factors'!$J$3:$J$276&amp;'Emission factors'!$K$3:$K$276&amp;'Emission factors'!$L$3:$L$276,0),MATCH('Business travel, commute, home'!I$7,'Emission factors'!$K$2:$V$2,0)))*G46))</f>
        <v/>
      </c>
      <c r="J46" s="35" t="str" cm="1">
        <f t="array" ref="J46">IF(OR($B46="",$C46="",$G46=""),"",INDEX('Emission factors'!$K$3:$V$276,MATCH($B46&amp;$C46&amp;$D46,'Emission factors'!$J$3:$J$276&amp;'Emission factors'!$K$3:$K$276&amp;'Emission factors'!$L$3:$L$276,0),MATCH('Business travel, commute, home'!J$7,'Emission factors'!$K$2:$V$2,0)))</f>
        <v/>
      </c>
      <c r="K46" s="35" t="str" cm="1">
        <f t="array" ref="K46">IF(OR(B46="",C46="",D46=""),"",INDEX('Emission factors'!$K$3:$V$276,MATCH($B46&amp;$C46&amp;$D46,'Emission factors'!$J$3:$J$276&amp;'Emission factors'!$K$3:$K$276&amp;'Emission factors'!$L$3:$L$276,0),MATCH('Business travel, commute, home'!K$7,'Emission factors'!$K$2:$V$2,0)))</f>
        <v/>
      </c>
      <c r="L46" s="38" t="str">
        <f>IF(OR(I46="",K46=""),"",SUM(CommutingTable[[#This Row],[Direct]:[Indirect WTT]]))</f>
        <v/>
      </c>
      <c r="M46" s="201"/>
      <c r="N46" s="199"/>
      <c r="O46" s="292" t="str" cm="1">
        <f t="array" ref="O46">IF(OR($C46="",$G46="",CommutingTable[[#This Row],[Converted data]]=""),"",(INDEX('Emission factors'!$K$3:$V$201,MATCH($B46&amp;$C46&amp;$D46,'Emission factors'!$J$3:$J$201&amp;'Emission factors'!$K$3:$K$201&amp;'Emission factors'!$L$3:$L$201,0),MATCH(O$37,'Emission factors'!$K$2:$V$2,0)))*$I46)</f>
        <v/>
      </c>
      <c r="P46" s="292" t="str" cm="1">
        <f t="array" ref="P46">IF(OR($C46="",$G46="",CommutingTable[[#This Row],[Converted data]]=""),"",(INDEX('Emission factors'!$K$3:$V$201,MATCH($B46&amp;$C46&amp;$D46,'Emission factors'!$J$3:$J$201&amp;'Emission factors'!$K$3:$K$201&amp;'Emission factors'!$L$3:$L$201,0),MATCH(P$37,'Emission factors'!$K$2:$V$2,0)))*$I46)</f>
        <v/>
      </c>
      <c r="Q46" s="292" t="str" cm="1">
        <f t="array" ref="Q46">IF(OR($C46="",$G46="",CommutingTable[[#This Row],[Converted data]]=""),"",(INDEX('Emission factors'!$K$3:$V$201,MATCH($B46&amp;$C46&amp;$D46,'Emission factors'!$J$3:$J$201&amp;'Emission factors'!$K$3:$K$201&amp;'Emission factors'!$L$3:$L$201,0),MATCH(Q$37,'Emission factors'!$K$2:$V$2,0)))*$I46)</f>
        <v/>
      </c>
      <c r="R46" s="292" t="str" cm="1">
        <f t="array" ref="R46">IF(OR($C46="",$G46="",CommutingTable[[#This Row],[Converted data]]=""),"",(INDEX('Emission factors'!$K$3:$V$201,MATCH($B46&amp;$C46&amp;$D46,'Emission factors'!$J$3:$J$201&amp;'Emission factors'!$K$3:$K$201&amp;'Emission factors'!$L$3:$L$201,0),MATCH(R$37,'Emission factors'!$K$2:$V$2,0)))*$I46)</f>
        <v/>
      </c>
      <c r="S46" s="292" t="str" cm="1">
        <f t="array" ref="S46">IF(OR($C46="",$G46="",CommutingTable[[#This Row],[Converted data]]=""),"",(INDEX('Emission factors'!$K$3:$V$201,MATCH($B46&amp;$C46&amp;$D46,'Emission factors'!$J$3:$J$201&amp;'Emission factors'!$K$3:$K$201&amp;'Emission factors'!$L$3:$L$201,0),MATCH(S$37,'Emission factors'!$K$2:$V$2,0)))*$I46)</f>
        <v/>
      </c>
      <c r="T46" s="293" t="str">
        <f t="shared" si="7"/>
        <v/>
      </c>
      <c r="U46" s="333" t="str">
        <f t="shared" si="8"/>
        <v/>
      </c>
      <c r="V46" s="327" t="str" cm="1">
        <f t="array" ref="V46">IF(OR($C46="",$G46="",CommutingTable[[#This Row],[Converted data]]=""),"",(INDEX('Emission factors'!$K$3:$V$201,MATCH($B46&amp;$C46&amp;$D46,'Emission factors'!$J$3:$J$201&amp;'Emission factors'!$K$3:$K$201&amp;'Emission factors'!$L$3:$L$201,0),MATCH(V$37,'Emission factors'!$K$2:$V$2,0)))*$I46)</f>
        <v/>
      </c>
      <c r="X46" s="1" cm="1">
        <f t="array" ref="X46">IF(OR(ISERROR(B46:V46)),1,0)</f>
        <v>0</v>
      </c>
      <c r="Y46" s="1">
        <f t="shared" si="9"/>
        <v>0</v>
      </c>
    </row>
    <row r="47" spans="1:25" ht="15" thickBot="1" x14ac:dyDescent="0.4">
      <c r="B47" s="198"/>
      <c r="C47" s="199"/>
      <c r="D47" s="199"/>
      <c r="E47" s="199"/>
      <c r="F47" s="137" t="str">
        <f>IF(E47="","",INDEX(Lists!$BA$4:$BC$31,MATCH('Business travel, commute, home'!$B47,Lists!$AZ$4:$AZ$31,0),MATCH('Business travel, commute, home'!E47,Lists!$BA$3:$BC$3,0)))</f>
        <v/>
      </c>
      <c r="G47" s="148"/>
      <c r="H47" s="199"/>
      <c r="I47" s="36" t="str" cm="1">
        <f t="array" ref="I47">IF(OR($B47="",$C47="",$D47="",H47=""),"",IF(H47=J47,G47,(INDEX('Emission factors'!$K$3:$V$276,MATCH($B47&amp;$C47&amp;$D47,'Emission factors'!$J$3:$J$276&amp;'Emission factors'!$K$3:$K$276&amp;'Emission factors'!$L$3:$L$276,0),MATCH('Business travel, commute, home'!I$7,'Emission factors'!$K$2:$V$2,0)))*G47))</f>
        <v/>
      </c>
      <c r="J47" s="35" t="str" cm="1">
        <f t="array" ref="J47">IF(OR($B47="",$C47="",$G47=""),"",INDEX('Emission factors'!$K$3:$V$276,MATCH($B47&amp;$C47&amp;$D47,'Emission factors'!$J$3:$J$276&amp;'Emission factors'!$K$3:$K$276&amp;'Emission factors'!$L$3:$L$276,0),MATCH('Business travel, commute, home'!J$7,'Emission factors'!$K$2:$V$2,0)))</f>
        <v/>
      </c>
      <c r="K47" s="35" t="str" cm="1">
        <f t="array" ref="K47">IF(OR(B47="",C47="",D47=""),"",INDEX('Emission factors'!$K$3:$V$276,MATCH($B47&amp;$C47&amp;$D47,'Emission factors'!$J$3:$J$276&amp;'Emission factors'!$K$3:$K$276&amp;'Emission factors'!$L$3:$L$276,0),MATCH('Business travel, commute, home'!K$7,'Emission factors'!$K$2:$V$2,0)))</f>
        <v/>
      </c>
      <c r="L47" s="38" t="str">
        <f>IF(OR(I47="",K47=""),"",SUM(CommutingTable[[#This Row],[Direct]:[Indirect WTT]]))</f>
        <v/>
      </c>
      <c r="M47" s="201"/>
      <c r="N47" s="199"/>
      <c r="O47" s="292" t="str" cm="1">
        <f t="array" ref="O47">IF(OR($C47="",$G47="",CommutingTable[[#This Row],[Converted data]]=""),"",(INDEX('Emission factors'!$K$3:$V$201,MATCH($B47&amp;$C47&amp;$D47,'Emission factors'!$J$3:$J$201&amp;'Emission factors'!$K$3:$K$201&amp;'Emission factors'!$L$3:$L$201,0),MATCH(O$37,'Emission factors'!$K$2:$V$2,0)))*$I47)</f>
        <v/>
      </c>
      <c r="P47" s="292" t="str" cm="1">
        <f t="array" ref="P47">IF(OR($C47="",$G47="",CommutingTable[[#This Row],[Converted data]]=""),"",(INDEX('Emission factors'!$K$3:$V$201,MATCH($B47&amp;$C47&amp;$D47,'Emission factors'!$J$3:$J$201&amp;'Emission factors'!$K$3:$K$201&amp;'Emission factors'!$L$3:$L$201,0),MATCH(P$37,'Emission factors'!$K$2:$V$2,0)))*$I47)</f>
        <v/>
      </c>
      <c r="Q47" s="292" t="str" cm="1">
        <f t="array" ref="Q47">IF(OR($C47="",$G47="",CommutingTable[[#This Row],[Converted data]]=""),"",(INDEX('Emission factors'!$K$3:$V$201,MATCH($B47&amp;$C47&amp;$D47,'Emission factors'!$J$3:$J$201&amp;'Emission factors'!$K$3:$K$201&amp;'Emission factors'!$L$3:$L$201,0),MATCH(Q$37,'Emission factors'!$K$2:$V$2,0)))*$I47)</f>
        <v/>
      </c>
      <c r="R47" s="292" t="str" cm="1">
        <f t="array" ref="R47">IF(OR($C47="",$G47="",CommutingTable[[#This Row],[Converted data]]=""),"",(INDEX('Emission factors'!$K$3:$V$201,MATCH($B47&amp;$C47&amp;$D47,'Emission factors'!$J$3:$J$201&amp;'Emission factors'!$K$3:$K$201&amp;'Emission factors'!$L$3:$L$201,0),MATCH(R$37,'Emission factors'!$K$2:$V$2,0)))*$I47)</f>
        <v/>
      </c>
      <c r="S47" s="292" t="str" cm="1">
        <f t="array" ref="S47">IF(OR($C47="",$G47="",CommutingTable[[#This Row],[Converted data]]=""),"",(INDEX('Emission factors'!$K$3:$V$201,MATCH($B47&amp;$C47&amp;$D47,'Emission factors'!$J$3:$J$201&amp;'Emission factors'!$K$3:$K$201&amp;'Emission factors'!$L$3:$L$201,0),MATCH(S$37,'Emission factors'!$K$2:$V$2,0)))*$I47)</f>
        <v/>
      </c>
      <c r="T47" s="293" t="str">
        <f t="shared" si="7"/>
        <v/>
      </c>
      <c r="U47" s="333" t="str">
        <f t="shared" si="8"/>
        <v/>
      </c>
      <c r="V47" s="327" t="str" cm="1">
        <f t="array" ref="V47">IF(OR($C47="",$G47="",CommutingTable[[#This Row],[Converted data]]=""),"",(INDEX('Emission factors'!$K$3:$V$201,MATCH($B47&amp;$C47&amp;$D47,'Emission factors'!$J$3:$J$201&amp;'Emission factors'!$K$3:$K$201&amp;'Emission factors'!$L$3:$L$201,0),MATCH(V$37,'Emission factors'!$K$2:$V$2,0)))*$I47)</f>
        <v/>
      </c>
      <c r="X47" s="1" cm="1">
        <f t="array" ref="X47">IF(OR(ISERROR(B47:V47)),1,0)</f>
        <v>0</v>
      </c>
      <c r="Y47" s="1">
        <f t="shared" si="9"/>
        <v>0</v>
      </c>
    </row>
    <row r="48" spans="1:25" ht="15" thickBot="1" x14ac:dyDescent="0.4">
      <c r="B48" s="198"/>
      <c r="C48" s="199"/>
      <c r="D48" s="199"/>
      <c r="E48" s="199"/>
      <c r="F48" s="137" t="str">
        <f>IF(E48="","",INDEX(Lists!$BA$4:$BC$31,MATCH('Business travel, commute, home'!$B48,Lists!$AZ$4:$AZ$31,0),MATCH('Business travel, commute, home'!E48,Lists!$BA$3:$BC$3,0)))</f>
        <v/>
      </c>
      <c r="G48" s="148"/>
      <c r="H48" s="199"/>
      <c r="I48" s="36" t="str" cm="1">
        <f t="array" ref="I48">IF(OR($B48="",$C48="",$D48="",H48=""),"",IF(H48=J48,G48,(INDEX('Emission factors'!$K$3:$V$276,MATCH($B48&amp;$C48&amp;$D48,'Emission factors'!$J$3:$J$276&amp;'Emission factors'!$K$3:$K$276&amp;'Emission factors'!$L$3:$L$276,0),MATCH('Business travel, commute, home'!I$7,'Emission factors'!$K$2:$V$2,0)))*G48))</f>
        <v/>
      </c>
      <c r="J48" s="35" t="str" cm="1">
        <f t="array" ref="J48">IF(OR($B48="",$C48="",$G48=""),"",INDEX('Emission factors'!$K$3:$V$276,MATCH($B48&amp;$C48&amp;$D48,'Emission factors'!$J$3:$J$276&amp;'Emission factors'!$K$3:$K$276&amp;'Emission factors'!$L$3:$L$276,0),MATCH('Business travel, commute, home'!J$7,'Emission factors'!$K$2:$V$2,0)))</f>
        <v/>
      </c>
      <c r="K48" s="35" t="str" cm="1">
        <f t="array" ref="K48">IF(OR(B48="",C48="",D48=""),"",INDEX('Emission factors'!$K$3:$V$276,MATCH($B48&amp;$C48&amp;$D48,'Emission factors'!$J$3:$J$276&amp;'Emission factors'!$K$3:$K$276&amp;'Emission factors'!$L$3:$L$276,0),MATCH('Business travel, commute, home'!K$7,'Emission factors'!$K$2:$V$2,0)))</f>
        <v/>
      </c>
      <c r="L48" s="38" t="str">
        <f>IF(OR(I48="",K48=""),"",SUM(CommutingTable[[#This Row],[Direct]:[Indirect WTT]]))</f>
        <v/>
      </c>
      <c r="M48" s="201"/>
      <c r="N48" s="199"/>
      <c r="O48" s="292" t="str" cm="1">
        <f t="array" ref="O48">IF(OR($C48="",$G48="",CommutingTable[[#This Row],[Converted data]]=""),"",(INDEX('Emission factors'!$K$3:$V$201,MATCH($B48&amp;$C48&amp;$D48,'Emission factors'!$J$3:$J$201&amp;'Emission factors'!$K$3:$K$201&amp;'Emission factors'!$L$3:$L$201,0),MATCH(O$37,'Emission factors'!$K$2:$V$2,0)))*$I48)</f>
        <v/>
      </c>
      <c r="P48" s="292" t="str" cm="1">
        <f t="array" ref="P48">IF(OR($C48="",$G48="",CommutingTable[[#This Row],[Converted data]]=""),"",(INDEX('Emission factors'!$K$3:$V$201,MATCH($B48&amp;$C48&amp;$D48,'Emission factors'!$J$3:$J$201&amp;'Emission factors'!$K$3:$K$201&amp;'Emission factors'!$L$3:$L$201,0),MATCH(P$37,'Emission factors'!$K$2:$V$2,0)))*$I48)</f>
        <v/>
      </c>
      <c r="Q48" s="292" t="str" cm="1">
        <f t="array" ref="Q48">IF(OR($C48="",$G48="",CommutingTable[[#This Row],[Converted data]]=""),"",(INDEX('Emission factors'!$K$3:$V$201,MATCH($B48&amp;$C48&amp;$D48,'Emission factors'!$J$3:$J$201&amp;'Emission factors'!$K$3:$K$201&amp;'Emission factors'!$L$3:$L$201,0),MATCH(Q$37,'Emission factors'!$K$2:$V$2,0)))*$I48)</f>
        <v/>
      </c>
      <c r="R48" s="292" t="str" cm="1">
        <f t="array" ref="R48">IF(OR($C48="",$G48="",CommutingTable[[#This Row],[Converted data]]=""),"",(INDEX('Emission factors'!$K$3:$V$201,MATCH($B48&amp;$C48&amp;$D48,'Emission factors'!$J$3:$J$201&amp;'Emission factors'!$K$3:$K$201&amp;'Emission factors'!$L$3:$L$201,0),MATCH(R$37,'Emission factors'!$K$2:$V$2,0)))*$I48)</f>
        <v/>
      </c>
      <c r="S48" s="292" t="str" cm="1">
        <f t="array" ref="S48">IF(OR($C48="",$G48="",CommutingTable[[#This Row],[Converted data]]=""),"",(INDEX('Emission factors'!$K$3:$V$201,MATCH($B48&amp;$C48&amp;$D48,'Emission factors'!$J$3:$J$201&amp;'Emission factors'!$K$3:$K$201&amp;'Emission factors'!$L$3:$L$201,0),MATCH(S$37,'Emission factors'!$K$2:$V$2,0)))*$I48)</f>
        <v/>
      </c>
      <c r="T48" s="293" t="str">
        <f t="shared" si="7"/>
        <v/>
      </c>
      <c r="U48" s="333" t="str">
        <f t="shared" si="8"/>
        <v/>
      </c>
      <c r="V48" s="327" t="str" cm="1">
        <f t="array" ref="V48">IF(OR($C48="",$G48="",CommutingTable[[#This Row],[Converted data]]=""),"",(INDEX('Emission factors'!$K$3:$V$201,MATCH($B48&amp;$C48&amp;$D48,'Emission factors'!$J$3:$J$201&amp;'Emission factors'!$K$3:$K$201&amp;'Emission factors'!$L$3:$L$201,0),MATCH(V$37,'Emission factors'!$K$2:$V$2,0)))*$I48)</f>
        <v/>
      </c>
      <c r="X48" s="1" cm="1">
        <f t="array" ref="X48">IF(OR(ISERROR(B48:V48)),1,0)</f>
        <v>0</v>
      </c>
      <c r="Y48" s="1">
        <f t="shared" si="9"/>
        <v>0</v>
      </c>
    </row>
    <row r="49" spans="2:25" ht="15" thickBot="1" x14ac:dyDescent="0.4">
      <c r="B49" s="198"/>
      <c r="C49" s="199"/>
      <c r="D49" s="199"/>
      <c r="E49" s="199"/>
      <c r="F49" s="137" t="str">
        <f>IF(E49="","",INDEX(Lists!$BA$4:$BC$31,MATCH('Business travel, commute, home'!$B49,Lists!$AZ$4:$AZ$31,0),MATCH('Business travel, commute, home'!E49,Lists!$BA$3:$BC$3,0)))</f>
        <v/>
      </c>
      <c r="G49" s="148"/>
      <c r="H49" s="199"/>
      <c r="I49" s="36" t="str" cm="1">
        <f t="array" ref="I49">IF(OR($B49="",$C49="",$D49="",H49=""),"",IF(H49=J49,G49,(INDEX('Emission factors'!$K$3:$V$276,MATCH($B49&amp;$C49&amp;$D49,'Emission factors'!$J$3:$J$276&amp;'Emission factors'!$K$3:$K$276&amp;'Emission factors'!$L$3:$L$276,0),MATCH('Business travel, commute, home'!I$7,'Emission factors'!$K$2:$V$2,0)))*G49))</f>
        <v/>
      </c>
      <c r="J49" s="35" t="str" cm="1">
        <f t="array" ref="J49">IF(OR($B49="",$C49="",$G49=""),"",INDEX('Emission factors'!$K$3:$V$276,MATCH($B49&amp;$C49&amp;$D49,'Emission factors'!$J$3:$J$276&amp;'Emission factors'!$K$3:$K$276&amp;'Emission factors'!$L$3:$L$276,0),MATCH('Business travel, commute, home'!J$7,'Emission factors'!$K$2:$V$2,0)))</f>
        <v/>
      </c>
      <c r="K49" s="35" t="str">
        <f t="array" ref="K49">IF(OR(B49="",C49="",D49=""),"",INDEX('Emission factors'!$K$3:$V$276,MATCH($B49&amp;$C49&amp;$D49,'Emission factors'!$J$3:$J$276&amp;'Emission factors'!$K$3:$K$276&amp;'Emission factors'!$L$3:$L$276,0),MATCH('Business travel, commute, home'!K$7,'Emission factors'!$K$2:$V$2,0)))</f>
        <v/>
      </c>
      <c r="L49" s="38" t="str">
        <f>IF(OR(I49="",K49=""),"",SUM(CommutingTable[[#This Row],[Direct]:[Indirect WTT]]))</f>
        <v/>
      </c>
      <c r="M49" s="201"/>
      <c r="N49" s="199"/>
      <c r="O49" s="292" t="str" cm="1">
        <f t="array" ref="O49">IF(OR($C49="",$G49="",CommutingTable[[#This Row],[Converted data]]=""),"",(INDEX('Emission factors'!$K$3:$V$201,MATCH($B49&amp;$C49&amp;$D49,'Emission factors'!$J$3:$J$201&amp;'Emission factors'!$K$3:$K$201&amp;'Emission factors'!$L$3:$L$201,0),MATCH(O$37,'Emission factors'!$K$2:$V$2,0)))*$I49)</f>
        <v/>
      </c>
      <c r="P49" s="292" t="str" cm="1">
        <f t="array" ref="P49">IF(OR($C49="",$G49="",CommutingTable[[#This Row],[Converted data]]=""),"",(INDEX('Emission factors'!$K$3:$V$201,MATCH($B49&amp;$C49&amp;$D49,'Emission factors'!$J$3:$J$201&amp;'Emission factors'!$K$3:$K$201&amp;'Emission factors'!$L$3:$L$201,0),MATCH(P$37,'Emission factors'!$K$2:$V$2,0)))*$I49)</f>
        <v/>
      </c>
      <c r="Q49" s="292" t="str" cm="1">
        <f t="array" ref="Q49">IF(OR($C49="",$G49="",CommutingTable[[#This Row],[Converted data]]=""),"",(INDEX('Emission factors'!$K$3:$V$201,MATCH($B49&amp;$C49&amp;$D49,'Emission factors'!$J$3:$J$201&amp;'Emission factors'!$K$3:$K$201&amp;'Emission factors'!$L$3:$L$201,0),MATCH(Q$37,'Emission factors'!$K$2:$V$2,0)))*$I49)</f>
        <v/>
      </c>
      <c r="R49" s="292" t="str" cm="1">
        <f t="array" ref="R49">IF(OR($C49="",$G49="",CommutingTable[[#This Row],[Converted data]]=""),"",(INDEX('Emission factors'!$K$3:$V$201,MATCH($B49&amp;$C49&amp;$D49,'Emission factors'!$J$3:$J$201&amp;'Emission factors'!$K$3:$K$201&amp;'Emission factors'!$L$3:$L$201,0),MATCH(R$37,'Emission factors'!$K$2:$V$2,0)))*$I49)</f>
        <v/>
      </c>
      <c r="S49" s="292" t="str" cm="1">
        <f t="array" ref="S49">IF(OR($C49="",$G49="",CommutingTable[[#This Row],[Converted data]]=""),"",(INDEX('Emission factors'!$K$3:$V$201,MATCH($B49&amp;$C49&amp;$D49,'Emission factors'!$J$3:$J$201&amp;'Emission factors'!$K$3:$K$201&amp;'Emission factors'!$L$3:$L$201,0),MATCH(S$37,'Emission factors'!$K$2:$V$2,0)))*$I49)</f>
        <v/>
      </c>
      <c r="T49" s="293" t="str">
        <f t="shared" si="7"/>
        <v/>
      </c>
      <c r="U49" s="333" t="str">
        <f t="shared" si="8"/>
        <v/>
      </c>
      <c r="V49" s="327" t="str" cm="1">
        <f t="array" ref="V49">IF(OR($C49="",$G49="",CommutingTable[[#This Row],[Converted data]]=""),"",(INDEX('Emission factors'!$K$3:$V$201,MATCH($B49&amp;$C49&amp;$D49,'Emission factors'!$J$3:$J$201&amp;'Emission factors'!$K$3:$K$201&amp;'Emission factors'!$L$3:$L$201,0),MATCH(V$37,'Emission factors'!$K$2:$V$2,0)))*$I49)</f>
        <v/>
      </c>
      <c r="X49" s="1" cm="1">
        <f t="array" ref="X49">IF(OR(ISERROR(B49:V49)),1,0)</f>
        <v>0</v>
      </c>
      <c r="Y49" s="1">
        <f t="shared" si="9"/>
        <v>0</v>
      </c>
    </row>
    <row r="50" spans="2:25" ht="15" thickBot="1" x14ac:dyDescent="0.4">
      <c r="B50" s="198"/>
      <c r="C50" s="199"/>
      <c r="D50" s="199"/>
      <c r="E50" s="199"/>
      <c r="F50" s="137" t="str">
        <f>IF(E50="","",INDEX(Lists!$BA$4:$BC$31,MATCH('Business travel, commute, home'!$B50,Lists!$AZ$4:$AZ$31,0),MATCH('Business travel, commute, home'!E50,Lists!$BA$3:$BC$3,0)))</f>
        <v/>
      </c>
      <c r="G50" s="148"/>
      <c r="H50" s="199"/>
      <c r="I50" s="36" t="str" cm="1">
        <f t="array" ref="I50">IF(OR($B50="",$C50="",$D50="",H50=""),"",IF(H50=J50,G50,(INDEX('Emission factors'!$K$3:$V$276,MATCH($B50&amp;$C50&amp;$D50,'Emission factors'!$J$3:$J$276&amp;'Emission factors'!$K$3:$K$276&amp;'Emission factors'!$L$3:$L$276,0),MATCH('Business travel, commute, home'!I$7,'Emission factors'!$K$2:$V$2,0)))*G50))</f>
        <v/>
      </c>
      <c r="J50" s="35" t="str" cm="1">
        <f t="array" ref="J50">IF(OR($B50="",$C50="",$G50=""),"",INDEX('Emission factors'!$K$3:$V$276,MATCH($B50&amp;$C50&amp;$D50,'Emission factors'!$J$3:$J$276&amp;'Emission factors'!$K$3:$K$276&amp;'Emission factors'!$L$3:$L$276,0),MATCH('Business travel, commute, home'!J$7,'Emission factors'!$K$2:$V$2,0)))</f>
        <v/>
      </c>
      <c r="K50" s="35" t="str">
        <f t="array" ref="K50">IF(OR(B50="",C50="",D50=""),"",INDEX('Emission factors'!$K$3:$V$276,MATCH($B50&amp;$C50&amp;$D50,'Emission factors'!$J$3:$J$276&amp;'Emission factors'!$K$3:$K$276&amp;'Emission factors'!$L$3:$L$276,0),MATCH('Business travel, commute, home'!K$7,'Emission factors'!$K$2:$V$2,0)))</f>
        <v/>
      </c>
      <c r="L50" s="38" t="str">
        <f>IF(OR(I50="",K50=""),"",SUM(CommutingTable[[#This Row],[Direct]:[Indirect WTT]]))</f>
        <v/>
      </c>
      <c r="M50" s="201"/>
      <c r="N50" s="199"/>
      <c r="O50" s="292" t="str" cm="1">
        <f t="array" ref="O50">IF(OR($C50="",$G50="",CommutingTable[[#This Row],[Converted data]]=""),"",(INDEX('Emission factors'!$K$3:$V$201,MATCH($B50&amp;$C50&amp;$D50,'Emission factors'!$J$3:$J$201&amp;'Emission factors'!$K$3:$K$201&amp;'Emission factors'!$L$3:$L$201,0),MATCH(O$37,'Emission factors'!$K$2:$V$2,0)))*$I50)</f>
        <v/>
      </c>
      <c r="P50" s="292" t="str" cm="1">
        <f t="array" ref="P50">IF(OR($C50="",$G50="",CommutingTable[[#This Row],[Converted data]]=""),"",(INDEX('Emission factors'!$K$3:$V$201,MATCH($B50&amp;$C50&amp;$D50,'Emission factors'!$J$3:$J$201&amp;'Emission factors'!$K$3:$K$201&amp;'Emission factors'!$L$3:$L$201,0),MATCH(P$37,'Emission factors'!$K$2:$V$2,0)))*$I50)</f>
        <v/>
      </c>
      <c r="Q50" s="292" t="str" cm="1">
        <f t="array" ref="Q50">IF(OR($C50="",$G50="",CommutingTable[[#This Row],[Converted data]]=""),"",(INDEX('Emission factors'!$K$3:$V$201,MATCH($B50&amp;$C50&amp;$D50,'Emission factors'!$J$3:$J$201&amp;'Emission factors'!$K$3:$K$201&amp;'Emission factors'!$L$3:$L$201,0),MATCH(Q$37,'Emission factors'!$K$2:$V$2,0)))*$I50)</f>
        <v/>
      </c>
      <c r="R50" s="292" t="str" cm="1">
        <f t="array" ref="R50">IF(OR($C50="",$G50="",CommutingTable[[#This Row],[Converted data]]=""),"",(INDEX('Emission factors'!$K$3:$V$201,MATCH($B50&amp;$C50&amp;$D50,'Emission factors'!$J$3:$J$201&amp;'Emission factors'!$K$3:$K$201&amp;'Emission factors'!$L$3:$L$201,0),MATCH(R$37,'Emission factors'!$K$2:$V$2,0)))*$I50)</f>
        <v/>
      </c>
      <c r="S50" s="292" t="str" cm="1">
        <f t="array" ref="S50">IF(OR($C50="",$G50="",CommutingTable[[#This Row],[Converted data]]=""),"",(INDEX('Emission factors'!$K$3:$V$201,MATCH($B50&amp;$C50&amp;$D50,'Emission factors'!$J$3:$J$201&amp;'Emission factors'!$K$3:$K$201&amp;'Emission factors'!$L$3:$L$201,0),MATCH(S$37,'Emission factors'!$K$2:$V$2,0)))*$I50)</f>
        <v/>
      </c>
      <c r="T50" s="293" t="str">
        <f t="shared" si="7"/>
        <v/>
      </c>
      <c r="U50" s="333" t="str">
        <f t="shared" si="8"/>
        <v/>
      </c>
      <c r="V50" s="327" t="str" cm="1">
        <f t="array" ref="V50">IF(OR($C50="",$G50="",CommutingTable[[#This Row],[Converted data]]=""),"",(INDEX('Emission factors'!$K$3:$V$201,MATCH($B50&amp;$C50&amp;$D50,'Emission factors'!$J$3:$J$201&amp;'Emission factors'!$K$3:$K$201&amp;'Emission factors'!$L$3:$L$201,0),MATCH(V$37,'Emission factors'!$K$2:$V$2,0)))*$I50)</f>
        <v/>
      </c>
      <c r="X50" s="1" cm="1">
        <f t="array" ref="X50">IF(OR(ISERROR(B50:V50)),1,0)</f>
        <v>0</v>
      </c>
      <c r="Y50" s="1">
        <f t="shared" si="9"/>
        <v>0</v>
      </c>
    </row>
    <row r="51" spans="2:25" ht="15" thickBot="1" x14ac:dyDescent="0.4">
      <c r="B51" s="198"/>
      <c r="C51" s="199"/>
      <c r="D51" s="199"/>
      <c r="E51" s="199"/>
      <c r="F51" s="137" t="str">
        <f>IF(E51="","",INDEX(Lists!$BA$4:$BC$31,MATCH('Business travel, commute, home'!$B51,Lists!$AZ$4:$AZ$31,0),MATCH('Business travel, commute, home'!E51,Lists!$BA$3:$BC$3,0)))</f>
        <v/>
      </c>
      <c r="G51" s="148"/>
      <c r="H51" s="199"/>
      <c r="I51" s="36" t="str" cm="1">
        <f t="array" ref="I51">IF(OR($B51="",$C51="",$D51="",H51=""),"",IF(H51=J51,G51,(INDEX('Emission factors'!$K$3:$V$276,MATCH($B51&amp;$C51&amp;$D51,'Emission factors'!$J$3:$J$276&amp;'Emission factors'!$K$3:$K$276&amp;'Emission factors'!$L$3:$L$276,0),MATCH('Business travel, commute, home'!I$7,'Emission factors'!$K$2:$V$2,0)))*G51))</f>
        <v/>
      </c>
      <c r="J51" s="35" t="str" cm="1">
        <f t="array" ref="J51">IF(OR($B51="",$C51="",$G51=""),"",INDEX('Emission factors'!$K$3:$V$276,MATCH($B51&amp;$C51&amp;$D51,'Emission factors'!$J$3:$J$276&amp;'Emission factors'!$K$3:$K$276&amp;'Emission factors'!$L$3:$L$276,0),MATCH('Business travel, commute, home'!J$7,'Emission factors'!$K$2:$V$2,0)))</f>
        <v/>
      </c>
      <c r="K51" s="35" t="str">
        <f t="array" ref="K51">IF(OR(B51="",C51="",D51=""),"",INDEX('Emission factors'!$K$3:$V$276,MATCH($B51&amp;$C51&amp;$D51,'Emission factors'!$J$3:$J$276&amp;'Emission factors'!$K$3:$K$276&amp;'Emission factors'!$L$3:$L$276,0),MATCH('Business travel, commute, home'!K$7,'Emission factors'!$K$2:$V$2,0)))</f>
        <v/>
      </c>
      <c r="L51" s="38" t="str">
        <f>IF(OR(I51="",K51=""),"",SUM(CommutingTable[[#This Row],[Direct]:[Indirect WTT]]))</f>
        <v/>
      </c>
      <c r="M51" s="201"/>
      <c r="N51" s="199"/>
      <c r="O51" s="292" t="str" cm="1">
        <f t="array" ref="O51">IF(OR($C51="",$G51="",CommutingTable[[#This Row],[Converted data]]=""),"",(INDEX('Emission factors'!$K$3:$V$201,MATCH($B51&amp;$C51&amp;$D51,'Emission factors'!$J$3:$J$201&amp;'Emission factors'!$K$3:$K$201&amp;'Emission factors'!$L$3:$L$201,0),MATCH(O$37,'Emission factors'!$K$2:$V$2,0)))*$I51)</f>
        <v/>
      </c>
      <c r="P51" s="292" t="str" cm="1">
        <f t="array" ref="P51">IF(OR($C51="",$G51="",CommutingTable[[#This Row],[Converted data]]=""),"",(INDEX('Emission factors'!$K$3:$V$201,MATCH($B51&amp;$C51&amp;$D51,'Emission factors'!$J$3:$J$201&amp;'Emission factors'!$K$3:$K$201&amp;'Emission factors'!$L$3:$L$201,0),MATCH(P$37,'Emission factors'!$K$2:$V$2,0)))*$I51)</f>
        <v/>
      </c>
      <c r="Q51" s="292" t="str" cm="1">
        <f t="array" ref="Q51">IF(OR($C51="",$G51="",CommutingTable[[#This Row],[Converted data]]=""),"",(INDEX('Emission factors'!$K$3:$V$201,MATCH($B51&amp;$C51&amp;$D51,'Emission factors'!$J$3:$J$201&amp;'Emission factors'!$K$3:$K$201&amp;'Emission factors'!$L$3:$L$201,0),MATCH(Q$37,'Emission factors'!$K$2:$V$2,0)))*$I51)</f>
        <v/>
      </c>
      <c r="R51" s="292" t="str" cm="1">
        <f t="array" ref="R51">IF(OR($C51="",$G51="",CommutingTable[[#This Row],[Converted data]]=""),"",(INDEX('Emission factors'!$K$3:$V$201,MATCH($B51&amp;$C51&amp;$D51,'Emission factors'!$J$3:$J$201&amp;'Emission factors'!$K$3:$K$201&amp;'Emission factors'!$L$3:$L$201,0),MATCH(R$37,'Emission factors'!$K$2:$V$2,0)))*$I51)</f>
        <v/>
      </c>
      <c r="S51" s="292" t="str" cm="1">
        <f t="array" ref="S51">IF(OR($C51="",$G51="",CommutingTable[[#This Row],[Converted data]]=""),"",(INDEX('Emission factors'!$K$3:$V$201,MATCH($B51&amp;$C51&amp;$D51,'Emission factors'!$J$3:$J$201&amp;'Emission factors'!$K$3:$K$201&amp;'Emission factors'!$L$3:$L$201,0),MATCH(S$37,'Emission factors'!$K$2:$V$2,0)))*$I51)</f>
        <v/>
      </c>
      <c r="T51" s="293" t="str">
        <f t="shared" si="7"/>
        <v/>
      </c>
      <c r="U51" s="333" t="str">
        <f t="shared" si="8"/>
        <v/>
      </c>
      <c r="V51" s="327" t="str" cm="1">
        <f t="array" ref="V51">IF(OR($C51="",$G51="",CommutingTable[[#This Row],[Converted data]]=""),"",(INDEX('Emission factors'!$K$3:$V$201,MATCH($B51&amp;$C51&amp;$D51,'Emission factors'!$J$3:$J$201&amp;'Emission factors'!$K$3:$K$201&amp;'Emission factors'!$L$3:$L$201,0),MATCH(V$37,'Emission factors'!$K$2:$V$2,0)))*$I51)</f>
        <v/>
      </c>
      <c r="X51" s="1" cm="1">
        <f t="array" ref="X51">IF(OR(ISERROR(B51:V51)),1,0)</f>
        <v>0</v>
      </c>
      <c r="Y51" s="1">
        <f t="shared" si="9"/>
        <v>0</v>
      </c>
    </row>
    <row r="52" spans="2:25" ht="15" thickBot="1" x14ac:dyDescent="0.4">
      <c r="B52" s="198"/>
      <c r="C52" s="199"/>
      <c r="D52" s="199"/>
      <c r="E52" s="199"/>
      <c r="F52" s="137" t="str">
        <f>IF(E52="","",INDEX(Lists!$BA$4:$BC$31,MATCH('Business travel, commute, home'!$B52,Lists!$AZ$4:$AZ$31,0),MATCH('Business travel, commute, home'!E52,Lists!$BA$3:$BC$3,0)))</f>
        <v/>
      </c>
      <c r="G52" s="148"/>
      <c r="H52" s="199"/>
      <c r="I52" s="36" t="str" cm="1">
        <f t="array" ref="I52">IF(OR($B52="",$C52="",$D52="",H52=""),"",IF(H52=J52,G52,(INDEX('Emission factors'!$K$3:$V$276,MATCH($B52&amp;$C52&amp;$D52,'Emission factors'!$J$3:$J$276&amp;'Emission factors'!$K$3:$K$276&amp;'Emission factors'!$L$3:$L$276,0),MATCH('Business travel, commute, home'!I$7,'Emission factors'!$K$2:$V$2,0)))*G52))</f>
        <v/>
      </c>
      <c r="J52" s="35" t="str" cm="1">
        <f t="array" ref="J52">IF(OR($B52="",$C52="",$G52=""),"",INDEX('Emission factors'!$K$3:$V$276,MATCH($B52&amp;$C52&amp;$D52,'Emission factors'!$J$3:$J$276&amp;'Emission factors'!$K$3:$K$276&amp;'Emission factors'!$L$3:$L$276,0),MATCH('Business travel, commute, home'!J$7,'Emission factors'!$K$2:$V$2,0)))</f>
        <v/>
      </c>
      <c r="K52" s="35" t="str" cm="1">
        <f t="array" ref="K52">IF(OR(B52="",C52="",D52=""),"",INDEX('Emission factors'!$K$3:$V$276,MATCH($B52&amp;$C52&amp;$D52,'Emission factors'!$J$3:$J$276&amp;'Emission factors'!$K$3:$K$276&amp;'Emission factors'!$L$3:$L$276,0),MATCH('Business travel, commute, home'!K$7,'Emission factors'!$K$2:$V$2,0)))</f>
        <v/>
      </c>
      <c r="L52" s="38" t="str">
        <f>IF(OR(I52="",K52=""),"",SUM(CommutingTable[[#This Row],[Direct]:[Indirect WTT]]))</f>
        <v/>
      </c>
      <c r="M52" s="201"/>
      <c r="N52" s="199"/>
      <c r="O52" s="292" t="str" cm="1">
        <f t="array" ref="O52">IF(OR($C52="",$G52="",CommutingTable[[#This Row],[Converted data]]=""),"",(INDEX('Emission factors'!$K$3:$V$201,MATCH($B52&amp;$C52&amp;$D52,'Emission factors'!$J$3:$J$201&amp;'Emission factors'!$K$3:$K$201&amp;'Emission factors'!$L$3:$L$201,0),MATCH(O$37,'Emission factors'!$K$2:$V$2,0)))*$I52)</f>
        <v/>
      </c>
      <c r="P52" s="292" t="str" cm="1">
        <f t="array" ref="P52">IF(OR($C52="",$G52="",CommutingTable[[#This Row],[Converted data]]=""),"",(INDEX('Emission factors'!$K$3:$V$201,MATCH($B52&amp;$C52&amp;$D52,'Emission factors'!$J$3:$J$201&amp;'Emission factors'!$K$3:$K$201&amp;'Emission factors'!$L$3:$L$201,0),MATCH(P$37,'Emission factors'!$K$2:$V$2,0)))*$I52)</f>
        <v/>
      </c>
      <c r="Q52" s="292" t="str" cm="1">
        <f t="array" ref="Q52">IF(OR($C52="",$G52="",CommutingTable[[#This Row],[Converted data]]=""),"",(INDEX('Emission factors'!$K$3:$V$201,MATCH($B52&amp;$C52&amp;$D52,'Emission factors'!$J$3:$J$201&amp;'Emission factors'!$K$3:$K$201&amp;'Emission factors'!$L$3:$L$201,0),MATCH(Q$37,'Emission factors'!$K$2:$V$2,0)))*$I52)</f>
        <v/>
      </c>
      <c r="R52" s="292" t="str" cm="1">
        <f t="array" ref="R52">IF(OR($C52="",$G52="",CommutingTable[[#This Row],[Converted data]]=""),"",(INDEX('Emission factors'!$K$3:$V$201,MATCH($B52&amp;$C52&amp;$D52,'Emission factors'!$J$3:$J$201&amp;'Emission factors'!$K$3:$K$201&amp;'Emission factors'!$L$3:$L$201,0),MATCH(R$37,'Emission factors'!$K$2:$V$2,0)))*$I52)</f>
        <v/>
      </c>
      <c r="S52" s="292" t="str" cm="1">
        <f t="array" ref="S52">IF(OR($C52="",$G52="",CommutingTable[[#This Row],[Converted data]]=""),"",(INDEX('Emission factors'!$K$3:$V$201,MATCH($B52&amp;$C52&amp;$D52,'Emission factors'!$J$3:$J$201&amp;'Emission factors'!$K$3:$K$201&amp;'Emission factors'!$L$3:$L$201,0),MATCH(S$37,'Emission factors'!$K$2:$V$2,0)))*$I52)</f>
        <v/>
      </c>
      <c r="T52" s="293" t="str">
        <f t="shared" si="7"/>
        <v/>
      </c>
      <c r="U52" s="333" t="str">
        <f t="shared" si="8"/>
        <v/>
      </c>
      <c r="V52" s="327" t="str" cm="1">
        <f t="array" ref="V52">IF(OR($C52="",$G52="",CommutingTable[[#This Row],[Converted data]]=""),"",(INDEX('Emission factors'!$K$3:$V$201,MATCH($B52&amp;$C52&amp;$D52,'Emission factors'!$J$3:$J$201&amp;'Emission factors'!$K$3:$K$201&amp;'Emission factors'!$L$3:$L$201,0),MATCH(V$37,'Emission factors'!$K$2:$V$2,0)))*$I52)</f>
        <v/>
      </c>
      <c r="X52" s="1" cm="1">
        <f t="array" ref="X52">IF(OR(ISERROR(B52:V52)),1,0)</f>
        <v>0</v>
      </c>
      <c r="Y52" s="1">
        <f t="shared" si="9"/>
        <v>0</v>
      </c>
    </row>
    <row r="53" spans="2:25" ht="15" thickBot="1" x14ac:dyDescent="0.4">
      <c r="B53" s="198"/>
      <c r="C53" s="199"/>
      <c r="D53" s="199"/>
      <c r="E53" s="199"/>
      <c r="F53" s="137" t="str">
        <f>IF(E53="","",INDEX(Lists!$BA$4:$BC$31,MATCH('Business travel, commute, home'!$B53,Lists!$AZ$4:$AZ$31,0),MATCH('Business travel, commute, home'!E53,Lists!$BA$3:$BC$3,0)))</f>
        <v/>
      </c>
      <c r="G53" s="148"/>
      <c r="H53" s="199"/>
      <c r="I53" s="36" t="str" cm="1">
        <f t="array" ref="I53">IF(OR($B53="",$C53="",$D53="",H53=""),"",IF(H53=J53,G53,(INDEX('Emission factors'!$K$3:$V$276,MATCH($B53&amp;$C53&amp;$D53,'Emission factors'!$J$3:$J$276&amp;'Emission factors'!$K$3:$K$276&amp;'Emission factors'!$L$3:$L$276,0),MATCH('Business travel, commute, home'!I$7,'Emission factors'!$K$2:$V$2,0)))*G53))</f>
        <v/>
      </c>
      <c r="J53" s="35" t="str" cm="1">
        <f t="array" ref="J53">IF(OR($B53="",$C53="",$G53=""),"",INDEX('Emission factors'!$K$3:$V$276,MATCH($B53&amp;$C53&amp;$D53,'Emission factors'!$J$3:$J$276&amp;'Emission factors'!$K$3:$K$276&amp;'Emission factors'!$L$3:$L$276,0),MATCH('Business travel, commute, home'!J$7,'Emission factors'!$K$2:$V$2,0)))</f>
        <v/>
      </c>
      <c r="K53" s="35" t="str" cm="1">
        <f t="array" ref="K53">IF(OR(B53="",C53="",D53=""),"",INDEX('Emission factors'!$K$3:$V$276,MATCH($B53&amp;$C53&amp;$D53,'Emission factors'!$J$3:$J$276&amp;'Emission factors'!$K$3:$K$276&amp;'Emission factors'!$L$3:$L$276,0),MATCH('Business travel, commute, home'!K$7,'Emission factors'!$K$2:$V$2,0)))</f>
        <v/>
      </c>
      <c r="L53" s="38" t="str">
        <f>IF(OR(I53="",K53=""),"",SUM(CommutingTable[[#This Row],[Direct]:[Indirect WTT]]))</f>
        <v/>
      </c>
      <c r="M53" s="201"/>
      <c r="N53" s="199"/>
      <c r="O53" s="292" t="str" cm="1">
        <f t="array" ref="O53">IF(OR($C53="",$G53="",CommutingTable[[#This Row],[Converted data]]=""),"",(INDEX('Emission factors'!$K$3:$V$201,MATCH($B53&amp;$C53&amp;$D53,'Emission factors'!$J$3:$J$201&amp;'Emission factors'!$K$3:$K$201&amp;'Emission factors'!$L$3:$L$201,0),MATCH(O$37,'Emission factors'!$K$2:$V$2,0)))*$I53)</f>
        <v/>
      </c>
      <c r="P53" s="292" t="str" cm="1">
        <f t="array" ref="P53">IF(OR($C53="",$G53="",CommutingTable[[#This Row],[Converted data]]=""),"",(INDEX('Emission factors'!$K$3:$V$201,MATCH($B53&amp;$C53&amp;$D53,'Emission factors'!$J$3:$J$201&amp;'Emission factors'!$K$3:$K$201&amp;'Emission factors'!$L$3:$L$201,0),MATCH(P$37,'Emission factors'!$K$2:$V$2,0)))*$I53)</f>
        <v/>
      </c>
      <c r="Q53" s="292" t="str" cm="1">
        <f t="array" ref="Q53">IF(OR($C53="",$G53="",CommutingTable[[#This Row],[Converted data]]=""),"",(INDEX('Emission factors'!$K$3:$V$201,MATCH($B53&amp;$C53&amp;$D53,'Emission factors'!$J$3:$J$201&amp;'Emission factors'!$K$3:$K$201&amp;'Emission factors'!$L$3:$L$201,0),MATCH(Q$37,'Emission factors'!$K$2:$V$2,0)))*$I53)</f>
        <v/>
      </c>
      <c r="R53" s="292" t="str" cm="1">
        <f t="array" ref="R53">IF(OR($C53="",$G53="",CommutingTable[[#This Row],[Converted data]]=""),"",(INDEX('Emission factors'!$K$3:$V$201,MATCH($B53&amp;$C53&amp;$D53,'Emission factors'!$J$3:$J$201&amp;'Emission factors'!$K$3:$K$201&amp;'Emission factors'!$L$3:$L$201,0),MATCH(R$37,'Emission factors'!$K$2:$V$2,0)))*$I53)</f>
        <v/>
      </c>
      <c r="S53" s="292" t="str" cm="1">
        <f t="array" ref="S53">IF(OR($C53="",$G53="",CommutingTable[[#This Row],[Converted data]]=""),"",(INDEX('Emission factors'!$K$3:$V$201,MATCH($B53&amp;$C53&amp;$D53,'Emission factors'!$J$3:$J$201&amp;'Emission factors'!$K$3:$K$201&amp;'Emission factors'!$L$3:$L$201,0),MATCH(S$37,'Emission factors'!$K$2:$V$2,0)))*$I53)</f>
        <v/>
      </c>
      <c r="T53" s="293" t="str">
        <f t="shared" si="7"/>
        <v/>
      </c>
      <c r="U53" s="333" t="str">
        <f t="shared" si="8"/>
        <v/>
      </c>
      <c r="V53" s="327" t="str" cm="1">
        <f t="array" ref="V53">IF(OR($C53="",$G53="",CommutingTable[[#This Row],[Converted data]]=""),"",(INDEX('Emission factors'!$K$3:$V$201,MATCH($B53&amp;$C53&amp;$D53,'Emission factors'!$J$3:$J$201&amp;'Emission factors'!$K$3:$K$201&amp;'Emission factors'!$L$3:$L$201,0),MATCH(V$37,'Emission factors'!$K$2:$V$2,0)))*$I53)</f>
        <v/>
      </c>
      <c r="X53" s="1" cm="1">
        <f t="array" ref="X53">IF(OR(ISERROR(B53:V53)),1,0)</f>
        <v>0</v>
      </c>
      <c r="Y53" s="1">
        <f t="shared" si="9"/>
        <v>0</v>
      </c>
    </row>
    <row r="54" spans="2:25" ht="15" thickBot="1" x14ac:dyDescent="0.4">
      <c r="B54" s="198"/>
      <c r="C54" s="199"/>
      <c r="D54" s="199"/>
      <c r="E54" s="199"/>
      <c r="F54" s="137" t="str">
        <f>IF(E54="","",INDEX(Lists!$BA$4:$BC$31,MATCH('Business travel, commute, home'!$B54,Lists!$AZ$4:$AZ$31,0),MATCH('Business travel, commute, home'!E54,Lists!$BA$3:$BC$3,0)))</f>
        <v/>
      </c>
      <c r="G54" s="148"/>
      <c r="H54" s="199"/>
      <c r="I54" s="36" t="str" cm="1">
        <f t="array" ref="I54">IF(OR($B54="",$C54="",$D54="",H54=""),"",IF(H54=J54,G54,(INDEX('Emission factors'!$K$3:$V$276,MATCH($B54&amp;$C54&amp;$D54,'Emission factors'!$J$3:$J$276&amp;'Emission factors'!$K$3:$K$276&amp;'Emission factors'!$L$3:$L$276,0),MATCH('Business travel, commute, home'!I$7,'Emission factors'!$K$2:$V$2,0)))*G54))</f>
        <v/>
      </c>
      <c r="J54" s="35" t="str" cm="1">
        <f t="array" ref="J54">IF(OR($B54="",$C54="",$G54=""),"",INDEX('Emission factors'!$K$3:$V$276,MATCH($B54&amp;$C54&amp;$D54,'Emission factors'!$J$3:$J$276&amp;'Emission factors'!$K$3:$K$276&amp;'Emission factors'!$L$3:$L$276,0),MATCH('Business travel, commute, home'!J$7,'Emission factors'!$K$2:$V$2,0)))</f>
        <v/>
      </c>
      <c r="K54" s="35" t="str" cm="1">
        <f t="array" ref="K54">IF(OR(B54="",C54="",D54=""),"",INDEX('Emission factors'!$K$3:$V$276,MATCH($B54&amp;$C54&amp;$D54,'Emission factors'!$J$3:$J$276&amp;'Emission factors'!$K$3:$K$276&amp;'Emission factors'!$L$3:$L$276,0),MATCH('Business travel, commute, home'!K$7,'Emission factors'!$K$2:$V$2,0)))</f>
        <v/>
      </c>
      <c r="L54" s="38" t="str">
        <f>IF(OR(I54="",K54=""),"",SUM(CommutingTable[[#This Row],[Direct]:[Indirect WTT]]))</f>
        <v/>
      </c>
      <c r="M54" s="201"/>
      <c r="N54" s="199"/>
      <c r="O54" s="292" t="str" cm="1">
        <f t="array" ref="O54">IF(OR($C54="",$G54="",CommutingTable[[#This Row],[Converted data]]=""),"",(INDEX('Emission factors'!$K$3:$V$201,MATCH($B54&amp;$C54&amp;$D54,'Emission factors'!$J$3:$J$201&amp;'Emission factors'!$K$3:$K$201&amp;'Emission factors'!$L$3:$L$201,0),MATCH(O$37,'Emission factors'!$K$2:$V$2,0)))*$I54)</f>
        <v/>
      </c>
      <c r="P54" s="292" t="str" cm="1">
        <f t="array" ref="P54">IF(OR($C54="",$G54="",CommutingTable[[#This Row],[Converted data]]=""),"",(INDEX('Emission factors'!$K$3:$V$201,MATCH($B54&amp;$C54&amp;$D54,'Emission factors'!$J$3:$J$201&amp;'Emission factors'!$K$3:$K$201&amp;'Emission factors'!$L$3:$L$201,0),MATCH(P$37,'Emission factors'!$K$2:$V$2,0)))*$I54)</f>
        <v/>
      </c>
      <c r="Q54" s="292" t="str" cm="1">
        <f t="array" ref="Q54">IF(OR($C54="",$G54="",CommutingTable[[#This Row],[Converted data]]=""),"",(INDEX('Emission factors'!$K$3:$V$201,MATCH($B54&amp;$C54&amp;$D54,'Emission factors'!$J$3:$J$201&amp;'Emission factors'!$K$3:$K$201&amp;'Emission factors'!$L$3:$L$201,0),MATCH(Q$37,'Emission factors'!$K$2:$V$2,0)))*$I54)</f>
        <v/>
      </c>
      <c r="R54" s="292" t="str" cm="1">
        <f t="array" ref="R54">IF(OR($C54="",$G54="",CommutingTable[[#This Row],[Converted data]]=""),"",(INDEX('Emission factors'!$K$3:$V$201,MATCH($B54&amp;$C54&amp;$D54,'Emission factors'!$J$3:$J$201&amp;'Emission factors'!$K$3:$K$201&amp;'Emission factors'!$L$3:$L$201,0),MATCH(R$37,'Emission factors'!$K$2:$V$2,0)))*$I54)</f>
        <v/>
      </c>
      <c r="S54" s="292" t="str" cm="1">
        <f t="array" ref="S54">IF(OR($C54="",$G54="",CommutingTable[[#This Row],[Converted data]]=""),"",(INDEX('Emission factors'!$K$3:$V$201,MATCH($B54&amp;$C54&amp;$D54,'Emission factors'!$J$3:$J$201&amp;'Emission factors'!$K$3:$K$201&amp;'Emission factors'!$L$3:$L$201,0),MATCH(S$37,'Emission factors'!$K$2:$V$2,0)))*$I54)</f>
        <v/>
      </c>
      <c r="T54" s="293" t="str">
        <f t="shared" si="7"/>
        <v/>
      </c>
      <c r="U54" s="333" t="str">
        <f t="shared" si="8"/>
        <v/>
      </c>
      <c r="V54" s="327" t="str" cm="1">
        <f t="array" ref="V54">IF(OR($C54="",$G54="",CommutingTable[[#This Row],[Converted data]]=""),"",(INDEX('Emission factors'!$K$3:$V$201,MATCH($B54&amp;$C54&amp;$D54,'Emission factors'!$J$3:$J$201&amp;'Emission factors'!$K$3:$K$201&amp;'Emission factors'!$L$3:$L$201,0),MATCH(V$37,'Emission factors'!$K$2:$V$2,0)))*$I54)</f>
        <v/>
      </c>
      <c r="X54" s="1" cm="1">
        <f t="array" ref="X54">IF(OR(ISERROR(B54:V54)),1,0)</f>
        <v>0</v>
      </c>
      <c r="Y54" s="1">
        <f t="shared" si="9"/>
        <v>0</v>
      </c>
    </row>
    <row r="55" spans="2:25" ht="15" thickBot="1" x14ac:dyDescent="0.4">
      <c r="B55" s="198"/>
      <c r="C55" s="199"/>
      <c r="D55" s="199"/>
      <c r="E55" s="199"/>
      <c r="F55" s="137" t="str">
        <f>IF(E55="","",INDEX(Lists!$BA$4:$BC$31,MATCH('Business travel, commute, home'!$B55,Lists!$AZ$4:$AZ$31,0),MATCH('Business travel, commute, home'!E55,Lists!$BA$3:$BC$3,0)))</f>
        <v/>
      </c>
      <c r="G55" s="148"/>
      <c r="H55" s="199"/>
      <c r="I55" s="36" t="str" cm="1">
        <f t="array" ref="I55">IF(OR($B55="",$C55="",$D55="",H55=""),"",IF(H55=J55,G55,(INDEX('Emission factors'!$K$3:$V$276,MATCH($B55&amp;$C55&amp;$D55,'Emission factors'!$J$3:$J$276&amp;'Emission factors'!$K$3:$K$276&amp;'Emission factors'!$L$3:$L$276,0),MATCH('Business travel, commute, home'!I$7,'Emission factors'!$K$2:$V$2,0)))*G55))</f>
        <v/>
      </c>
      <c r="J55" s="35" t="str" cm="1">
        <f t="array" ref="J55">IF(OR($B55="",$C55="",$G55=""),"",INDEX('Emission factors'!$K$3:$V$276,MATCH($B55&amp;$C55&amp;$D55,'Emission factors'!$J$3:$J$276&amp;'Emission factors'!$K$3:$K$276&amp;'Emission factors'!$L$3:$L$276,0),MATCH('Business travel, commute, home'!J$7,'Emission factors'!$K$2:$V$2,0)))</f>
        <v/>
      </c>
      <c r="K55" s="35" t="str" cm="1">
        <f t="array" ref="K55">IF(OR(B55="",C55="",D55=""),"",INDEX('Emission factors'!$K$3:$V$276,MATCH($B55&amp;$C55&amp;$D55,'Emission factors'!$J$3:$J$276&amp;'Emission factors'!$K$3:$K$276&amp;'Emission factors'!$L$3:$L$276,0),MATCH('Business travel, commute, home'!K$7,'Emission factors'!$K$2:$V$2,0)))</f>
        <v/>
      </c>
      <c r="L55" s="38" t="str">
        <f>IF(OR(I55="",K55=""),"",SUM(CommutingTable[[#This Row],[Direct]:[Indirect WTT]]))</f>
        <v/>
      </c>
      <c r="M55" s="201"/>
      <c r="N55" s="199"/>
      <c r="O55" s="292" t="str" cm="1">
        <f t="array" ref="O55">IF(OR($C55="",$G55="",CommutingTable[[#This Row],[Converted data]]=""),"",(INDEX('Emission factors'!$K$3:$V$201,MATCH($B55&amp;$C55&amp;$D55,'Emission factors'!$J$3:$J$201&amp;'Emission factors'!$K$3:$K$201&amp;'Emission factors'!$L$3:$L$201,0),MATCH(O$37,'Emission factors'!$K$2:$V$2,0)))*$I55)</f>
        <v/>
      </c>
      <c r="P55" s="292" t="str" cm="1">
        <f t="array" ref="P55">IF(OR($C55="",$G55="",CommutingTable[[#This Row],[Converted data]]=""),"",(INDEX('Emission factors'!$K$3:$V$201,MATCH($B55&amp;$C55&amp;$D55,'Emission factors'!$J$3:$J$201&amp;'Emission factors'!$K$3:$K$201&amp;'Emission factors'!$L$3:$L$201,0),MATCH(P$37,'Emission factors'!$K$2:$V$2,0)))*$I55)</f>
        <v/>
      </c>
      <c r="Q55" s="292" t="str" cm="1">
        <f t="array" ref="Q55">IF(OR($C55="",$G55="",CommutingTable[[#This Row],[Converted data]]=""),"",(INDEX('Emission factors'!$K$3:$V$201,MATCH($B55&amp;$C55&amp;$D55,'Emission factors'!$J$3:$J$201&amp;'Emission factors'!$K$3:$K$201&amp;'Emission factors'!$L$3:$L$201,0),MATCH(Q$37,'Emission factors'!$K$2:$V$2,0)))*$I55)</f>
        <v/>
      </c>
      <c r="R55" s="292" t="str" cm="1">
        <f t="array" ref="R55">IF(OR($C55="",$G55="",CommutingTable[[#This Row],[Converted data]]=""),"",(INDEX('Emission factors'!$K$3:$V$201,MATCH($B55&amp;$C55&amp;$D55,'Emission factors'!$J$3:$J$201&amp;'Emission factors'!$K$3:$K$201&amp;'Emission factors'!$L$3:$L$201,0),MATCH(R$37,'Emission factors'!$K$2:$V$2,0)))*$I55)</f>
        <v/>
      </c>
      <c r="S55" s="292" t="str" cm="1">
        <f t="array" ref="S55">IF(OR($C55="",$G55="",CommutingTable[[#This Row],[Converted data]]=""),"",(INDEX('Emission factors'!$K$3:$V$201,MATCH($B55&amp;$C55&amp;$D55,'Emission factors'!$J$3:$J$201&amp;'Emission factors'!$K$3:$K$201&amp;'Emission factors'!$L$3:$L$201,0),MATCH(S$37,'Emission factors'!$K$2:$V$2,0)))*$I55)</f>
        <v/>
      </c>
      <c r="T55" s="293" t="str">
        <f t="shared" si="7"/>
        <v/>
      </c>
      <c r="U55" s="333" t="str">
        <f t="shared" si="8"/>
        <v/>
      </c>
      <c r="V55" s="327" t="str" cm="1">
        <f t="array" ref="V55">IF(OR($C55="",$G55="",CommutingTable[[#This Row],[Converted data]]=""),"",(INDEX('Emission factors'!$K$3:$V$201,MATCH($B55&amp;$C55&amp;$D55,'Emission factors'!$J$3:$J$201&amp;'Emission factors'!$K$3:$K$201&amp;'Emission factors'!$L$3:$L$201,0),MATCH(V$37,'Emission factors'!$K$2:$V$2,0)))*$I55)</f>
        <v/>
      </c>
      <c r="X55" s="1" cm="1">
        <f t="array" ref="X55">IF(OR(ISERROR(B55:V55)),1,0)</f>
        <v>0</v>
      </c>
      <c r="Y55" s="1">
        <f t="shared" si="9"/>
        <v>0</v>
      </c>
    </row>
    <row r="56" spans="2:25" ht="15" thickBot="1" x14ac:dyDescent="0.4">
      <c r="B56" s="198"/>
      <c r="C56" s="199"/>
      <c r="D56" s="199"/>
      <c r="E56" s="199"/>
      <c r="F56" s="137" t="str">
        <f>IF(E56="","",INDEX(Lists!$BA$4:$BC$31,MATCH('Business travel, commute, home'!$B56,Lists!$AZ$4:$AZ$31,0),MATCH('Business travel, commute, home'!E56,Lists!$BA$3:$BC$3,0)))</f>
        <v/>
      </c>
      <c r="G56" s="148"/>
      <c r="H56" s="199"/>
      <c r="I56" s="36" t="str" cm="1">
        <f t="array" ref="I56">IF(OR($B56="",$C56="",$D56="",H56=""),"",IF(H56=J56,G56,(INDEX('Emission factors'!$K$3:$V$276,MATCH($B56&amp;$C56&amp;$D56,'Emission factors'!$J$3:$J$276&amp;'Emission factors'!$K$3:$K$276&amp;'Emission factors'!$L$3:$L$276,0),MATCH('Business travel, commute, home'!I$7,'Emission factors'!$K$2:$V$2,0)))*G56))</f>
        <v/>
      </c>
      <c r="J56" s="35" t="str" cm="1">
        <f t="array" ref="J56">IF(OR($B56="",$C56="",$G56=""),"",INDEX('Emission factors'!$K$3:$V$276,MATCH($B56&amp;$C56&amp;$D56,'Emission factors'!$J$3:$J$276&amp;'Emission factors'!$K$3:$K$276&amp;'Emission factors'!$L$3:$L$276,0),MATCH('Business travel, commute, home'!J$7,'Emission factors'!$K$2:$V$2,0)))</f>
        <v/>
      </c>
      <c r="K56" s="35" t="str">
        <f t="array" ref="K56">IF(OR(B56="",C56="",D56=""),"",INDEX('Emission factors'!$K$3:$V$276,MATCH($B56&amp;$C56&amp;$D56,'Emission factors'!$J$3:$J$276&amp;'Emission factors'!$K$3:$K$276&amp;'Emission factors'!$L$3:$L$276,0),MATCH('Business travel, commute, home'!K$7,'Emission factors'!$K$2:$V$2,0)))</f>
        <v/>
      </c>
      <c r="L56" s="38" t="str">
        <f>IF(OR(I56="",K56=""),"",SUM(CommutingTable[[#This Row],[Direct]:[Indirect WTT]]))</f>
        <v/>
      </c>
      <c r="M56" s="201"/>
      <c r="N56" s="199"/>
      <c r="O56" s="292" t="str" cm="1">
        <f t="array" ref="O56">IF(OR($C56="",$G56="",CommutingTable[[#This Row],[Converted data]]=""),"",(INDEX('Emission factors'!$K$3:$V$201,MATCH($B56&amp;$C56&amp;$D56,'Emission factors'!$J$3:$J$201&amp;'Emission factors'!$K$3:$K$201&amp;'Emission factors'!$L$3:$L$201,0),MATCH(O$37,'Emission factors'!$K$2:$V$2,0)))*$I56)</f>
        <v/>
      </c>
      <c r="P56" s="292" t="str" cm="1">
        <f t="array" ref="P56">IF(OR($C56="",$G56="",CommutingTable[[#This Row],[Converted data]]=""),"",(INDEX('Emission factors'!$K$3:$V$201,MATCH($B56&amp;$C56&amp;$D56,'Emission factors'!$J$3:$J$201&amp;'Emission factors'!$K$3:$K$201&amp;'Emission factors'!$L$3:$L$201,0),MATCH(P$37,'Emission factors'!$K$2:$V$2,0)))*$I56)</f>
        <v/>
      </c>
      <c r="Q56" s="292" t="str" cm="1">
        <f t="array" ref="Q56">IF(OR($C56="",$G56="",CommutingTable[[#This Row],[Converted data]]=""),"",(INDEX('Emission factors'!$K$3:$V$201,MATCH($B56&amp;$C56&amp;$D56,'Emission factors'!$J$3:$J$201&amp;'Emission factors'!$K$3:$K$201&amp;'Emission factors'!$L$3:$L$201,0),MATCH(Q$37,'Emission factors'!$K$2:$V$2,0)))*$I56)</f>
        <v/>
      </c>
      <c r="R56" s="292" t="str" cm="1">
        <f t="array" ref="R56">IF(OR($C56="",$G56="",CommutingTable[[#This Row],[Converted data]]=""),"",(INDEX('Emission factors'!$K$3:$V$201,MATCH($B56&amp;$C56&amp;$D56,'Emission factors'!$J$3:$J$201&amp;'Emission factors'!$K$3:$K$201&amp;'Emission factors'!$L$3:$L$201,0),MATCH(R$37,'Emission factors'!$K$2:$V$2,0)))*$I56)</f>
        <v/>
      </c>
      <c r="S56" s="292" t="str" cm="1">
        <f t="array" ref="S56">IF(OR($C56="",$G56="",CommutingTable[[#This Row],[Converted data]]=""),"",(INDEX('Emission factors'!$K$3:$V$201,MATCH($B56&amp;$C56&amp;$D56,'Emission factors'!$J$3:$J$201&amp;'Emission factors'!$K$3:$K$201&amp;'Emission factors'!$L$3:$L$201,0),MATCH(S$37,'Emission factors'!$K$2:$V$2,0)))*$I56)</f>
        <v/>
      </c>
      <c r="T56" s="293" t="str">
        <f t="shared" si="7"/>
        <v/>
      </c>
      <c r="U56" s="333" t="str">
        <f t="shared" si="8"/>
        <v/>
      </c>
      <c r="V56" s="327" t="str" cm="1">
        <f t="array" ref="V56">IF(OR($C56="",$G56="",CommutingTable[[#This Row],[Converted data]]=""),"",(INDEX('Emission factors'!$K$3:$V$201,MATCH($B56&amp;$C56&amp;$D56,'Emission factors'!$J$3:$J$201&amp;'Emission factors'!$K$3:$K$201&amp;'Emission factors'!$L$3:$L$201,0),MATCH(V$37,'Emission factors'!$K$2:$V$2,0)))*$I56)</f>
        <v/>
      </c>
      <c r="X56" s="1" cm="1">
        <f t="array" ref="X56">IF(OR(ISERROR(B56:V56)),1,0)</f>
        <v>0</v>
      </c>
      <c r="Y56" s="1">
        <f t="shared" si="9"/>
        <v>0</v>
      </c>
    </row>
    <row r="57" spans="2:25" ht="15" thickBot="1" x14ac:dyDescent="0.4">
      <c r="B57" s="198"/>
      <c r="C57" s="199"/>
      <c r="D57" s="199"/>
      <c r="E57" s="199"/>
      <c r="F57" s="137" t="str">
        <f>IF(E57="","",INDEX(Lists!$BA$4:$BC$31,MATCH('Business travel, commute, home'!$B57,Lists!$AZ$4:$AZ$31,0),MATCH('Business travel, commute, home'!E57,Lists!$BA$3:$BC$3,0)))</f>
        <v/>
      </c>
      <c r="G57" s="148"/>
      <c r="H57" s="199"/>
      <c r="I57" s="36" t="str" cm="1">
        <f t="array" ref="I57">IF(OR($B57="",$C57="",$D57="",H57=""),"",IF(H57=J57,G57,(INDEX('Emission factors'!$K$3:$V$276,MATCH($B57&amp;$C57&amp;$D57,'Emission factors'!$J$3:$J$276&amp;'Emission factors'!$K$3:$K$276&amp;'Emission factors'!$L$3:$L$276,0),MATCH('Business travel, commute, home'!I$7,'Emission factors'!$K$2:$V$2,0)))*G57))</f>
        <v/>
      </c>
      <c r="J57" s="35" t="str" cm="1">
        <f t="array" ref="J57">IF(OR($B57="",$C57="",$G57=""),"",INDEX('Emission factors'!$K$3:$V$276,MATCH($B57&amp;$C57&amp;$D57,'Emission factors'!$J$3:$J$276&amp;'Emission factors'!$K$3:$K$276&amp;'Emission factors'!$L$3:$L$276,0),MATCH('Business travel, commute, home'!J$7,'Emission factors'!$K$2:$V$2,0)))</f>
        <v/>
      </c>
      <c r="K57" s="35" t="str">
        <f t="array" ref="K57">IF(OR(B57="",C57="",D57=""),"",INDEX('Emission factors'!$K$3:$V$276,MATCH($B57&amp;$C57&amp;$D57,'Emission factors'!$J$3:$J$276&amp;'Emission factors'!$K$3:$K$276&amp;'Emission factors'!$L$3:$L$276,0),MATCH('Business travel, commute, home'!K$7,'Emission factors'!$K$2:$V$2,0)))</f>
        <v/>
      </c>
      <c r="L57" s="38" t="str">
        <f>IF(OR(I57="",K57=""),"",SUM(CommutingTable[[#This Row],[Direct]:[Indirect WTT]]))</f>
        <v/>
      </c>
      <c r="M57" s="201"/>
      <c r="N57" s="199"/>
      <c r="O57" s="292" t="str" cm="1">
        <f t="array" ref="O57">IF(OR($C57="",$G57="",CommutingTable[[#This Row],[Converted data]]=""),"",(INDEX('Emission factors'!$K$3:$V$201,MATCH($B57&amp;$C57&amp;$D57,'Emission factors'!$J$3:$J$201&amp;'Emission factors'!$K$3:$K$201&amp;'Emission factors'!$L$3:$L$201,0),MATCH(O$37,'Emission factors'!$K$2:$V$2,0)))*$I57)</f>
        <v/>
      </c>
      <c r="P57" s="292" t="str" cm="1">
        <f t="array" ref="P57">IF(OR($C57="",$G57="",CommutingTable[[#This Row],[Converted data]]=""),"",(INDEX('Emission factors'!$K$3:$V$201,MATCH($B57&amp;$C57&amp;$D57,'Emission factors'!$J$3:$J$201&amp;'Emission factors'!$K$3:$K$201&amp;'Emission factors'!$L$3:$L$201,0),MATCH(P$37,'Emission factors'!$K$2:$V$2,0)))*$I57)</f>
        <v/>
      </c>
      <c r="Q57" s="292" t="str" cm="1">
        <f t="array" ref="Q57">IF(OR($C57="",$G57="",CommutingTable[[#This Row],[Converted data]]=""),"",(INDEX('Emission factors'!$K$3:$V$201,MATCH($B57&amp;$C57&amp;$D57,'Emission factors'!$J$3:$J$201&amp;'Emission factors'!$K$3:$K$201&amp;'Emission factors'!$L$3:$L$201,0),MATCH(Q$37,'Emission factors'!$K$2:$V$2,0)))*$I57)</f>
        <v/>
      </c>
      <c r="R57" s="292" t="str" cm="1">
        <f t="array" ref="R57">IF(OR($C57="",$G57="",CommutingTable[[#This Row],[Converted data]]=""),"",(INDEX('Emission factors'!$K$3:$V$201,MATCH($B57&amp;$C57&amp;$D57,'Emission factors'!$J$3:$J$201&amp;'Emission factors'!$K$3:$K$201&amp;'Emission factors'!$L$3:$L$201,0),MATCH(R$37,'Emission factors'!$K$2:$V$2,0)))*$I57)</f>
        <v/>
      </c>
      <c r="S57" s="292" t="str" cm="1">
        <f t="array" ref="S57">IF(OR($C57="",$G57="",CommutingTable[[#This Row],[Converted data]]=""),"",(INDEX('Emission factors'!$K$3:$V$201,MATCH($B57&amp;$C57&amp;$D57,'Emission factors'!$J$3:$J$201&amp;'Emission factors'!$K$3:$K$201&amp;'Emission factors'!$L$3:$L$201,0),MATCH(S$37,'Emission factors'!$K$2:$V$2,0)))*$I57)</f>
        <v/>
      </c>
      <c r="T57" s="293" t="str">
        <f t="shared" si="7"/>
        <v/>
      </c>
      <c r="U57" s="333" t="str">
        <f t="shared" si="8"/>
        <v/>
      </c>
      <c r="V57" s="327" t="str" cm="1">
        <f t="array" ref="V57">IF(OR($C57="",$G57="",CommutingTable[[#This Row],[Converted data]]=""),"",(INDEX('Emission factors'!$K$3:$V$201,MATCH($B57&amp;$C57&amp;$D57,'Emission factors'!$J$3:$J$201&amp;'Emission factors'!$K$3:$K$201&amp;'Emission factors'!$L$3:$L$201,0),MATCH(V$37,'Emission factors'!$K$2:$V$2,0)))*$I57)</f>
        <v/>
      </c>
      <c r="X57" s="1" cm="1">
        <f t="array" ref="X57">IF(OR(ISERROR(B57:V57)),1,0)</f>
        <v>0</v>
      </c>
      <c r="Y57" s="1">
        <f t="shared" si="9"/>
        <v>0</v>
      </c>
    </row>
    <row r="58" spans="2:25" ht="15" thickBot="1" x14ac:dyDescent="0.4">
      <c r="B58" s="198"/>
      <c r="C58" s="199"/>
      <c r="D58" s="199"/>
      <c r="E58" s="199"/>
      <c r="F58" s="137" t="str">
        <f>IF(E58="","",INDEX(Lists!$BA$4:$BC$31,MATCH('Business travel, commute, home'!$B58,Lists!$AZ$4:$AZ$31,0),MATCH('Business travel, commute, home'!E58,Lists!$BA$3:$BC$3,0)))</f>
        <v/>
      </c>
      <c r="G58" s="148"/>
      <c r="H58" s="199"/>
      <c r="I58" s="36" t="str" cm="1">
        <f t="array" ref="I58">IF(OR($B58="",$C58="",$D58="",H58=""),"",IF(H58=J58,G58,(INDEX('Emission factors'!$K$3:$V$276,MATCH($B58&amp;$C58&amp;$D58,'Emission factors'!$J$3:$J$276&amp;'Emission factors'!$K$3:$K$276&amp;'Emission factors'!$L$3:$L$276,0),MATCH('Business travel, commute, home'!I$7,'Emission factors'!$K$2:$V$2,0)))*G58))</f>
        <v/>
      </c>
      <c r="J58" s="35" t="str" cm="1">
        <f t="array" ref="J58">IF(OR($B58="",$C58="",$G58=""),"",INDEX('Emission factors'!$K$3:$V$276,MATCH($B58&amp;$C58&amp;$D58,'Emission factors'!$J$3:$J$276&amp;'Emission factors'!$K$3:$K$276&amp;'Emission factors'!$L$3:$L$276,0),MATCH('Business travel, commute, home'!J$7,'Emission factors'!$K$2:$V$2,0)))</f>
        <v/>
      </c>
      <c r="K58" s="35" t="str">
        <f t="array" ref="K58">IF(OR(B58="",C58="",D58=""),"",INDEX('Emission factors'!$K$3:$V$276,MATCH($B58&amp;$C58&amp;$D58,'Emission factors'!$J$3:$J$276&amp;'Emission factors'!$K$3:$K$276&amp;'Emission factors'!$L$3:$L$276,0),MATCH('Business travel, commute, home'!K$7,'Emission factors'!$K$2:$V$2,0)))</f>
        <v/>
      </c>
      <c r="L58" s="38" t="str">
        <f>IF(OR(I58="",K58=""),"",SUM(CommutingTable[[#This Row],[Direct]:[Indirect WTT]]))</f>
        <v/>
      </c>
      <c r="M58" s="201"/>
      <c r="N58" s="199"/>
      <c r="O58" s="292" t="str" cm="1">
        <f t="array" ref="O58">IF(OR($C58="",$G58="",CommutingTable[[#This Row],[Converted data]]=""),"",(INDEX('Emission factors'!$K$3:$V$201,MATCH($B58&amp;$C58&amp;$D58,'Emission factors'!$J$3:$J$201&amp;'Emission factors'!$K$3:$K$201&amp;'Emission factors'!$L$3:$L$201,0),MATCH(O$37,'Emission factors'!$K$2:$V$2,0)))*$I58)</f>
        <v/>
      </c>
      <c r="P58" s="292" t="str" cm="1">
        <f t="array" ref="P58">IF(OR($C58="",$G58="",CommutingTable[[#This Row],[Converted data]]=""),"",(INDEX('Emission factors'!$K$3:$V$201,MATCH($B58&amp;$C58&amp;$D58,'Emission factors'!$J$3:$J$201&amp;'Emission factors'!$K$3:$K$201&amp;'Emission factors'!$L$3:$L$201,0),MATCH(P$37,'Emission factors'!$K$2:$V$2,0)))*$I58)</f>
        <v/>
      </c>
      <c r="Q58" s="292" t="str" cm="1">
        <f t="array" ref="Q58">IF(OR($C58="",$G58="",CommutingTable[[#This Row],[Converted data]]=""),"",(INDEX('Emission factors'!$K$3:$V$201,MATCH($B58&amp;$C58&amp;$D58,'Emission factors'!$J$3:$J$201&amp;'Emission factors'!$K$3:$K$201&amp;'Emission factors'!$L$3:$L$201,0),MATCH(Q$37,'Emission factors'!$K$2:$V$2,0)))*$I58)</f>
        <v/>
      </c>
      <c r="R58" s="292" t="str" cm="1">
        <f t="array" ref="R58">IF(OR($C58="",$G58="",CommutingTable[[#This Row],[Converted data]]=""),"",(INDEX('Emission factors'!$K$3:$V$201,MATCH($B58&amp;$C58&amp;$D58,'Emission factors'!$J$3:$J$201&amp;'Emission factors'!$K$3:$K$201&amp;'Emission factors'!$L$3:$L$201,0),MATCH(R$37,'Emission factors'!$K$2:$V$2,0)))*$I58)</f>
        <v/>
      </c>
      <c r="S58" s="292" t="str" cm="1">
        <f t="array" ref="S58">IF(OR($C58="",$G58="",CommutingTable[[#This Row],[Converted data]]=""),"",(INDEX('Emission factors'!$K$3:$V$201,MATCH($B58&amp;$C58&amp;$D58,'Emission factors'!$J$3:$J$201&amp;'Emission factors'!$K$3:$K$201&amp;'Emission factors'!$L$3:$L$201,0),MATCH(S$37,'Emission factors'!$K$2:$V$2,0)))*$I58)</f>
        <v/>
      </c>
      <c r="T58" s="293" t="str">
        <f t="shared" si="7"/>
        <v/>
      </c>
      <c r="U58" s="333" t="str">
        <f t="shared" si="8"/>
        <v/>
      </c>
      <c r="V58" s="327" t="str" cm="1">
        <f t="array" ref="V58">IF(OR($C58="",$G58="",CommutingTable[[#This Row],[Converted data]]=""),"",(INDEX('Emission factors'!$K$3:$V$201,MATCH($B58&amp;$C58&amp;$D58,'Emission factors'!$J$3:$J$201&amp;'Emission factors'!$K$3:$K$201&amp;'Emission factors'!$L$3:$L$201,0),MATCH(V$37,'Emission factors'!$K$2:$V$2,0)))*$I58)</f>
        <v/>
      </c>
      <c r="X58" s="1" cm="1">
        <f t="array" ref="X58">IF(OR(ISERROR(B58:V58)),1,0)</f>
        <v>0</v>
      </c>
      <c r="Y58" s="1">
        <f t="shared" si="9"/>
        <v>0</v>
      </c>
    </row>
    <row r="59" spans="2:25" ht="15" thickBot="1" x14ac:dyDescent="0.4">
      <c r="B59" s="198"/>
      <c r="C59" s="199"/>
      <c r="D59" s="199"/>
      <c r="E59" s="199"/>
      <c r="F59" s="137" t="str">
        <f>IF(E59="","",INDEX(Lists!$BA$4:$BC$31,MATCH('Business travel, commute, home'!$B59,Lists!$AZ$4:$AZ$31,0),MATCH('Business travel, commute, home'!E59,Lists!$BA$3:$BC$3,0)))</f>
        <v/>
      </c>
      <c r="G59" s="148"/>
      <c r="H59" s="199"/>
      <c r="I59" s="36" t="str" cm="1">
        <f t="array" ref="I59">IF(OR($B59="",$C59="",$D59="",H59=""),"",IF(H59=J59,G59,(INDEX('Emission factors'!$K$3:$V$276,MATCH($B59&amp;$C59&amp;$D59,'Emission factors'!$J$3:$J$276&amp;'Emission factors'!$K$3:$K$276&amp;'Emission factors'!$L$3:$L$276,0),MATCH('Business travel, commute, home'!I$7,'Emission factors'!$K$2:$V$2,0)))*G59))</f>
        <v/>
      </c>
      <c r="J59" s="35" t="str" cm="1">
        <f t="array" ref="J59">IF(OR($B59="",$C59="",$G59=""),"",INDEX('Emission factors'!$K$3:$V$276,MATCH($B59&amp;$C59&amp;$D59,'Emission factors'!$J$3:$J$276&amp;'Emission factors'!$K$3:$K$276&amp;'Emission factors'!$L$3:$L$276,0),MATCH('Business travel, commute, home'!J$7,'Emission factors'!$K$2:$V$2,0)))</f>
        <v/>
      </c>
      <c r="K59" s="35" t="str">
        <f t="array" ref="K59">IF(OR(B59="",C59="",D59=""),"",INDEX('Emission factors'!$K$3:$V$276,MATCH($B59&amp;$C59&amp;$D59,'Emission factors'!$J$3:$J$276&amp;'Emission factors'!$K$3:$K$276&amp;'Emission factors'!$L$3:$L$276,0),MATCH('Business travel, commute, home'!K$7,'Emission factors'!$K$2:$V$2,0)))</f>
        <v/>
      </c>
      <c r="L59" s="38" t="str">
        <f>IF(OR(I59="",K59=""),"",SUM(CommutingTable[[#This Row],[Direct]:[Indirect WTT]]))</f>
        <v/>
      </c>
      <c r="M59" s="201"/>
      <c r="N59" s="199"/>
      <c r="O59" s="292" t="str" cm="1">
        <f t="array" ref="O59">IF(OR($C59="",$G59="",CommutingTable[[#This Row],[Converted data]]=""),"",(INDEX('Emission factors'!$K$3:$V$201,MATCH($B59&amp;$C59&amp;$D59,'Emission factors'!$J$3:$J$201&amp;'Emission factors'!$K$3:$K$201&amp;'Emission factors'!$L$3:$L$201,0),MATCH(O$37,'Emission factors'!$K$2:$V$2,0)))*$I59)</f>
        <v/>
      </c>
      <c r="P59" s="292" t="str" cm="1">
        <f t="array" ref="P59">IF(OR($C59="",$G59="",CommutingTable[[#This Row],[Converted data]]=""),"",(INDEX('Emission factors'!$K$3:$V$201,MATCH($B59&amp;$C59&amp;$D59,'Emission factors'!$J$3:$J$201&amp;'Emission factors'!$K$3:$K$201&amp;'Emission factors'!$L$3:$L$201,0),MATCH(P$37,'Emission factors'!$K$2:$V$2,0)))*$I59)</f>
        <v/>
      </c>
      <c r="Q59" s="292" t="str" cm="1">
        <f t="array" ref="Q59">IF(OR($C59="",$G59="",CommutingTable[[#This Row],[Converted data]]=""),"",(INDEX('Emission factors'!$K$3:$V$201,MATCH($B59&amp;$C59&amp;$D59,'Emission factors'!$J$3:$J$201&amp;'Emission factors'!$K$3:$K$201&amp;'Emission factors'!$L$3:$L$201,0),MATCH(Q$37,'Emission factors'!$K$2:$V$2,0)))*$I59)</f>
        <v/>
      </c>
      <c r="R59" s="292" t="str" cm="1">
        <f t="array" ref="R59">IF(OR($C59="",$G59="",CommutingTable[[#This Row],[Converted data]]=""),"",(INDEX('Emission factors'!$K$3:$V$201,MATCH($B59&amp;$C59&amp;$D59,'Emission factors'!$J$3:$J$201&amp;'Emission factors'!$K$3:$K$201&amp;'Emission factors'!$L$3:$L$201,0),MATCH(R$37,'Emission factors'!$K$2:$V$2,0)))*$I59)</f>
        <v/>
      </c>
      <c r="S59" s="292" t="str" cm="1">
        <f t="array" ref="S59">IF(OR($C59="",$G59="",CommutingTable[[#This Row],[Converted data]]=""),"",(INDEX('Emission factors'!$K$3:$V$201,MATCH($B59&amp;$C59&amp;$D59,'Emission factors'!$J$3:$J$201&amp;'Emission factors'!$K$3:$K$201&amp;'Emission factors'!$L$3:$L$201,0),MATCH(S$37,'Emission factors'!$K$2:$V$2,0)))*$I59)</f>
        <v/>
      </c>
      <c r="T59" s="293" t="str">
        <f t="shared" si="7"/>
        <v/>
      </c>
      <c r="U59" s="333" t="str">
        <f t="shared" si="8"/>
        <v/>
      </c>
      <c r="V59" s="327" t="str" cm="1">
        <f t="array" ref="V59">IF(OR($C59="",$G59="",CommutingTable[[#This Row],[Converted data]]=""),"",(INDEX('Emission factors'!$K$3:$V$201,MATCH($B59&amp;$C59&amp;$D59,'Emission factors'!$J$3:$J$201&amp;'Emission factors'!$K$3:$K$201&amp;'Emission factors'!$L$3:$L$201,0),MATCH(V$37,'Emission factors'!$K$2:$V$2,0)))*$I59)</f>
        <v/>
      </c>
      <c r="X59" s="1" cm="1">
        <f t="array" ref="X59">IF(OR(ISERROR(B59:V59)),1,0)</f>
        <v>0</v>
      </c>
      <c r="Y59" s="1">
        <f t="shared" si="9"/>
        <v>0</v>
      </c>
    </row>
    <row r="60" spans="2:25" ht="15" thickBot="1" x14ac:dyDescent="0.4">
      <c r="B60" s="198"/>
      <c r="C60" s="199"/>
      <c r="D60" s="199"/>
      <c r="E60" s="199"/>
      <c r="F60" s="137" t="str">
        <f>IF(E60="","",INDEX(Lists!$BA$4:$BC$31,MATCH('Business travel, commute, home'!$B60,Lists!$AZ$4:$AZ$31,0),MATCH('Business travel, commute, home'!E60,Lists!$BA$3:$BC$3,0)))</f>
        <v/>
      </c>
      <c r="G60" s="148"/>
      <c r="H60" s="199"/>
      <c r="I60" s="36" t="str" cm="1">
        <f t="array" ref="I60">IF(OR($B60="",$C60="",$D60="",H60=""),"",IF(H60=J60,G60,(INDEX('Emission factors'!$K$3:$V$276,MATCH($B60&amp;$C60&amp;$D60,'Emission factors'!$J$3:$J$276&amp;'Emission factors'!$K$3:$K$276&amp;'Emission factors'!$L$3:$L$276,0),MATCH('Business travel, commute, home'!I$7,'Emission factors'!$K$2:$V$2,0)))*G60))</f>
        <v/>
      </c>
      <c r="J60" s="35" t="str" cm="1">
        <f t="array" ref="J60">IF(OR($B60="",$C60="",$G60=""),"",INDEX('Emission factors'!$K$3:$V$276,MATCH($B60&amp;$C60&amp;$D60,'Emission factors'!$J$3:$J$276&amp;'Emission factors'!$K$3:$K$276&amp;'Emission factors'!$L$3:$L$276,0),MATCH('Business travel, commute, home'!J$7,'Emission factors'!$K$2:$V$2,0)))</f>
        <v/>
      </c>
      <c r="K60" s="35" t="str">
        <f t="array" ref="K60">IF(OR(B60="",C60="",D60=""),"",INDEX('Emission factors'!$K$3:$V$276,MATCH($B60&amp;$C60&amp;$D60,'Emission factors'!$J$3:$J$276&amp;'Emission factors'!$K$3:$K$276&amp;'Emission factors'!$L$3:$L$276,0),MATCH('Business travel, commute, home'!K$7,'Emission factors'!$K$2:$V$2,0)))</f>
        <v/>
      </c>
      <c r="L60" s="38" t="str">
        <f>IF(OR(I60="",K60=""),"",SUM(CommutingTable[[#This Row],[Direct]:[Indirect WTT]]))</f>
        <v/>
      </c>
      <c r="M60" s="201"/>
      <c r="N60" s="199"/>
      <c r="O60" s="292" t="str" cm="1">
        <f t="array" ref="O60">IF(OR($C60="",$G60="",CommutingTable[[#This Row],[Converted data]]=""),"",(INDEX('Emission factors'!$K$3:$V$201,MATCH($B60&amp;$C60&amp;$D60,'Emission factors'!$J$3:$J$201&amp;'Emission factors'!$K$3:$K$201&amp;'Emission factors'!$L$3:$L$201,0),MATCH(O$37,'Emission factors'!$K$2:$V$2,0)))*$I60)</f>
        <v/>
      </c>
      <c r="P60" s="292" t="str" cm="1">
        <f t="array" ref="P60">IF(OR($C60="",$G60="",CommutingTable[[#This Row],[Converted data]]=""),"",(INDEX('Emission factors'!$K$3:$V$201,MATCH($B60&amp;$C60&amp;$D60,'Emission factors'!$J$3:$J$201&amp;'Emission factors'!$K$3:$K$201&amp;'Emission factors'!$L$3:$L$201,0),MATCH(P$37,'Emission factors'!$K$2:$V$2,0)))*$I60)</f>
        <v/>
      </c>
      <c r="Q60" s="292" t="str" cm="1">
        <f t="array" ref="Q60">IF(OR($C60="",$G60="",CommutingTable[[#This Row],[Converted data]]=""),"",(INDEX('Emission factors'!$K$3:$V$201,MATCH($B60&amp;$C60&amp;$D60,'Emission factors'!$J$3:$J$201&amp;'Emission factors'!$K$3:$K$201&amp;'Emission factors'!$L$3:$L$201,0),MATCH(Q$37,'Emission factors'!$K$2:$V$2,0)))*$I60)</f>
        <v/>
      </c>
      <c r="R60" s="292" t="str" cm="1">
        <f t="array" ref="R60">IF(OR($C60="",$G60="",CommutingTable[[#This Row],[Converted data]]=""),"",(INDEX('Emission factors'!$K$3:$V$201,MATCH($B60&amp;$C60&amp;$D60,'Emission factors'!$J$3:$J$201&amp;'Emission factors'!$K$3:$K$201&amp;'Emission factors'!$L$3:$L$201,0),MATCH(R$37,'Emission factors'!$K$2:$V$2,0)))*$I60)</f>
        <v/>
      </c>
      <c r="S60" s="292" t="str" cm="1">
        <f t="array" ref="S60">IF(OR($C60="",$G60="",CommutingTable[[#This Row],[Converted data]]=""),"",(INDEX('Emission factors'!$K$3:$V$201,MATCH($B60&amp;$C60&amp;$D60,'Emission factors'!$J$3:$J$201&amp;'Emission factors'!$K$3:$K$201&amp;'Emission factors'!$L$3:$L$201,0),MATCH(S$37,'Emission factors'!$K$2:$V$2,0)))*$I60)</f>
        <v/>
      </c>
      <c r="T60" s="293" t="str">
        <f t="shared" si="7"/>
        <v/>
      </c>
      <c r="U60" s="333" t="str">
        <f t="shared" si="8"/>
        <v/>
      </c>
      <c r="V60" s="327" t="str" cm="1">
        <f t="array" ref="V60">IF(OR($C60="",$G60="",CommutingTable[[#This Row],[Converted data]]=""),"",(INDEX('Emission factors'!$K$3:$V$201,MATCH($B60&amp;$C60&amp;$D60,'Emission factors'!$J$3:$J$201&amp;'Emission factors'!$K$3:$K$201&amp;'Emission factors'!$L$3:$L$201,0),MATCH(V$37,'Emission factors'!$K$2:$V$2,0)))*$I60)</f>
        <v/>
      </c>
      <c r="X60" s="1" cm="1">
        <f t="array" ref="X60">IF(OR(ISERROR(B60:V60)),1,0)</f>
        <v>0</v>
      </c>
      <c r="Y60" s="1">
        <f t="shared" si="9"/>
        <v>0</v>
      </c>
    </row>
    <row r="61" spans="2:25" ht="15" thickBot="1" x14ac:dyDescent="0.4">
      <c r="B61" s="198"/>
      <c r="C61" s="199"/>
      <c r="D61" s="199"/>
      <c r="E61" s="199"/>
      <c r="F61" s="138" t="str">
        <f>IF(E61="","",INDEX(Lists!$BA$4:$BC$31,MATCH('Business travel, commute, home'!$B61,Lists!$AZ$4:$AZ$31,0),MATCH('Business travel, commute, home'!E61,Lists!$BA$3:$BC$3,0)))</f>
        <v/>
      </c>
      <c r="G61" s="148"/>
      <c r="H61" s="199"/>
      <c r="I61" s="53" t="str" cm="1">
        <f t="array" ref="I61">IF(OR($B61="",$C61="",$D61="",H61=""),"",IF(H61=J61,G61,(INDEX('Emission factors'!$K$3:$V$276,MATCH($B61&amp;$C61&amp;$D61,'Emission factors'!$J$3:$J$276&amp;'Emission factors'!$K$3:$K$276&amp;'Emission factors'!$L$3:$L$276,0),MATCH('Business travel, commute, home'!I$7,'Emission factors'!$K$2:$V$2,0)))*G61))</f>
        <v/>
      </c>
      <c r="J61" s="54" t="str" cm="1">
        <f t="array" ref="J61">IF(OR($B61="",$C61="",$G61=""),"",INDEX('Emission factors'!$K$3:$V$276,MATCH($B61&amp;$C61&amp;$D61,'Emission factors'!$J$3:$J$276&amp;'Emission factors'!$K$3:$K$276&amp;'Emission factors'!$L$3:$L$276,0),MATCH('Business travel, commute, home'!J$7,'Emission factors'!$K$2:$V$2,0)))</f>
        <v/>
      </c>
      <c r="K61" s="54" t="str">
        <f t="array" ref="K61">IF(OR(B61="",C61="",D61=""),"",INDEX('Emission factors'!$K$3:$V$276,MATCH($B61&amp;$C61&amp;$D61,'Emission factors'!$J$3:$J$276&amp;'Emission factors'!$K$3:$K$276&amp;'Emission factors'!$L$3:$L$276,0),MATCH('Business travel, commute, home'!K$7,'Emission factors'!$K$2:$V$2,0)))</f>
        <v/>
      </c>
      <c r="L61" s="38" t="str">
        <f>IF(OR(I61="",K61=""),"",SUM(CommutingTable[[#This Row],[Direct]:[Indirect WTT]]))</f>
        <v/>
      </c>
      <c r="M61" s="202"/>
      <c r="N61" s="200"/>
      <c r="O61" s="292" t="str" cm="1">
        <f t="array" ref="O61">IF(OR($C61="",$G61="",CommutingTable[[#This Row],[Converted data]]=""),"",(INDEX('Emission factors'!$K$3:$V$201,MATCH($B61&amp;$C61&amp;$D61,'Emission factors'!$J$3:$J$201&amp;'Emission factors'!$K$3:$K$201&amp;'Emission factors'!$L$3:$L$201,0),MATCH(O$37,'Emission factors'!$K$2:$V$2,0)))*$I61)</f>
        <v/>
      </c>
      <c r="P61" s="292" t="str" cm="1">
        <f t="array" ref="P61">IF(OR($C61="",$G61="",CommutingTable[[#This Row],[Converted data]]=""),"",(INDEX('Emission factors'!$K$3:$V$201,MATCH($B61&amp;$C61&amp;$D61,'Emission factors'!$J$3:$J$201&amp;'Emission factors'!$K$3:$K$201&amp;'Emission factors'!$L$3:$L$201,0),MATCH(P$37,'Emission factors'!$K$2:$V$2,0)))*$I61)</f>
        <v/>
      </c>
      <c r="Q61" s="292" t="str" cm="1">
        <f t="array" ref="Q61">IF(OR($C61="",$G61="",CommutingTable[[#This Row],[Converted data]]=""),"",(INDEX('Emission factors'!$K$3:$V$201,MATCH($B61&amp;$C61&amp;$D61,'Emission factors'!$J$3:$J$201&amp;'Emission factors'!$K$3:$K$201&amp;'Emission factors'!$L$3:$L$201,0),MATCH(Q$37,'Emission factors'!$K$2:$V$2,0)))*$I61)</f>
        <v/>
      </c>
      <c r="R61" s="292" t="str" cm="1">
        <f t="array" ref="R61">IF(OR($C61="",$G61="",CommutingTable[[#This Row],[Converted data]]=""),"",(INDEX('Emission factors'!$K$3:$V$201,MATCH($B61&amp;$C61&amp;$D61,'Emission factors'!$J$3:$J$201&amp;'Emission factors'!$K$3:$K$201&amp;'Emission factors'!$L$3:$L$201,0),MATCH(R$37,'Emission factors'!$K$2:$V$2,0)))*$I61)</f>
        <v/>
      </c>
      <c r="S61" s="292" t="str" cm="1">
        <f t="array" ref="S61">IF(OR($C61="",$G61="",CommutingTable[[#This Row],[Converted data]]=""),"",(INDEX('Emission factors'!$K$3:$V$201,MATCH($B61&amp;$C61&amp;$D61,'Emission factors'!$J$3:$J$201&amp;'Emission factors'!$K$3:$K$201&amp;'Emission factors'!$L$3:$L$201,0),MATCH(S$37,'Emission factors'!$K$2:$V$2,0)))*$I61)</f>
        <v/>
      </c>
      <c r="T61" s="293" t="str">
        <f t="shared" si="7"/>
        <v/>
      </c>
      <c r="U61" s="333" t="str">
        <f t="shared" si="8"/>
        <v/>
      </c>
      <c r="V61" s="327" t="str" cm="1">
        <f t="array" ref="V61">IF(OR($C61="",$G61="",CommutingTable[[#This Row],[Converted data]]=""),"",(INDEX('Emission factors'!$K$3:$V$201,MATCH($B61&amp;$C61&amp;$D61,'Emission factors'!$J$3:$J$201&amp;'Emission factors'!$K$3:$K$201&amp;'Emission factors'!$L$3:$L$201,0),MATCH(V$37,'Emission factors'!$K$2:$V$2,0)))*$I61)</f>
        <v/>
      </c>
      <c r="X61" s="1" cm="1">
        <f t="array" ref="X61">IF(OR(ISERROR(B61:V61)),1,0)</f>
        <v>0</v>
      </c>
      <c r="Y61" s="1">
        <f t="shared" si="9"/>
        <v>0</v>
      </c>
    </row>
    <row r="62" spans="2:25" x14ac:dyDescent="0.35">
      <c r="U62" s="309"/>
      <c r="V62" s="66"/>
    </row>
    <row r="63" spans="2:25" ht="19" thickBot="1" x14ac:dyDescent="0.4">
      <c r="B63" s="37" t="s">
        <v>72</v>
      </c>
      <c r="C63" s="440" t="str">
        <f>IFERROR(IF(SUM(HomeworkingTable[Number of FTE])&gt;Introduction!D14, "The number of FTEs entered here exceed the number of FTEs entered in the introduction sheet. Please review these numbers", "No error"),"Error present")</f>
        <v>No error</v>
      </c>
      <c r="H63" s="441" t="str">
        <f>IF($Y$64=0,"No data entered",IF($X$64=0,"No errors in this table","There are errors in this table see highlighted row(s)"))</f>
        <v>No data entered</v>
      </c>
      <c r="I63"/>
      <c r="O63" s="51" t="s">
        <v>111</v>
      </c>
      <c r="T63" s="56"/>
      <c r="U63" s="309"/>
      <c r="V63" s="66"/>
    </row>
    <row r="64" spans="2:25" ht="29.5" thickBot="1" x14ac:dyDescent="0.4">
      <c r="B64" s="52" t="s">
        <v>157</v>
      </c>
      <c r="C64" s="34" t="s">
        <v>164</v>
      </c>
      <c r="D64" s="34" t="s">
        <v>165</v>
      </c>
      <c r="E64" s="34" t="s">
        <v>159</v>
      </c>
      <c r="F64" s="34" t="s">
        <v>116</v>
      </c>
      <c r="G64" s="34" t="s">
        <v>117</v>
      </c>
      <c r="H64" s="34" t="s">
        <v>118</v>
      </c>
      <c r="I64" s="34" t="s">
        <v>119</v>
      </c>
      <c r="J64" s="34" t="s">
        <v>120</v>
      </c>
      <c r="K64" s="34" t="s">
        <v>121</v>
      </c>
      <c r="L64" s="34" t="s">
        <v>88</v>
      </c>
      <c r="M64" s="34" t="s">
        <v>122</v>
      </c>
      <c r="N64" s="34" t="s">
        <v>123</v>
      </c>
      <c r="O64" s="12" t="s">
        <v>59</v>
      </c>
      <c r="P64" s="12" t="s">
        <v>124</v>
      </c>
      <c r="Q64" s="12" t="s">
        <v>125</v>
      </c>
      <c r="R64" s="12" t="s">
        <v>126</v>
      </c>
      <c r="S64" s="12" t="s">
        <v>127</v>
      </c>
      <c r="T64" s="12" t="s">
        <v>67</v>
      </c>
      <c r="U64" s="332" t="s">
        <v>68</v>
      </c>
      <c r="V64" s="329" t="s">
        <v>63</v>
      </c>
      <c r="X64" s="15">
        <f>SUM(X65:X91)</f>
        <v>0</v>
      </c>
      <c r="Y64" s="15">
        <f>SUM(Y65:Y91)</f>
        <v>0</v>
      </c>
    </row>
    <row r="65" spans="2:25" ht="15" thickBot="1" x14ac:dyDescent="0.4">
      <c r="B65" s="198"/>
      <c r="C65" s="247"/>
      <c r="D65" s="248"/>
      <c r="E65" s="199"/>
      <c r="F65" s="139" t="str">
        <f>IF(E65="","",INDEX(Lists!$BA$4:$BC$31,MATCH('Business travel, commute, home'!$B65,Lists!$AZ$4:$AZ$31,0),MATCH('Business travel, commute, home'!E65,Lists!$BA$3:$BC$3,0)))</f>
        <v/>
      </c>
      <c r="G65" s="114">
        <f>HomeworkingTable[[#This Row],[Number of FTE]]*HomeworkingTable[[#This Row],[% working hours at home]]</f>
        <v>0</v>
      </c>
      <c r="H65" s="35" t="str">
        <f>IF(OR(HomeworkingTable[[#This Row],[Emission source]]="",HomeworkingTable[[#This Row],[Number of FTE]]="",HomeworkingTable[[#This Row],[% working hours at home]]=""),"","FTE years")</f>
        <v/>
      </c>
      <c r="I65" s="115" t="str">
        <f>IF(OR($B65="",$C65="",$D65="",H65=""),"",IF(H65=J65,G65,(INDEX('Emission factors'!$K$3:$V$276,MATCH($B65&amp;$C65&amp;$D65,'Emission factors'!$J$3:$J$276&amp;'Emission factors'!$K$3:$K$276&amp;'Emission factors'!$L$3:$L$276,0),MATCH('Business travel, commute, home'!I$7,'Emission factors'!$K$2:$V$2,0)))*G65))</f>
        <v/>
      </c>
      <c r="J65" s="35" t="str">
        <f>HomeworkingTable[[#This Row],[Units]]</f>
        <v/>
      </c>
      <c r="K65" s="113" t="str">
        <f>IF(OR(B65="",C65="",D65=""),"",INDEX('Emission factors'!$K$3:$V$276,MATCH($B65,'Emission factors'!$J$3:$J$276,0),MATCH('Business travel, commute, home'!K$7,'Emission factors'!$K$2:$V$2,0)))</f>
        <v/>
      </c>
      <c r="L65" s="38" t="str">
        <f>IF(OR(I65="",K65=""),"",SUM(HomeworkingTable[[#This Row],[Direct]:[Indirect WTT]]))</f>
        <v/>
      </c>
      <c r="M65" s="201"/>
      <c r="N65" s="199"/>
      <c r="O65" s="292" t="str">
        <f>IF(OR($C65="",$G65=""),"",(INDEX('Emission factors'!$K$3:$V$201,MATCH($B65,'Emission factors'!$J$3:$J$201,0),MATCH(O$64,'Emission factors'!$K$2:$V$2,0)))*$I65)</f>
        <v/>
      </c>
      <c r="P65" s="292" t="str">
        <f>IF(OR($C65="",$G65=""),"",(INDEX('Emission factors'!$K$3:$V$201,MATCH($B65,'Emission factors'!$J$3:$J$201,0),MATCH(P$64,'Emission factors'!$K$2:$V$2,0)))*$I65)</f>
        <v/>
      </c>
      <c r="Q65" s="292" t="str">
        <f>IF(OR($C65="",$G65=""),"",(INDEX('Emission factors'!$K$3:$V$201,MATCH($B65,'Emission factors'!$J$3:$J$201,0),MATCH(Q$64,'Emission factors'!$K$2:$V$2,0)))*$I65)</f>
        <v/>
      </c>
      <c r="R65" s="292" t="str">
        <f>IF(OR($C65="",$G65=""),"",(INDEX('Emission factors'!$K$3:$V$201,MATCH($B65,'Emission factors'!$J$3:$J$201,0),MATCH(R$64,'Emission factors'!$K$2:$V$2,0)))*$I65)</f>
        <v/>
      </c>
      <c r="S65" s="292" t="str">
        <f>IF(OR($C65="",$G65=""),"",(INDEX('Emission factors'!$K$3:$V$201,MATCH($B65,'Emission factors'!$J$3:$J$201,0),MATCH(S$64,'Emission factors'!$K$2:$V$2,0)))*$I65)</f>
        <v/>
      </c>
      <c r="T65" s="293" t="str">
        <f t="shared" ref="T65:T74" si="10">IF(OR($L65="",$F65=""),"",$L65*(1+$F65))</f>
        <v/>
      </c>
      <c r="U65" s="333" t="str">
        <f t="shared" ref="U65:U74" si="11">IF(OR($L65="",$F65=""),"",$L65*(1-$F65))</f>
        <v/>
      </c>
      <c r="V65" s="327" t="str">
        <f>IF(OR($C65="",$G65=""),"",(INDEX('Emission factors'!$K$3:$V$201,MATCH($B65,'Emission factors'!$J$3:$J$201,0),MATCH(V$64,'Emission factors'!$K$2:$V$2,0)))*$I65)</f>
        <v/>
      </c>
      <c r="X65" s="1" cm="1">
        <f t="array" ref="X65">IF(OR(ISERROR(B65:V65)),1,0)</f>
        <v>0</v>
      </c>
      <c r="Y65" s="1">
        <f>IF(AND(B65="",C65="",D65=""),0,1)</f>
        <v>0</v>
      </c>
    </row>
    <row r="66" spans="2:25" ht="15" thickBot="1" x14ac:dyDescent="0.4">
      <c r="B66" s="198"/>
      <c r="C66" s="247"/>
      <c r="D66" s="248"/>
      <c r="E66" s="199"/>
      <c r="F66" s="139" t="str">
        <f>IF(E66="","",INDEX(Lists!$BA$4:$BC$31,MATCH('Business travel, commute, home'!$B66,Lists!$AZ$4:$AZ$31,0),MATCH('Business travel, commute, home'!E66,Lists!$BA$3:$BC$3,0)))</f>
        <v/>
      </c>
      <c r="G66" s="114">
        <f>HomeworkingTable[[#This Row],[Number of FTE]]*HomeworkingTable[[#This Row],[% working hours at home]]</f>
        <v>0</v>
      </c>
      <c r="H66" s="35" t="str">
        <f>IF(OR(HomeworkingTable[[#This Row],[Emission source]]="",HomeworkingTable[[#This Row],[Number of FTE]]="",HomeworkingTable[[#This Row],[% working hours at home]]=""),"","FTE years")</f>
        <v/>
      </c>
      <c r="I66" s="115" t="str">
        <f>IF(OR($B66="",$C66="",$D66="",H66=""),"",IF(H66=J66,G66,(INDEX('Emission factors'!$K$3:$V$276,MATCH($B66&amp;$C66&amp;$D66,'Emission factors'!$J$3:$J$276&amp;'Emission factors'!$K$3:$K$276&amp;'Emission factors'!$L$3:$L$276,0),MATCH('Business travel, commute, home'!I$7,'Emission factors'!$K$2:$V$2,0)))*G66))</f>
        <v/>
      </c>
      <c r="J66" s="35" t="str">
        <f>HomeworkingTable[[#This Row],[Units]]</f>
        <v/>
      </c>
      <c r="K66" s="113" t="str">
        <f>IF(OR(B66="",C66="",D66=""),"",INDEX('Emission factors'!$K$3:$V$276,MATCH($B66,'Emission factors'!$J$3:$J$276,0),MATCH('Business travel, commute, home'!K$7,'Emission factors'!$K$2:$V$2,0)))</f>
        <v/>
      </c>
      <c r="L66" s="38" t="str">
        <f>IF(OR(I66="",K66=""),"",SUM(HomeworkingTable[[#This Row],[Direct]:[Indirect WTT]]))</f>
        <v/>
      </c>
      <c r="M66" s="201"/>
      <c r="N66" s="199"/>
      <c r="O66" s="292" t="str">
        <f>IF(OR($C66="",$G66=""),"",(INDEX('Emission factors'!$K$3:$V$201,MATCH($B66,'Emission factors'!$J$3:$J$201,0),MATCH(O$64,'Emission factors'!$K$2:$V$2,0)))*$I66)</f>
        <v/>
      </c>
      <c r="P66" s="292" t="str">
        <f>IF(OR($C66="",$G66=""),"",(INDEX('Emission factors'!$K$3:$V$201,MATCH($B66,'Emission factors'!$J$3:$J$201,0),MATCH(P$64,'Emission factors'!$K$2:$V$2,0)))*$I66)</f>
        <v/>
      </c>
      <c r="Q66" s="292" t="str">
        <f>IF(OR($C66="",$G66=""),"",(INDEX('Emission factors'!$K$3:$V$201,MATCH($B66,'Emission factors'!$J$3:$J$201,0),MATCH(Q$64,'Emission factors'!$K$2:$V$2,0)))*$I66)</f>
        <v/>
      </c>
      <c r="R66" s="292" t="str">
        <f>IF(OR($C66="",$G66=""),"",(INDEX('Emission factors'!$K$3:$V$201,MATCH($B66,'Emission factors'!$J$3:$J$201,0),MATCH(R$64,'Emission factors'!$K$2:$V$2,0)))*$I66)</f>
        <v/>
      </c>
      <c r="S66" s="292" t="str">
        <f>IF(OR($C66="",$G66=""),"",(INDEX('Emission factors'!$K$3:$V$201,MATCH($B66,'Emission factors'!$J$3:$J$201,0),MATCH(S$64,'Emission factors'!$K$2:$V$2,0)))*$I66)</f>
        <v/>
      </c>
      <c r="T66" s="293" t="str">
        <f t="shared" si="10"/>
        <v/>
      </c>
      <c r="U66" s="330" t="str">
        <f t="shared" si="11"/>
        <v/>
      </c>
      <c r="V66" s="326" t="str">
        <f>IF(OR($C66="",$G66=""),"",(INDEX('Emission factors'!$K$3:$V$201,MATCH($B66,'Emission factors'!$J$3:$J$201,0),MATCH(V$64,'Emission factors'!$K$2:$V$2,0)))*$I66)</f>
        <v/>
      </c>
      <c r="X66" s="1" cm="1">
        <f t="array" ref="X66">IF(OR(ISERROR(B66:V66)),1,0)</f>
        <v>0</v>
      </c>
      <c r="Y66" s="1">
        <f t="shared" ref="Y66:Y74" si="12">IF(AND(B66="",C66="",D66=""),0,1)</f>
        <v>0</v>
      </c>
    </row>
    <row r="67" spans="2:25" ht="15" thickBot="1" x14ac:dyDescent="0.4">
      <c r="B67" s="198"/>
      <c r="C67" s="247"/>
      <c r="D67" s="248"/>
      <c r="E67" s="199"/>
      <c r="F67" s="139" t="str">
        <f>IF(E67="","",INDEX(Lists!$BA$4:$BC$31,MATCH('Business travel, commute, home'!$B67,Lists!$AZ$4:$AZ$31,0),MATCH('Business travel, commute, home'!E67,Lists!$BA$3:$BC$3,0)))</f>
        <v/>
      </c>
      <c r="G67" s="114">
        <f>HomeworkingTable[[#This Row],[Number of FTE]]*HomeworkingTable[[#This Row],[% working hours at home]]</f>
        <v>0</v>
      </c>
      <c r="H67" s="35" t="str">
        <f>IF(OR(HomeworkingTable[[#This Row],[Emission source]]="",HomeworkingTable[[#This Row],[Number of FTE]]="",HomeworkingTable[[#This Row],[% working hours at home]]=""),"","FTE years")</f>
        <v/>
      </c>
      <c r="I67" s="36" t="str">
        <f>IF(OR($B67="",$C67="",$D67="",H67=""),"",IF(H67=J67,G67,(INDEX('Emission factors'!$K$3:$V$276,MATCH($B67&amp;$C67&amp;$D67,'Emission factors'!$J$3:$J$276&amp;'Emission factors'!$K$3:$K$276&amp;'Emission factors'!$L$3:$L$276,0),MATCH('Business travel, commute, home'!I$7,'Emission factors'!$K$2:$V$2,0)))*G67))</f>
        <v/>
      </c>
      <c r="J67" s="35" t="str">
        <f>HomeworkingTable[[#This Row],[Units]]</f>
        <v/>
      </c>
      <c r="K67" s="113" t="str">
        <f>IF(OR(B67="",C67="",D67=""),"",INDEX('Emission factors'!$K$3:$V$276,MATCH($B67,'Emission factors'!$J$3:$J$276,0),MATCH('Business travel, commute, home'!K$7,'Emission factors'!$K$2:$V$2,0)))</f>
        <v/>
      </c>
      <c r="L67" s="38" t="str">
        <f>IF(OR(I67="",K67=""),"",SUM(HomeworkingTable[[#This Row],[Direct]:[Indirect WTT]]))</f>
        <v/>
      </c>
      <c r="M67" s="201"/>
      <c r="N67" s="199"/>
      <c r="O67" s="292" t="str">
        <f>IF(OR($C67="",$G67=""),"",(INDEX('Emission factors'!$K$3:$V$201,MATCH($B67,'Emission factors'!$J$3:$J$201,0),MATCH(O$64,'Emission factors'!$K$2:$V$2,0)))*$I67)</f>
        <v/>
      </c>
      <c r="P67" s="292" t="str">
        <f>IF(OR($C67="",$G67=""),"",(INDEX('Emission factors'!$K$3:$V$201,MATCH($B67,'Emission factors'!$J$3:$J$201,0),MATCH(P$64,'Emission factors'!$K$2:$V$2,0)))*$I67)</f>
        <v/>
      </c>
      <c r="Q67" s="292" t="str">
        <f>IF(OR($C67="",$G67=""),"",(INDEX('Emission factors'!$K$3:$V$201,MATCH($B67,'Emission factors'!$J$3:$J$201,0),MATCH(Q$64,'Emission factors'!$K$2:$V$2,0)))*$I67)</f>
        <v/>
      </c>
      <c r="R67" s="292" t="str">
        <f>IF(OR($C67="",$G67=""),"",(INDEX('Emission factors'!$K$3:$V$201,MATCH($B67,'Emission factors'!$J$3:$J$201,0),MATCH(R$64,'Emission factors'!$K$2:$V$2,0)))*$I67)</f>
        <v/>
      </c>
      <c r="S67" s="292" t="str">
        <f>IF(OR($C67="",$G67=""),"",(INDEX('Emission factors'!$K$3:$V$201,MATCH($B67,'Emission factors'!$J$3:$J$201,0),MATCH(S$64,'Emission factors'!$K$2:$V$2,0)))*$I67)</f>
        <v/>
      </c>
      <c r="T67" s="293" t="str">
        <f t="shared" si="10"/>
        <v/>
      </c>
      <c r="U67" s="330" t="str">
        <f t="shared" si="11"/>
        <v/>
      </c>
      <c r="V67" s="326" t="str">
        <f>IF(OR($C67="",$G67=""),"",(INDEX('Emission factors'!$K$3:$V$201,MATCH($B67,'Emission factors'!$J$3:$J$201,0),MATCH(V$64,'Emission factors'!$K$2:$V$2,0)))*$I67)</f>
        <v/>
      </c>
      <c r="X67" s="1" cm="1">
        <f t="array" ref="X67">IF(OR(ISERROR(B67:V67)),1,0)</f>
        <v>0</v>
      </c>
      <c r="Y67" s="1">
        <f t="shared" si="12"/>
        <v>0</v>
      </c>
    </row>
    <row r="68" spans="2:25" ht="15" thickBot="1" x14ac:dyDescent="0.4">
      <c r="B68" s="198"/>
      <c r="C68" s="247"/>
      <c r="D68" s="248"/>
      <c r="E68" s="199"/>
      <c r="F68" s="139" t="str">
        <f>IF(E68="","",INDEX(Lists!$BA$4:$BC$31,MATCH('Business travel, commute, home'!$B68,Lists!$AZ$4:$AZ$31,0),MATCH('Business travel, commute, home'!E68,Lists!$BA$3:$BC$3,0)))</f>
        <v/>
      </c>
      <c r="G68" s="114">
        <f>HomeworkingTable[[#This Row],[Number of FTE]]*HomeworkingTable[[#This Row],[% working hours at home]]</f>
        <v>0</v>
      </c>
      <c r="H68" s="35" t="str">
        <f>IF(OR(HomeworkingTable[[#This Row],[Emission source]]="",HomeworkingTable[[#This Row],[Number of FTE]]="",HomeworkingTable[[#This Row],[% working hours at home]]=""),"","FTE years")</f>
        <v/>
      </c>
      <c r="I68" s="36" t="str">
        <f>IF(OR($B68="",$C68="",$D68="",H68=""),"",IF(H68=J68,G68,(INDEX('Emission factors'!$K$3:$V$276,MATCH($B68&amp;$C68&amp;$D68,'Emission factors'!$J$3:$J$276&amp;'Emission factors'!$K$3:$K$276&amp;'Emission factors'!$L$3:$L$276,0),MATCH('Business travel, commute, home'!I$7,'Emission factors'!$K$2:$V$2,0)))*G68))</f>
        <v/>
      </c>
      <c r="J68" s="35" t="str">
        <f>HomeworkingTable[[#This Row],[Units]]</f>
        <v/>
      </c>
      <c r="K68" s="113" t="str">
        <f>IF(OR(B68="",C68="",D68=""),"",INDEX('Emission factors'!$K$3:$V$276,MATCH($B68,'Emission factors'!$J$3:$J$276,0),MATCH('Business travel, commute, home'!K$7,'Emission factors'!$K$2:$V$2,0)))</f>
        <v/>
      </c>
      <c r="L68" s="38" t="str">
        <f>IF(OR(I68="",K68=""),"",SUM(HomeworkingTable[[#This Row],[Direct]:[Indirect WTT]]))</f>
        <v/>
      </c>
      <c r="M68" s="201"/>
      <c r="N68" s="199"/>
      <c r="O68" s="292" t="str">
        <f>IF(OR($C68="",$G68=""),"",(INDEX('Emission factors'!$K$3:$V$201,MATCH($B68,'Emission factors'!$J$3:$J$201,0),MATCH(O$64,'Emission factors'!$K$2:$V$2,0)))*$I68)</f>
        <v/>
      </c>
      <c r="P68" s="292" t="str">
        <f>IF(OR($C68="",$G68=""),"",(INDEX('Emission factors'!$K$3:$V$201,MATCH($B68,'Emission factors'!$J$3:$J$201,0),MATCH(P$64,'Emission factors'!$K$2:$V$2,0)))*$I68)</f>
        <v/>
      </c>
      <c r="Q68" s="292" t="str">
        <f>IF(OR($C68="",$G68=""),"",(INDEX('Emission factors'!$K$3:$V$201,MATCH($B68,'Emission factors'!$J$3:$J$201,0),MATCH(Q$64,'Emission factors'!$K$2:$V$2,0)))*$I68)</f>
        <v/>
      </c>
      <c r="R68" s="292" t="str">
        <f>IF(OR($C68="",$G68=""),"",(INDEX('Emission factors'!$K$3:$V$201,MATCH($B68,'Emission factors'!$J$3:$J$201,0),MATCH(R$64,'Emission factors'!$K$2:$V$2,0)))*$I68)</f>
        <v/>
      </c>
      <c r="S68" s="292" t="str">
        <f>IF(OR($C68="",$G68=""),"",(INDEX('Emission factors'!$K$3:$V$201,MATCH($B68,'Emission factors'!$J$3:$J$201,0),MATCH(S$64,'Emission factors'!$K$2:$V$2,0)))*$I68)</f>
        <v/>
      </c>
      <c r="T68" s="293" t="str">
        <f t="shared" si="10"/>
        <v/>
      </c>
      <c r="U68" s="330" t="str">
        <f t="shared" si="11"/>
        <v/>
      </c>
      <c r="V68" s="326" t="str">
        <f>IF(OR($C68="",$G68=""),"",(INDEX('Emission factors'!$K$3:$V$201,MATCH($B68,'Emission factors'!$J$3:$J$201,0),MATCH(V$64,'Emission factors'!$K$2:$V$2,0)))*$I68)</f>
        <v/>
      </c>
      <c r="X68" s="1" cm="1">
        <f t="array" ref="X68">IF(OR(ISERROR(B68:V68)),1,0)</f>
        <v>0</v>
      </c>
      <c r="Y68" s="1">
        <f t="shared" si="12"/>
        <v>0</v>
      </c>
    </row>
    <row r="69" spans="2:25" ht="15" thickBot="1" x14ac:dyDescent="0.4">
      <c r="B69" s="198"/>
      <c r="C69" s="247"/>
      <c r="D69" s="248"/>
      <c r="E69" s="199"/>
      <c r="F69" s="158" t="str">
        <f>IF(E69="","",INDEX(Lists!$BA$4:$BC$31,MATCH('Business travel, commute, home'!$B69,Lists!$AZ$4:$AZ$31,0),MATCH('Business travel, commute, home'!E69,Lists!$BA$3:$BC$3,0)))</f>
        <v/>
      </c>
      <c r="G69" s="114">
        <f>HomeworkingTable[[#This Row],[Number of FTE]]*HomeworkingTable[[#This Row],[% working hours at home]]</f>
        <v>0</v>
      </c>
      <c r="H69" s="35" t="str">
        <f>IF(OR(HomeworkingTable[[#This Row],[Emission source]]="",HomeworkingTable[[#This Row],[Number of FTE]]="",HomeworkingTable[[#This Row],[% working hours at home]]=""),"","FTE years")</f>
        <v/>
      </c>
      <c r="I69" s="36" t="str">
        <f>IF(OR($B69="",$C69="",$D69="",H69=""),"",IF(H69=J69,G69,(INDEX('Emission factors'!$K$3:$V$276,MATCH($B69&amp;$C69&amp;$D69,'Emission factors'!$J$3:$J$276&amp;'Emission factors'!$K$3:$K$276&amp;'Emission factors'!$L$3:$L$276,0),MATCH('Business travel, commute, home'!I$7,'Emission factors'!$K$2:$V$2,0)))*G69))</f>
        <v/>
      </c>
      <c r="J69" s="35" t="str">
        <f>HomeworkingTable[[#This Row],[Units]]</f>
        <v/>
      </c>
      <c r="K69" s="113" t="str">
        <f>IF(OR(B69="",C69="",D69=""),"",INDEX('Emission factors'!$K$3:$V$276,MATCH($B69,'Emission factors'!$J$3:$J$276,0),MATCH('Business travel, commute, home'!K$7,'Emission factors'!$K$2:$V$2,0)))</f>
        <v/>
      </c>
      <c r="L69" s="38" t="str">
        <f>IF(OR(I69="",K69=""),"",SUM(HomeworkingTable[[#This Row],[Direct]:[Indirect WTT]]))</f>
        <v/>
      </c>
      <c r="M69" s="201"/>
      <c r="N69" s="199"/>
      <c r="O69" s="292" t="str">
        <f>IF(OR($C69="",$G69=""),"",(INDEX('Emission factors'!$K$3:$V$201,MATCH($B69,'Emission factors'!$J$3:$J$201,0),MATCH(O$64,'Emission factors'!$K$2:$V$2,0)))*$I69)</f>
        <v/>
      </c>
      <c r="P69" s="292" t="str">
        <f>IF(OR($C69="",$G69=""),"",(INDEX('Emission factors'!$K$3:$V$201,MATCH($B69,'Emission factors'!$J$3:$J$201,0),MATCH(P$64,'Emission factors'!$K$2:$V$2,0)))*$I69)</f>
        <v/>
      </c>
      <c r="Q69" s="292" t="str">
        <f>IF(OR($C69="",$G69=""),"",(INDEX('Emission factors'!$K$3:$V$201,MATCH($B69,'Emission factors'!$J$3:$J$201,0),MATCH(Q$64,'Emission factors'!$K$2:$V$2,0)))*$I69)</f>
        <v/>
      </c>
      <c r="R69" s="292" t="str">
        <f>IF(OR($C69="",$G69=""),"",(INDEX('Emission factors'!$K$3:$V$201,MATCH($B69,'Emission factors'!$J$3:$J$201,0),MATCH(R$64,'Emission factors'!$K$2:$V$2,0)))*$I69)</f>
        <v/>
      </c>
      <c r="S69" s="292" t="str">
        <f>IF(OR($C69="",$G69=""),"",(INDEX('Emission factors'!$K$3:$V$201,MATCH($B69,'Emission factors'!$J$3:$J$201,0),MATCH(S$64,'Emission factors'!$K$2:$V$2,0)))*$I69)</f>
        <v/>
      </c>
      <c r="T69" s="293" t="str">
        <f t="shared" ref="T69:T70" si="13">IF(OR($L69="",$F69=""),"",$L69*(1+$F69))</f>
        <v/>
      </c>
      <c r="U69" s="330" t="str">
        <f t="shared" ref="U69:U70" si="14">IF(OR($L69="",$F69=""),"",$L69*(1-$F69))</f>
        <v/>
      </c>
      <c r="V69" s="326" t="str">
        <f>IF(OR($C69="",$G69=""),"",(INDEX('Emission factors'!$K$3:$V$201,MATCH($B69,'Emission factors'!$J$3:$J$201,0),MATCH(V$64,'Emission factors'!$K$2:$V$2,0)))*$I69)</f>
        <v/>
      </c>
      <c r="X69" s="1" cm="1">
        <f t="array" ref="X69">IF(OR(ISERROR(B69:V69)),1,0)</f>
        <v>0</v>
      </c>
      <c r="Y69" s="1">
        <f t="shared" si="12"/>
        <v>0</v>
      </c>
    </row>
    <row r="70" spans="2:25" ht="15" thickBot="1" x14ac:dyDescent="0.4">
      <c r="B70" s="198"/>
      <c r="C70" s="247"/>
      <c r="D70" s="248"/>
      <c r="E70" s="199"/>
      <c r="F70" s="158" t="str">
        <f>IF(E70="","",INDEX(Lists!$BA$4:$BC$31,MATCH('Business travel, commute, home'!$B70,Lists!$AZ$4:$AZ$31,0),MATCH('Business travel, commute, home'!E70,Lists!$BA$3:$BC$3,0)))</f>
        <v/>
      </c>
      <c r="G70" s="114">
        <f>HomeworkingTable[[#This Row],[Number of FTE]]*HomeworkingTable[[#This Row],[% working hours at home]]</f>
        <v>0</v>
      </c>
      <c r="H70" s="35" t="str">
        <f>IF(OR(HomeworkingTable[[#This Row],[Emission source]]="",HomeworkingTable[[#This Row],[Number of FTE]]="",HomeworkingTable[[#This Row],[% working hours at home]]=""),"","FTE years")</f>
        <v/>
      </c>
      <c r="I70" s="36" t="str">
        <f>IF(OR($B70="",$C70="",$D70="",H70=""),"",IF(H70=J70,G70,(INDEX('Emission factors'!$K$3:$V$276,MATCH($B70&amp;$C70&amp;$D70,'Emission factors'!$J$3:$J$276&amp;'Emission factors'!$K$3:$K$276&amp;'Emission factors'!$L$3:$L$276,0),MATCH('Business travel, commute, home'!I$7,'Emission factors'!$K$2:$V$2,0)))*G70))</f>
        <v/>
      </c>
      <c r="J70" s="35" t="str">
        <f>HomeworkingTable[[#This Row],[Units]]</f>
        <v/>
      </c>
      <c r="K70" s="113" t="str">
        <f>IF(OR(B70="",C70="",D70=""),"",INDEX('Emission factors'!$K$3:$V$276,MATCH($B70,'Emission factors'!$J$3:$J$276,0),MATCH('Business travel, commute, home'!K$7,'Emission factors'!$K$2:$V$2,0)))</f>
        <v/>
      </c>
      <c r="L70" s="38" t="str">
        <f>IF(OR(I70="",K70=""),"",SUM(HomeworkingTable[[#This Row],[Direct]:[Indirect WTT]]))</f>
        <v/>
      </c>
      <c r="M70" s="201"/>
      <c r="N70" s="199"/>
      <c r="O70" s="292" t="str">
        <f>IF(OR($C70="",$G70=""),"",(INDEX('Emission factors'!$K$3:$V$201,MATCH($B70,'Emission factors'!$J$3:$J$201,0),MATCH(O$64,'Emission factors'!$K$2:$V$2,0)))*$I70)</f>
        <v/>
      </c>
      <c r="P70" s="292" t="str">
        <f>IF(OR($C70="",$G70=""),"",(INDEX('Emission factors'!$K$3:$V$201,MATCH($B70,'Emission factors'!$J$3:$J$201,0),MATCH(P$64,'Emission factors'!$K$2:$V$2,0)))*$I70)</f>
        <v/>
      </c>
      <c r="Q70" s="292" t="str">
        <f>IF(OR($C70="",$G70=""),"",(INDEX('Emission factors'!$K$3:$V$201,MATCH($B70,'Emission factors'!$J$3:$J$201,0),MATCH(Q$64,'Emission factors'!$K$2:$V$2,0)))*$I70)</f>
        <v/>
      </c>
      <c r="R70" s="292" t="str">
        <f>IF(OR($C70="",$G70=""),"",(INDEX('Emission factors'!$K$3:$V$201,MATCH($B70,'Emission factors'!$J$3:$J$201,0),MATCH(R$64,'Emission factors'!$K$2:$V$2,0)))*$I70)</f>
        <v/>
      </c>
      <c r="S70" s="292" t="str">
        <f>IF(OR($C70="",$G70=""),"",(INDEX('Emission factors'!$K$3:$V$201,MATCH($B70,'Emission factors'!$J$3:$J$201,0),MATCH(S$64,'Emission factors'!$K$2:$V$2,0)))*$I70)</f>
        <v/>
      </c>
      <c r="T70" s="293" t="str">
        <f t="shared" si="13"/>
        <v/>
      </c>
      <c r="U70" s="330" t="str">
        <f t="shared" si="14"/>
        <v/>
      </c>
      <c r="V70" s="326" t="str">
        <f>IF(OR($C70="",$G70=""),"",(INDEX('Emission factors'!$K$3:$V$201,MATCH($B70,'Emission factors'!$J$3:$J$201,0),MATCH(V$64,'Emission factors'!$K$2:$V$2,0)))*$I70)</f>
        <v/>
      </c>
      <c r="X70" s="1" cm="1">
        <f t="array" ref="X70">IF(OR(ISERROR(B70:V70)),1,0)</f>
        <v>0</v>
      </c>
      <c r="Y70" s="1">
        <f t="shared" si="12"/>
        <v>0</v>
      </c>
    </row>
    <row r="71" spans="2:25" ht="15" thickBot="1" x14ac:dyDescent="0.4">
      <c r="B71" s="198"/>
      <c r="C71" s="247"/>
      <c r="D71" s="248"/>
      <c r="E71" s="199"/>
      <c r="F71" s="139" t="str">
        <f>IF(E71="","",INDEX(Lists!$BA$4:$BC$31,MATCH('Business travel, commute, home'!$B71,Lists!$AZ$4:$AZ$31,0),MATCH('Business travel, commute, home'!E71,Lists!$BA$3:$BC$3,0)))</f>
        <v/>
      </c>
      <c r="G71" s="114">
        <f>HomeworkingTable[[#This Row],[Number of FTE]]*HomeworkingTable[[#This Row],[% working hours at home]]</f>
        <v>0</v>
      </c>
      <c r="H71" s="35" t="str">
        <f>IF(OR(HomeworkingTable[[#This Row],[Emission source]]="",HomeworkingTable[[#This Row],[Number of FTE]]="",HomeworkingTable[[#This Row],[% working hours at home]]=""),"","FTE years")</f>
        <v/>
      </c>
      <c r="I71" s="36" t="str">
        <f>IF(OR($B71="",$C71="",$D71="",H71=""),"",IF(H71=J71,G71,(INDEX('Emission factors'!$K$3:$V$276,MATCH($B71&amp;$C71&amp;$D71,'Emission factors'!$J$3:$J$276&amp;'Emission factors'!$K$3:$K$276&amp;'Emission factors'!$L$3:$L$276,0),MATCH('Business travel, commute, home'!I$7,'Emission factors'!$K$2:$V$2,0)))*G71))</f>
        <v/>
      </c>
      <c r="J71" s="35" t="str">
        <f>HomeworkingTable[[#This Row],[Units]]</f>
        <v/>
      </c>
      <c r="K71" s="113" t="str">
        <f>IF(OR(B71="",C71="",D71=""),"",INDEX('Emission factors'!$K$3:$V$276,MATCH($B71,'Emission factors'!$J$3:$J$276,0),MATCH('Business travel, commute, home'!K$7,'Emission factors'!$K$2:$V$2,0)))</f>
        <v/>
      </c>
      <c r="L71" s="38" t="str">
        <f>IF(OR(I71="",K71=""),"",SUM(HomeworkingTable[[#This Row],[Direct]:[Indirect WTT]]))</f>
        <v/>
      </c>
      <c r="M71" s="201"/>
      <c r="N71" s="199"/>
      <c r="O71" s="292" t="str">
        <f>IF(OR($C71="",$G71=""),"",(INDEX('Emission factors'!$K$3:$V$201,MATCH($B71,'Emission factors'!$J$3:$J$201,0),MATCH(O$64,'Emission factors'!$K$2:$V$2,0)))*$I71)</f>
        <v/>
      </c>
      <c r="P71" s="292" t="str">
        <f>IF(OR($C71="",$G71=""),"",(INDEX('Emission factors'!$K$3:$V$201,MATCH($B71,'Emission factors'!$J$3:$J$201,0),MATCH(P$64,'Emission factors'!$K$2:$V$2,0)))*$I71)</f>
        <v/>
      </c>
      <c r="Q71" s="292" t="str">
        <f>IF(OR($C71="",$G71=""),"",(INDEX('Emission factors'!$K$3:$V$201,MATCH($B71,'Emission factors'!$J$3:$J$201,0),MATCH(Q$64,'Emission factors'!$K$2:$V$2,0)))*$I71)</f>
        <v/>
      </c>
      <c r="R71" s="292" t="str">
        <f>IF(OR($C71="",$G71=""),"",(INDEX('Emission factors'!$K$3:$V$201,MATCH($B71,'Emission factors'!$J$3:$J$201,0),MATCH(R$64,'Emission factors'!$K$2:$V$2,0)))*$I71)</f>
        <v/>
      </c>
      <c r="S71" s="292" t="str">
        <f>IF(OR($C71="",$G71=""),"",(INDEX('Emission factors'!$K$3:$V$201,MATCH($B71,'Emission factors'!$J$3:$J$201,0),MATCH(S$64,'Emission factors'!$K$2:$V$2,0)))*$I71)</f>
        <v/>
      </c>
      <c r="T71" s="293" t="str">
        <f t="shared" si="10"/>
        <v/>
      </c>
      <c r="U71" s="330" t="str">
        <f t="shared" si="11"/>
        <v/>
      </c>
      <c r="V71" s="326" t="str">
        <f>IF(OR($C71="",$G71=""),"",(INDEX('Emission factors'!$K$3:$V$201,MATCH($B71,'Emission factors'!$J$3:$J$201,0),MATCH(V$64,'Emission factors'!$K$2:$V$2,0)))*$I71)</f>
        <v/>
      </c>
      <c r="X71" s="1" cm="1">
        <f t="array" ref="X71">IF(OR(ISERROR(B71:V71)),1,0)</f>
        <v>0</v>
      </c>
      <c r="Y71" s="1">
        <f t="shared" si="12"/>
        <v>0</v>
      </c>
    </row>
    <row r="72" spans="2:25" ht="15" thickBot="1" x14ac:dyDescent="0.4">
      <c r="B72" s="198"/>
      <c r="C72" s="247"/>
      <c r="D72" s="248"/>
      <c r="E72" s="199"/>
      <c r="F72" s="139" t="str">
        <f>IF(E72="","",INDEX(Lists!$BA$4:$BC$31,MATCH('Business travel, commute, home'!$B72,Lists!$AZ$4:$AZ$31,0),MATCH('Business travel, commute, home'!E72,Lists!$BA$3:$BC$3,0)))</f>
        <v/>
      </c>
      <c r="G72" s="114">
        <f>HomeworkingTable[[#This Row],[Number of FTE]]*HomeworkingTable[[#This Row],[% working hours at home]]</f>
        <v>0</v>
      </c>
      <c r="H72" s="35" t="str">
        <f>IF(OR(HomeworkingTable[[#This Row],[Emission source]]="",HomeworkingTable[[#This Row],[Number of FTE]]="",HomeworkingTable[[#This Row],[% working hours at home]]=""),"","FTE years")</f>
        <v/>
      </c>
      <c r="I72" s="36" t="str">
        <f>IF(OR($B72="",$C72="",$D72="",H72=""),"",IF(H72=J72,G72,(INDEX('Emission factors'!$K$3:$V$276,MATCH($B72&amp;$C72&amp;$D72,'Emission factors'!$J$3:$J$276&amp;'Emission factors'!$K$3:$K$276&amp;'Emission factors'!$L$3:$L$276,0),MATCH('Business travel, commute, home'!I$7,'Emission factors'!$K$2:$V$2,0)))*G72))</f>
        <v/>
      </c>
      <c r="J72" s="35" t="str">
        <f>HomeworkingTable[[#This Row],[Units]]</f>
        <v/>
      </c>
      <c r="K72" s="113" t="str">
        <f>IF(OR(B72="",C72="",D72=""),"",INDEX('Emission factors'!$K$3:$V$276,MATCH($B72,'Emission factors'!$J$3:$J$276,0),MATCH('Business travel, commute, home'!K$7,'Emission factors'!$K$2:$V$2,0)))</f>
        <v/>
      </c>
      <c r="L72" s="38" t="str">
        <f>IF(OR(I72="",K72=""),"",SUM(HomeworkingTable[[#This Row],[Direct]:[Indirect WTT]]))</f>
        <v/>
      </c>
      <c r="M72" s="201"/>
      <c r="N72" s="199"/>
      <c r="O72" s="292" t="str">
        <f>IF(OR($C72="",$G72=""),"",(INDEX('Emission factors'!$K$3:$V$201,MATCH($B72,'Emission factors'!$J$3:$J$201,0),MATCH(O$64,'Emission factors'!$K$2:$V$2,0)))*$I72)</f>
        <v/>
      </c>
      <c r="P72" s="292" t="str">
        <f>IF(OR($C72="",$G72=""),"",(INDEX('Emission factors'!$K$3:$V$201,MATCH($B72,'Emission factors'!$J$3:$J$201,0),MATCH(P$64,'Emission factors'!$K$2:$V$2,0)))*$I72)</f>
        <v/>
      </c>
      <c r="Q72" s="292" t="str">
        <f>IF(OR($C72="",$G72=""),"",(INDEX('Emission factors'!$K$3:$V$201,MATCH($B72,'Emission factors'!$J$3:$J$201,0),MATCH(Q$64,'Emission factors'!$K$2:$V$2,0)))*$I72)</f>
        <v/>
      </c>
      <c r="R72" s="292" t="str">
        <f>IF(OR($C72="",$G72=""),"",(INDEX('Emission factors'!$K$3:$V$201,MATCH($B72,'Emission factors'!$J$3:$J$201,0),MATCH(R$64,'Emission factors'!$K$2:$V$2,0)))*$I72)</f>
        <v/>
      </c>
      <c r="S72" s="292" t="str">
        <f>IF(OR($C72="",$G72=""),"",(INDEX('Emission factors'!$K$3:$V$201,MATCH($B72,'Emission factors'!$J$3:$J$201,0),MATCH(S$64,'Emission factors'!$K$2:$V$2,0)))*$I72)</f>
        <v/>
      </c>
      <c r="T72" s="293" t="str">
        <f t="shared" si="10"/>
        <v/>
      </c>
      <c r="U72" s="330" t="str">
        <f t="shared" si="11"/>
        <v/>
      </c>
      <c r="V72" s="326" t="str">
        <f>IF(OR($C72="",$G72=""),"",(INDEX('Emission factors'!$K$3:$V$201,MATCH($B72,'Emission factors'!$J$3:$J$201,0),MATCH(V$64,'Emission factors'!$K$2:$V$2,0)))*$I72)</f>
        <v/>
      </c>
      <c r="X72" s="1" cm="1">
        <f t="array" ref="X72">IF(OR(ISERROR(B72:V72)),1,0)</f>
        <v>0</v>
      </c>
      <c r="Y72" s="1">
        <f t="shared" si="12"/>
        <v>0</v>
      </c>
    </row>
    <row r="73" spans="2:25" ht="15" thickBot="1" x14ac:dyDescent="0.4">
      <c r="B73" s="198"/>
      <c r="C73" s="247"/>
      <c r="D73" s="248"/>
      <c r="E73" s="199"/>
      <c r="F73" s="139" t="str">
        <f>IF(E73="","",INDEX(Lists!$BA$4:$BC$31,MATCH('Business travel, commute, home'!$B73,Lists!$AZ$4:$AZ$31,0),MATCH('Business travel, commute, home'!E73,Lists!$BA$3:$BC$3,0)))</f>
        <v/>
      </c>
      <c r="G73" s="114">
        <f>HomeworkingTable[[#This Row],[Number of FTE]]*HomeworkingTable[[#This Row],[% working hours at home]]</f>
        <v>0</v>
      </c>
      <c r="H73" s="35" t="str">
        <f>IF(OR(HomeworkingTable[[#This Row],[Emission source]]="",HomeworkingTable[[#This Row],[Number of FTE]]="",HomeworkingTable[[#This Row],[% working hours at home]]=""),"","FTE years")</f>
        <v/>
      </c>
      <c r="I73" s="36" t="str">
        <f>IF(OR($B73="",$C73="",$D73="",H73=""),"",IF(H73=J73,G73,(INDEX('Emission factors'!$K$3:$V$276,MATCH($B73&amp;$C73&amp;$D73,'Emission factors'!$J$3:$J$276&amp;'Emission factors'!$K$3:$K$276&amp;'Emission factors'!$L$3:$L$276,0),MATCH('Business travel, commute, home'!I$7,'Emission factors'!$K$2:$V$2,0)))*G73))</f>
        <v/>
      </c>
      <c r="J73" s="35" t="str">
        <f>HomeworkingTable[[#This Row],[Units]]</f>
        <v/>
      </c>
      <c r="K73" s="113" t="str">
        <f>IF(OR(B73="",C73="",D73=""),"",INDEX('Emission factors'!$K$3:$V$276,MATCH($B73,'Emission factors'!$J$3:$J$276,0),MATCH('Business travel, commute, home'!K$7,'Emission factors'!$K$2:$V$2,0)))</f>
        <v/>
      </c>
      <c r="L73" s="38" t="str">
        <f>IF(OR(I73="",K73=""),"",SUM(HomeworkingTable[[#This Row],[Direct]:[Indirect WTT]]))</f>
        <v/>
      </c>
      <c r="M73" s="201"/>
      <c r="N73" s="199"/>
      <c r="O73" s="292" t="str">
        <f>IF(OR($C73="",$G73=""),"",(INDEX('Emission factors'!$K$3:$V$201,MATCH($B73,'Emission factors'!$J$3:$J$201,0),MATCH(O$64,'Emission factors'!$K$2:$V$2,0)))*$I73)</f>
        <v/>
      </c>
      <c r="P73" s="292" t="str">
        <f>IF(OR($C73="",$G73=""),"",(INDEX('Emission factors'!$K$3:$V$201,MATCH($B73,'Emission factors'!$J$3:$J$201,0),MATCH(P$64,'Emission factors'!$K$2:$V$2,0)))*$I73)</f>
        <v/>
      </c>
      <c r="Q73" s="292" t="str">
        <f>IF(OR($C73="",$G73=""),"",(INDEX('Emission factors'!$K$3:$V$201,MATCH($B73,'Emission factors'!$J$3:$J$201,0),MATCH(Q$64,'Emission factors'!$K$2:$V$2,0)))*$I73)</f>
        <v/>
      </c>
      <c r="R73" s="292" t="str">
        <f>IF(OR($C73="",$G73=""),"",(INDEX('Emission factors'!$K$3:$V$201,MATCH($B73,'Emission factors'!$J$3:$J$201,0),MATCH(R$64,'Emission factors'!$K$2:$V$2,0)))*$I73)</f>
        <v/>
      </c>
      <c r="S73" s="292" t="str">
        <f>IF(OR($C73="",$G73=""),"",(INDEX('Emission factors'!$K$3:$V$201,MATCH($B73,'Emission factors'!$J$3:$J$201,0),MATCH(S$64,'Emission factors'!$K$2:$V$2,0)))*$I73)</f>
        <v/>
      </c>
      <c r="T73" s="293" t="str">
        <f t="shared" si="10"/>
        <v/>
      </c>
      <c r="U73" s="330" t="str">
        <f t="shared" si="11"/>
        <v/>
      </c>
      <c r="V73" s="326" t="str">
        <f>IF(OR($C73="",$G73=""),"",(INDEX('Emission factors'!$K$3:$V$201,MATCH($B73,'Emission factors'!$J$3:$J$201,0),MATCH(V$64,'Emission factors'!$K$2:$V$2,0)))*$I73)</f>
        <v/>
      </c>
      <c r="X73" s="1" cm="1">
        <f t="array" ref="X73">IF(OR(ISERROR(B73:V73)),1,0)</f>
        <v>0</v>
      </c>
      <c r="Y73" s="1">
        <f t="shared" si="12"/>
        <v>0</v>
      </c>
    </row>
    <row r="74" spans="2:25" ht="15" thickBot="1" x14ac:dyDescent="0.4">
      <c r="B74" s="249"/>
      <c r="C74" s="247"/>
      <c r="D74" s="250"/>
      <c r="E74" s="199"/>
      <c r="F74" s="139" t="str">
        <f>IF(E74="","",INDEX(Lists!$BA$4:$BC$31,MATCH('Business travel, commute, home'!$B74,Lists!$AZ$4:$AZ$31,0),MATCH('Business travel, commute, home'!E74,Lists!$BA$3:$BC$3,0)))</f>
        <v/>
      </c>
      <c r="G74" s="114">
        <f>HomeworkingTable[[#This Row],[Number of FTE]]*HomeworkingTable[[#This Row],[% working hours at home]]</f>
        <v>0</v>
      </c>
      <c r="H74" s="35" t="str">
        <f>IF(OR(HomeworkingTable[[#This Row],[Emission source]]="",HomeworkingTable[[#This Row],[Number of FTE]]="",HomeworkingTable[[#This Row],[% working hours at home]]=""),"","FTE years")</f>
        <v/>
      </c>
      <c r="I74" s="53" t="str">
        <f>IF(OR($B74="",$C74="",$D74="",H74=""),"",IF(H74=J74,G74,(INDEX('Emission factors'!$K$3:$V$276,MATCH($B74&amp;$C74&amp;$D74,'Emission factors'!$J$3:$J$276&amp;'Emission factors'!$K$3:$K$276&amp;'Emission factors'!$L$3:$L$276,0),MATCH('Business travel, commute, home'!I$7,'Emission factors'!$K$2:$V$2,0)))*G74))</f>
        <v/>
      </c>
      <c r="J74" s="54" t="str">
        <f>HomeworkingTable[[#This Row],[Units]]</f>
        <v/>
      </c>
      <c r="K74" s="113" t="str">
        <f>IF(OR(B74="",C74="",D74=""),"",INDEX('Emission factors'!$K$3:$V$276,MATCH($B74,'Emission factors'!$J$3:$J$276,0),MATCH('Business travel, commute, home'!K$7,'Emission factors'!$K$2:$V$2,0)))</f>
        <v/>
      </c>
      <c r="L74" s="38" t="str">
        <f>IF(OR(I74="",K74=""),"",SUM(HomeworkingTable[[#This Row],[Direct]:[Indirect WTT]]))</f>
        <v/>
      </c>
      <c r="M74" s="202"/>
      <c r="N74" s="200"/>
      <c r="O74" s="292" t="str">
        <f>IF(OR($C74="",$G74=""),"",(INDEX('Emission factors'!$K$3:$V$201,MATCH($B74,'Emission factors'!$J$3:$J$201,0),MATCH(O$64,'Emission factors'!$K$2:$V$2,0)))*$I74)</f>
        <v/>
      </c>
      <c r="P74" s="292" t="str">
        <f>IF(OR($C74="",$G74=""),"",(INDEX('Emission factors'!$K$3:$V$201,MATCH($B74,'Emission factors'!$J$3:$J$201,0),MATCH(P$64,'Emission factors'!$K$2:$V$2,0)))*$I74)</f>
        <v/>
      </c>
      <c r="Q74" s="292" t="str">
        <f>IF(OR($C74="",$G74=""),"",(INDEX('Emission factors'!$K$3:$V$201,MATCH($B74,'Emission factors'!$J$3:$J$201,0),MATCH(Q$64,'Emission factors'!$K$2:$V$2,0)))*$I74)</f>
        <v/>
      </c>
      <c r="R74" s="292" t="str">
        <f>IF(OR($C74="",$G74=""),"",(INDEX('Emission factors'!$K$3:$V$201,MATCH($B74,'Emission factors'!$J$3:$J$201,0),MATCH(R$64,'Emission factors'!$K$2:$V$2,0)))*$I74)</f>
        <v/>
      </c>
      <c r="S74" s="292" t="str">
        <f>IF(OR($C74="",$G74=""),"",(INDEX('Emission factors'!$K$3:$V$201,MATCH($B74,'Emission factors'!$J$3:$J$201,0),MATCH(S$64,'Emission factors'!$K$2:$V$2,0)))*$I74)</f>
        <v/>
      </c>
      <c r="T74" s="297" t="str">
        <f t="shared" si="10"/>
        <v/>
      </c>
      <c r="U74" s="331" t="str">
        <f t="shared" si="11"/>
        <v/>
      </c>
      <c r="V74" s="328" t="str">
        <f>IF(OR($C74="",$G74=""),"",(INDEX('Emission factors'!$K$3:$V$201,MATCH($B74,'Emission factors'!$J$3:$J$201,0),MATCH(V$64,'Emission factors'!$K$2:$V$2,0)))*$I74)</f>
        <v/>
      </c>
      <c r="X74" s="1" cm="1">
        <f t="array" ref="X74">IF(OR(ISERROR(B74:V74)),1,0)</f>
        <v>0</v>
      </c>
      <c r="Y74" s="1">
        <f t="shared" si="12"/>
        <v>0</v>
      </c>
    </row>
    <row r="75" spans="2:25" x14ac:dyDescent="0.35">
      <c r="U75" s="309"/>
      <c r="V75" s="66"/>
    </row>
  </sheetData>
  <sheetProtection algorithmName="SHA-512" hashValue="9EN9KijHymLisptEyET7KY3xoMpmWcSypwcZvys0/atq7vTb2jTD+G8voSXev2deUC5l4JZErPMqKJq5bpWE1w==" saltValue="ogTlUoWP6wiPSHobo1ZKqw==" spinCount="100000" sheet="1" objects="1" scenarios="1"/>
  <mergeCells count="8">
    <mergeCell ref="O1:P1"/>
    <mergeCell ref="Q1:R1"/>
    <mergeCell ref="O2:P2"/>
    <mergeCell ref="Q2:R2"/>
    <mergeCell ref="B5:N5"/>
    <mergeCell ref="B2:M2"/>
    <mergeCell ref="B3:M3"/>
    <mergeCell ref="B4:J4"/>
  </mergeCells>
  <phoneticPr fontId="20" type="noConversion"/>
  <conditionalFormatting sqref="B8:V34 B38:V61 B65:V74">
    <cfRule type="expression" dxfId="46" priority="1">
      <formula>IF($X8=1,1,0)</formula>
    </cfRule>
  </conditionalFormatting>
  <conditionalFormatting sqref="H6">
    <cfRule type="containsText" dxfId="45" priority="7" operator="containsText" text="There are errors">
      <formula>NOT(ISERROR(SEARCH("There are errors",H6)))</formula>
    </cfRule>
    <cfRule type="containsText" dxfId="44" priority="8" operator="containsText" text="No errors in this table">
      <formula>NOT(ISERROR(SEARCH("No errors in this table",H6)))</formula>
    </cfRule>
  </conditionalFormatting>
  <conditionalFormatting sqref="H36">
    <cfRule type="containsText" dxfId="43" priority="5" operator="containsText" text="There are errors">
      <formula>NOT(ISERROR(SEARCH("There are errors",H36)))</formula>
    </cfRule>
    <cfRule type="containsText" dxfId="42" priority="6" operator="containsText" text="No errors in this table">
      <formula>NOT(ISERROR(SEARCH("No errors in this table",H36)))</formula>
    </cfRule>
  </conditionalFormatting>
  <conditionalFormatting sqref="H63">
    <cfRule type="containsText" dxfId="41" priority="3" operator="containsText" text="There are errors">
      <formula>NOT(ISERROR(SEARCH("There are errors",H63)))</formula>
    </cfRule>
    <cfRule type="containsText" dxfId="40" priority="4" operator="containsText" text="No errors in this table">
      <formula>NOT(ISERROR(SEARCH("No errors in this table",H63)))</formula>
    </cfRule>
  </conditionalFormatting>
  <dataValidations count="14">
    <dataValidation type="list" allowBlank="1" showInputMessage="1" showErrorMessage="1" sqref="N8:N34 N38:N61 N65:N74" xr:uid="{BD3AF124-1738-4938-AA23-FDFD42E2F06D}">
      <formula1>Ease</formula1>
    </dataValidation>
    <dataValidation type="list" allowBlank="1" showInputMessage="1" showErrorMessage="1" sqref="D20" xr:uid="{53E0D689-FC19-4751-B902-88B5304103F0}">
      <formula1>Methodologyall</formula1>
    </dataValidation>
    <dataValidation type="list" allowBlank="1" showInputMessage="1" showErrorMessage="1" sqref="B8:B34" xr:uid="{EB8EEA9B-A166-4F6A-808F-C3AAEFFD8C13}">
      <formula1>INDIRECT(SUBSTITUTE($B$6," ",""))</formula1>
    </dataValidation>
    <dataValidation type="list" allowBlank="1" showInputMessage="1" showErrorMessage="1" sqref="C8:C34" xr:uid="{951D5703-43BA-450E-A4CB-902DE2AD6E7C}">
      <formula1>INDIRECT(CONCATENATE(SUBSTITUTE(B8," ","")&amp;SUBSTITUTE(C$7," ","")))</formula1>
    </dataValidation>
    <dataValidation type="list" allowBlank="1" showInputMessage="1" showErrorMessage="1" sqref="B38:B61" xr:uid="{AD8A5DE6-E14C-4C25-9442-97B7F0F85CA5}">
      <formula1>INDIRECT(SUBSTITUTE($B$36," ",""))</formula1>
    </dataValidation>
    <dataValidation type="decimal" operator="greaterThan" allowBlank="1" showInputMessage="1" showErrorMessage="1" errorTitle="Numeric data" error="Please enter a number greater than zero" sqref="G8:G34 G38:G61" xr:uid="{B8DCA87A-C512-40A8-AAD2-86F267FD9046}">
      <formula1>0</formula1>
    </dataValidation>
    <dataValidation type="list" allowBlank="1" showInputMessage="1" showErrorMessage="1" sqref="B65:B74" xr:uid="{C85F9894-2F00-45E0-91DD-D4CDDBED159A}">
      <formula1>INDIRECT(SUBSTITUTE($B$63," ",""))</formula1>
    </dataValidation>
    <dataValidation type="list" allowBlank="1" showInputMessage="1" showErrorMessage="1" sqref="D38:D61 D8:D19 D21:D34" xr:uid="{9B3AAD76-817B-4F83-BEE3-0891A1258F56}">
      <formula1>INDIRECT(CONCATENATE(SUBSTITUTE(B8," ","")&amp;SUBSTITUTE(C8," ","")))</formula1>
    </dataValidation>
    <dataValidation type="list" allowBlank="1" showInputMessage="1" showErrorMessage="1" sqref="H8:H34" xr:uid="{A30723CD-8CC7-498F-A6B1-E6FF0DA1A7D3}">
      <formula1>INDIRECT(CONCATENATE(SUBSTITUTE($B8," ","")&amp;$H$7))</formula1>
    </dataValidation>
    <dataValidation type="list" allowBlank="1" showInputMessage="1" showErrorMessage="1" sqref="C38:C61" xr:uid="{0FBA0442-29DD-477E-AA15-636FB675279A}">
      <formula1>INDIRECT(CONCATENATE(SUBSTITUTE(B38," ","")&amp;SUBSTITUTE(C$37," ","")))</formula1>
    </dataValidation>
    <dataValidation type="list" allowBlank="1" showInputMessage="1" showErrorMessage="1" sqref="H38:H61" xr:uid="{5D53E5FD-90C2-4E35-8D96-F441E7FD16B7}">
      <formula1>INDIRECT(CONCATENATE(SUBSTITUTE($B38," ","")&amp;$H$37))</formula1>
    </dataValidation>
    <dataValidation type="list" allowBlank="1" showInputMessage="1" showErrorMessage="1" sqref="E65:E74" xr:uid="{5A516481-D2A1-4DF3-9813-377640323D16}">
      <formula1>Methdologytier2</formula1>
    </dataValidation>
    <dataValidation type="list" allowBlank="1" showInputMessage="1" showErrorMessage="1" sqref="E8:E34 E38:E61" xr:uid="{A6C395BE-BA85-462F-9358-D8864EF189B6}">
      <formula1>Methodologytier23</formula1>
    </dataValidation>
    <dataValidation type="decimal" operator="greaterThanOrEqual" allowBlank="1" showInputMessage="1" showErrorMessage="1" errorTitle="Numeric data" error="Please enter a number greater than zero" sqref="G65:G74" xr:uid="{5A0EB113-8584-4471-8108-DEC42B9FDFB1}">
      <formula1>0</formula1>
    </dataValidation>
  </dataValidations>
  <pageMargins left="0.7" right="0.7" top="0.75" bottom="0.75" header="0.3" footer="0.3"/>
  <pageSetup paperSize="9" orientation="portrait"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1">
        <x14:dataValidation type="whole" errorStyle="warning" allowBlank="1" showInputMessage="1" showErrorMessage="1" errorTitle="FTE " error="The number of FTE homeworkers cannot be more than the total FTE in the orgainsation" xr:uid="{B6BB2F04-81AC-4DEB-B725-8A4E29682F44}">
          <x14:formula1>
            <xm:f>0</xm:f>
          </x14:formula1>
          <x14:formula2>
            <xm:f>Introduction!$D$14</xm:f>
          </x14:formula2>
          <xm:sqref>C65:C74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A6CBC-04CF-4C66-86F0-38A84D3B6E4F}">
  <sheetPr>
    <tabColor rgb="FF27CCF9"/>
  </sheetPr>
  <dimension ref="A1:Y24"/>
  <sheetViews>
    <sheetView workbookViewId="0">
      <selection activeCell="B1" sqref="B1"/>
    </sheetView>
  </sheetViews>
  <sheetFormatPr defaultColWidth="8.54296875" defaultRowHeight="14.5" x14ac:dyDescent="0.35"/>
  <cols>
    <col min="1" max="1" width="1.81640625" style="156" customWidth="1"/>
    <col min="2" max="2" width="27.81640625" style="149" customWidth="1"/>
    <col min="3" max="3" width="29.453125" style="149" customWidth="1"/>
    <col min="4" max="4" width="20.1796875" style="149" customWidth="1"/>
    <col min="5" max="5" width="16.81640625" style="149" customWidth="1"/>
    <col min="6" max="6" width="11.453125" style="149" customWidth="1"/>
    <col min="7" max="7" width="14.81640625" style="149" customWidth="1"/>
    <col min="8" max="8" width="11.453125" style="149" customWidth="1"/>
    <col min="9" max="9" width="19.54296875" style="149" customWidth="1"/>
    <col min="10" max="10" width="19" style="149" customWidth="1"/>
    <col min="11" max="11" width="19.453125" style="149" customWidth="1"/>
    <col min="12" max="12" width="18.81640625" style="149" customWidth="1"/>
    <col min="13" max="13" width="20.54296875" style="149" customWidth="1"/>
    <col min="14" max="14" width="22.453125" style="149" customWidth="1"/>
    <col min="15" max="15" width="12.1796875" style="149" customWidth="1"/>
    <col min="16" max="16" width="29.1796875" style="149" customWidth="1"/>
    <col min="17" max="17" width="12.1796875" style="149" customWidth="1"/>
    <col min="18" max="18" width="18.36328125" style="149" customWidth="1"/>
    <col min="19" max="19" width="11.54296875" style="149" customWidth="1"/>
    <col min="20" max="20" width="10.54296875" style="149" customWidth="1"/>
    <col min="21" max="21" width="11.08984375" style="149" customWidth="1"/>
    <col min="22" max="22" width="10.81640625" style="149" customWidth="1"/>
    <col min="23" max="23" width="8.54296875" style="149"/>
    <col min="24" max="25" width="0" style="1" hidden="1" customWidth="1"/>
    <col min="26" max="27" width="8.54296875" style="149"/>
    <col min="28" max="28" width="14.453125" style="149" bestFit="1" customWidth="1"/>
    <col min="29" max="16384" width="8.54296875" style="149"/>
  </cols>
  <sheetData>
    <row r="1" spans="1:25" s="1" customFormat="1" ht="15" thickBot="1" x14ac:dyDescent="0.4">
      <c r="A1" s="41"/>
      <c r="D1" s="18"/>
      <c r="N1" s="188" t="s">
        <v>108</v>
      </c>
      <c r="O1" s="520" t="s">
        <v>8</v>
      </c>
      <c r="P1" s="521"/>
      <c r="Q1" s="508" t="s">
        <v>12</v>
      </c>
      <c r="R1" s="509"/>
      <c r="S1" s="66"/>
    </row>
    <row r="2" spans="1:25" s="1" customFormat="1" ht="19" thickBot="1" x14ac:dyDescent="0.4">
      <c r="A2" s="41"/>
      <c r="B2" s="512" t="s">
        <v>1094</v>
      </c>
      <c r="C2" s="513"/>
      <c r="D2" s="513"/>
      <c r="E2" s="513"/>
      <c r="F2" s="513"/>
      <c r="G2" s="513"/>
      <c r="H2" s="513"/>
      <c r="I2" s="513"/>
      <c r="J2" s="513"/>
      <c r="K2" s="513"/>
      <c r="L2" s="513"/>
      <c r="M2" s="514"/>
      <c r="N2" s="32"/>
      <c r="O2" s="518" t="s">
        <v>10</v>
      </c>
      <c r="P2" s="519"/>
      <c r="Q2" s="510" t="s">
        <v>13</v>
      </c>
      <c r="R2" s="511"/>
      <c r="S2" s="66"/>
    </row>
    <row r="3" spans="1:25" s="1" customFormat="1" ht="50.4" customHeight="1" thickBot="1" x14ac:dyDescent="0.4">
      <c r="A3" s="41"/>
      <c r="B3" s="515" t="s">
        <v>1120</v>
      </c>
      <c r="C3" s="516"/>
      <c r="D3" s="516"/>
      <c r="E3" s="516"/>
      <c r="F3" s="516"/>
      <c r="G3" s="516"/>
      <c r="H3" s="516"/>
      <c r="I3" s="516"/>
      <c r="J3" s="516"/>
      <c r="K3" s="516"/>
      <c r="L3" s="516"/>
      <c r="M3" s="517"/>
      <c r="O3" s="33"/>
      <c r="P3" s="33"/>
      <c r="Q3" s="33"/>
      <c r="R3" s="33"/>
    </row>
    <row r="4" spans="1:25" s="1" customFormat="1" ht="109.75" customHeight="1" x14ac:dyDescent="0.35">
      <c r="A4" s="41"/>
      <c r="B4" s="515" t="s">
        <v>1066</v>
      </c>
      <c r="C4" s="516"/>
      <c r="D4" s="516"/>
      <c r="E4" s="516"/>
      <c r="F4" s="516"/>
      <c r="G4" s="516"/>
      <c r="H4" s="516"/>
      <c r="I4" s="516"/>
      <c r="J4" s="516"/>
      <c r="K4" s="516"/>
      <c r="L4" s="516"/>
      <c r="M4" s="516"/>
      <c r="O4" s="18"/>
    </row>
    <row r="5" spans="1:25" ht="19" thickBot="1" x14ac:dyDescent="0.5">
      <c r="B5" s="194" t="s">
        <v>1093</v>
      </c>
      <c r="C5" s="18"/>
      <c r="D5" s="1"/>
      <c r="E5" s="1"/>
      <c r="F5" s="1"/>
      <c r="G5" s="1"/>
      <c r="H5" s="441" t="str">
        <f>IF($Y$6=0,"No data entered",IF($X$6=0,"No errors in this table","There are errors in this table see highlighted row(s)"))</f>
        <v>No data entered</v>
      </c>
      <c r="I5"/>
      <c r="J5" s="1"/>
      <c r="K5" s="1"/>
      <c r="L5" s="1"/>
      <c r="M5" s="1"/>
      <c r="N5" s="1"/>
      <c r="O5" s="51" t="s">
        <v>830</v>
      </c>
      <c r="P5" s="1"/>
      <c r="Q5" s="1"/>
      <c r="R5" s="1"/>
      <c r="S5" s="1"/>
      <c r="T5" s="56"/>
      <c r="U5" s="309"/>
      <c r="V5" s="66"/>
      <c r="W5" s="162"/>
      <c r="X5" s="15" t="s">
        <v>1188</v>
      </c>
      <c r="Y5" s="15" t="s">
        <v>1189</v>
      </c>
    </row>
    <row r="6" spans="1:25" ht="31.5" thickBot="1" x14ac:dyDescent="0.4">
      <c r="B6" s="190" t="s">
        <v>147</v>
      </c>
      <c r="C6" s="191" t="s">
        <v>842</v>
      </c>
      <c r="D6" s="191" t="s">
        <v>18</v>
      </c>
      <c r="E6" s="191" t="s">
        <v>115</v>
      </c>
      <c r="F6" s="191" t="s">
        <v>116</v>
      </c>
      <c r="G6" s="191" t="s">
        <v>117</v>
      </c>
      <c r="H6" s="191" t="s">
        <v>118</v>
      </c>
      <c r="I6" s="191" t="s">
        <v>119</v>
      </c>
      <c r="J6" s="191" t="s">
        <v>120</v>
      </c>
      <c r="K6" s="191" t="s">
        <v>828</v>
      </c>
      <c r="L6" s="191" t="s">
        <v>829</v>
      </c>
      <c r="M6" s="191" t="s">
        <v>122</v>
      </c>
      <c r="N6" s="191" t="s">
        <v>123</v>
      </c>
      <c r="O6" s="12" t="s">
        <v>59</v>
      </c>
      <c r="P6" s="12" t="s">
        <v>124</v>
      </c>
      <c r="Q6" s="12" t="s">
        <v>125</v>
      </c>
      <c r="R6" s="12" t="s">
        <v>126</v>
      </c>
      <c r="S6" s="12" t="s">
        <v>127</v>
      </c>
      <c r="T6" s="12" t="s">
        <v>67</v>
      </c>
      <c r="U6" s="310" t="s">
        <v>68</v>
      </c>
      <c r="V6" s="12" t="s">
        <v>63</v>
      </c>
      <c r="X6" s="15">
        <f>SUM(X7:X23)</f>
        <v>0</v>
      </c>
      <c r="Y6" s="15">
        <f>SUM(Y7:Y23)</f>
        <v>0</v>
      </c>
    </row>
    <row r="7" spans="1:25" ht="15" thickBot="1" x14ac:dyDescent="0.4">
      <c r="B7" s="421" t="s">
        <v>1137</v>
      </c>
      <c r="C7" s="151"/>
      <c r="D7" s="100"/>
      <c r="E7" s="151"/>
      <c r="F7" s="157" t="str">
        <f>IF(E7="","",INDEX(Lists!$BA$4:$BC$39,MATCH($B7,Lists!$AZ$4:$AZ$39,0),MATCH(E7,Lists!$BA$3:$BC$3,0)))</f>
        <v/>
      </c>
      <c r="G7" s="383"/>
      <c r="H7" s="151"/>
      <c r="I7" s="154" t="str" cm="1">
        <f t="array" ref="I7">IF(OR($C7="",$B7="",$G7="",$H7=""),"",IF(H7=J7,G7,(INDEX('Emission factors'!$K$3:$V$381,MATCH(B7&amp;C7,'Emission factors'!$J$3:$J$381&amp;'Emission factors'!$K$3:$K$381,0),MATCH(Medicalgases[[#Headers],[Converted data]],'Emission factors'!$K$2:$V$2,0)))*G7))</f>
        <v/>
      </c>
      <c r="J7" s="192" t="str">
        <f>IF(B7="","",INDEX('Emission factors'!$J$3:$V$381,MATCH(Medicalgases[[#This Row],[Type]],'Emission factors'!$J$3:$J$381,0),MATCH(Medicalgases[[#Headers],[Standard units]],'Emission factors'!$J$2:$V$2,0)))</f>
        <v>Litres</v>
      </c>
      <c r="K7" s="476" t="str" cm="1">
        <f t="array" ref="K7">IF(OR(C7="",G7=""),"",INDEX('Emission factors'!$K$3:$V$381,MATCH(Medicalgases[[#This Row],[Type]]&amp;$C7,'Emission factors'!$J$3:$J$381&amp;'Emission factors'!$K$3:$K$381,0),MATCH(Medicalgases[[#Headers],[Total EF (kgCO2e/unit)]],'Emission factors'!$K$2:$V$2,0)))</f>
        <v/>
      </c>
      <c r="L7" s="287" t="str">
        <f>IF(OR(I7="",K7=""),"",SUM(Medicalgases[[#This Row],[Direct]:[Indirect WTT]]))</f>
        <v/>
      </c>
      <c r="M7" s="150"/>
      <c r="N7" s="151"/>
      <c r="O7" s="288" t="str" cm="1">
        <f t="array" ref="O7">IF(OR($B7="",$G7=""),"",(INDEX('Emission factors'!$K$3:$V$381,MATCH(Medicalgases[[#This Row],[Type]]&amp;$C7,'Emission factors'!$J$3:$J$381&amp;'Emission factors'!$K$3:$K$381,0),MATCH(Medicalgases[[#Headers],[Direct]],'Emission factors'!$K$2:$V$2,0)))*$I7)</f>
        <v/>
      </c>
      <c r="P7" s="288">
        <v>0</v>
      </c>
      <c r="Q7" s="288">
        <v>0</v>
      </c>
      <c r="R7" s="288">
        <v>0</v>
      </c>
      <c r="S7" s="288">
        <v>0</v>
      </c>
      <c r="T7" s="289" t="str">
        <f>IF(OR($L7="",$F7=""),"",$L7*(1+$F7))</f>
        <v/>
      </c>
      <c r="U7" s="307" t="str">
        <f t="shared" ref="U7:U23" si="0">IF(OR($L7="",$F7=""),"",$L7*(1-$F7))</f>
        <v/>
      </c>
      <c r="V7" s="288">
        <v>0</v>
      </c>
      <c r="X7" s="1" cm="1">
        <f t="array" ref="X7">IF(OR(ISERROR(B7:V7)),1,0)</f>
        <v>0</v>
      </c>
      <c r="Y7" s="1">
        <f>IF(AND(C7="",G7="",H7=""),0,1)</f>
        <v>0</v>
      </c>
    </row>
    <row r="8" spans="1:25" ht="15" thickBot="1" x14ac:dyDescent="0.4">
      <c r="B8" s="421" t="s">
        <v>1137</v>
      </c>
      <c r="C8" s="151"/>
      <c r="D8" s="100"/>
      <c r="E8" s="151"/>
      <c r="F8" s="157" t="str">
        <f>IF(E8="","",INDEX(Lists!$BA$4:$BC$39,MATCH($B8,Lists!$AZ$4:$AZ$39,0),MATCH(E8,Lists!$BA$3:$BC$3,0)))</f>
        <v/>
      </c>
      <c r="G8" s="383"/>
      <c r="H8" s="151"/>
      <c r="I8" s="154" t="str" cm="1">
        <f t="array" ref="I8">IF(OR($C8="",$B8="",$G8="",$H8=""),"",IF(H8=J8,G8,(INDEX('Emission factors'!$K$3:$V$381,MATCH(B8&amp;C8,'Emission factors'!$J$3:$J$381&amp;'Emission factors'!$K$3:$K$381,0),MATCH(Medicalgases[[#Headers],[Converted data]],'Emission factors'!$K$2:$V$2,0)))*G8))</f>
        <v/>
      </c>
      <c r="J8" s="192" t="str">
        <f>IF(B8="","",INDEX('Emission factors'!$J$3:$V$381,MATCH(Medicalgases[[#This Row],[Type]],'Emission factors'!$J$3:$J$381,0),MATCH(Medicalgases[[#Headers],[Standard units]],'Emission factors'!$J$2:$V$2,0)))</f>
        <v>Litres</v>
      </c>
      <c r="K8" s="476" t="str" cm="1">
        <f t="array" ref="K8">IF(OR(C8="",G8=""),"",INDEX('Emission factors'!$K$3:$V$381,MATCH(Medicalgases[[#This Row],[Type]]&amp;$C8,'Emission factors'!$J$3:$J$381&amp;'Emission factors'!$K$3:$K$381,0),MATCH(Medicalgases[[#Headers],[Total EF (kgCO2e/unit)]],'Emission factors'!$K$2:$V$2,0)))</f>
        <v/>
      </c>
      <c r="L8" s="287" t="str">
        <f>IF(OR(I8="",K8=""),"",SUM(Medicalgases[[#This Row],[Direct]:[Indirect WTT]]))</f>
        <v/>
      </c>
      <c r="M8" s="150"/>
      <c r="N8" s="151"/>
      <c r="O8" s="288" t="str" cm="1">
        <f t="array" ref="O8">IF(OR($B8="",$G8=""),"",(INDEX('Emission factors'!$K$3:$V$381,MATCH(Medicalgases[[#This Row],[Type]]&amp;$C8,'Emission factors'!$J$3:$J$381&amp;'Emission factors'!$K$3:$K$381,0),MATCH(Medicalgases[[#Headers],[Direct]],'Emission factors'!$K$2:$V$2,0)))*$I8)</f>
        <v/>
      </c>
      <c r="P8" s="288">
        <v>0</v>
      </c>
      <c r="Q8" s="288">
        <v>0</v>
      </c>
      <c r="R8" s="288">
        <v>0</v>
      </c>
      <c r="S8" s="288">
        <v>0</v>
      </c>
      <c r="T8" s="289" t="str">
        <f t="shared" ref="T8:T23" si="1">IF(OR($L8="",$F8=""),"",$L8*(1+$F8))</f>
        <v/>
      </c>
      <c r="U8" s="307" t="str">
        <f t="shared" si="0"/>
        <v/>
      </c>
      <c r="V8" s="288">
        <v>0</v>
      </c>
      <c r="X8" s="1" cm="1">
        <f t="array" ref="X8">IF(OR(ISERROR(B8:V8)),1,0)</f>
        <v>0</v>
      </c>
      <c r="Y8" s="1">
        <f t="shared" ref="Y8:Y23" si="2">IF(AND(C8="",G8="",H8=""),0,1)</f>
        <v>0</v>
      </c>
    </row>
    <row r="9" spans="1:25" ht="15" thickBot="1" x14ac:dyDescent="0.4">
      <c r="B9" s="421" t="s">
        <v>1137</v>
      </c>
      <c r="C9" s="151"/>
      <c r="D9" s="100"/>
      <c r="E9" s="151"/>
      <c r="F9" s="157" t="str">
        <f>IF(E9="","",INDEX(Lists!$BA$4:$BC$39,MATCH($B9,Lists!$AZ$4:$AZ$39,0),MATCH(E9,Lists!$BA$3:$BC$3,0)))</f>
        <v/>
      </c>
      <c r="G9" s="383"/>
      <c r="H9" s="151"/>
      <c r="I9" s="154" t="str" cm="1">
        <f t="array" ref="I9">IF(OR($C9="",$B9="",$G9="",$H9=""),"",IF(H9=J9,G9,(INDEX('Emission factors'!$K$3:$V$381,MATCH(B9&amp;C9,'Emission factors'!$J$3:$J$381&amp;'Emission factors'!$K$3:$K$381,0),MATCH(Medicalgases[[#Headers],[Converted data]],'Emission factors'!$K$2:$V$2,0)))*G9))</f>
        <v/>
      </c>
      <c r="J9" s="192" t="str">
        <f>IF(B9="","",INDEX('Emission factors'!$J$3:$V$381,MATCH(Medicalgases[[#This Row],[Type]],'Emission factors'!$J$3:$J$381,0),MATCH(Medicalgases[[#Headers],[Standard units]],'Emission factors'!$J$2:$V$2,0)))</f>
        <v>Litres</v>
      </c>
      <c r="K9" s="476" t="str" cm="1">
        <f t="array" ref="K9">IF(OR(C9="",G9=""),"",INDEX('Emission factors'!$K$3:$V$381,MATCH(Medicalgases[[#This Row],[Type]]&amp;$C9,'Emission factors'!$J$3:$J$381&amp;'Emission factors'!$K$3:$K$381,0),MATCH(Medicalgases[[#Headers],[Total EF (kgCO2e/unit)]],'Emission factors'!$K$2:$V$2,0)))</f>
        <v/>
      </c>
      <c r="L9" s="287" t="str">
        <f>IF(OR(I9="",K9=""),"",SUM(Medicalgases[[#This Row],[Direct]:[Indirect WTT]]))</f>
        <v/>
      </c>
      <c r="M9" s="150"/>
      <c r="N9" s="151"/>
      <c r="O9" s="288" t="str" cm="1">
        <f t="array" ref="O9">IF(OR($B9="",$G9=""),"",(INDEX('Emission factors'!$K$3:$V$381,MATCH(Medicalgases[[#This Row],[Type]]&amp;$C9,'Emission factors'!$J$3:$J$381&amp;'Emission factors'!$K$3:$K$381,0),MATCH(Medicalgases[[#Headers],[Direct]],'Emission factors'!$K$2:$V$2,0)))*$I9)</f>
        <v/>
      </c>
      <c r="P9" s="288">
        <v>0</v>
      </c>
      <c r="Q9" s="288">
        <v>0</v>
      </c>
      <c r="R9" s="288">
        <v>0</v>
      </c>
      <c r="S9" s="288">
        <v>0</v>
      </c>
      <c r="T9" s="289" t="str">
        <f t="shared" si="1"/>
        <v/>
      </c>
      <c r="U9" s="307" t="str">
        <f t="shared" si="0"/>
        <v/>
      </c>
      <c r="V9" s="288">
        <v>0</v>
      </c>
      <c r="X9" s="1" cm="1">
        <f t="array" ref="X9">IF(OR(ISERROR(B9:V9)),1,0)</f>
        <v>0</v>
      </c>
      <c r="Y9" s="1">
        <f t="shared" si="2"/>
        <v>0</v>
      </c>
    </row>
    <row r="10" spans="1:25" ht="15" thickBot="1" x14ac:dyDescent="0.4">
      <c r="B10" s="421" t="s">
        <v>1137</v>
      </c>
      <c r="C10" s="151"/>
      <c r="D10" s="100"/>
      <c r="E10" s="151"/>
      <c r="F10" s="157" t="str">
        <f>IF(E10="","",INDEX(Lists!$BA$4:$BC$39,MATCH($B10,Lists!$AZ$4:$AZ$39,0),MATCH(E10,Lists!$BA$3:$BC$3,0)))</f>
        <v/>
      </c>
      <c r="G10" s="383"/>
      <c r="H10" s="151"/>
      <c r="I10" s="154" t="str" cm="1">
        <f t="array" ref="I10">IF(OR($C10="",$B10="",$G10="",$H10=""),"",IF(H10=J10,G10,(INDEX('Emission factors'!$K$3:$V$381,MATCH(B10&amp;C10,'Emission factors'!$J$3:$J$381&amp;'Emission factors'!$K$3:$K$381,0),MATCH(Medicalgases[[#Headers],[Converted data]],'Emission factors'!$K$2:$V$2,0)))*G10))</f>
        <v/>
      </c>
      <c r="J10" s="192" t="str">
        <f>IF(B10="","",INDEX('Emission factors'!$J$3:$V$381,MATCH(Medicalgases[[#This Row],[Type]],'Emission factors'!$J$3:$J$381,0),MATCH(Medicalgases[[#Headers],[Standard units]],'Emission factors'!$J$2:$V$2,0)))</f>
        <v>Litres</v>
      </c>
      <c r="K10" s="476" t="str" cm="1">
        <f t="array" ref="K10">IF(OR(C10="",G10=""),"",INDEX('Emission factors'!$K$3:$V$381,MATCH(Medicalgases[[#This Row],[Type]]&amp;$C10,'Emission factors'!$J$3:$J$381&amp;'Emission factors'!$K$3:$K$381,0),MATCH(Medicalgases[[#Headers],[Total EF (kgCO2e/unit)]],'Emission factors'!$K$2:$V$2,0)))</f>
        <v/>
      </c>
      <c r="L10" s="287" t="str">
        <f>IF(OR(I10="",K10=""),"",SUM(Medicalgases[[#This Row],[Direct]:[Indirect WTT]]))</f>
        <v/>
      </c>
      <c r="M10" s="150"/>
      <c r="N10" s="151"/>
      <c r="O10" s="288" t="str" cm="1">
        <f t="array" ref="O10">IF(OR($B10="",$G10=""),"",(INDEX('Emission factors'!$K$3:$V$381,MATCH(Medicalgases[[#This Row],[Type]]&amp;$C10,'Emission factors'!$J$3:$J$381&amp;'Emission factors'!$K$3:$K$381,0),MATCH(Medicalgases[[#Headers],[Direct]],'Emission factors'!$K$2:$V$2,0)))*$I10)</f>
        <v/>
      </c>
      <c r="P10" s="288">
        <v>0</v>
      </c>
      <c r="Q10" s="288">
        <v>0</v>
      </c>
      <c r="R10" s="288">
        <v>0</v>
      </c>
      <c r="S10" s="288">
        <v>0</v>
      </c>
      <c r="T10" s="289" t="str">
        <f t="shared" si="1"/>
        <v/>
      </c>
      <c r="U10" s="307" t="str">
        <f t="shared" si="0"/>
        <v/>
      </c>
      <c r="V10" s="288">
        <v>0</v>
      </c>
      <c r="X10" s="1" cm="1">
        <f t="array" ref="X10">IF(OR(ISERROR(B10:V10)),1,0)</f>
        <v>0</v>
      </c>
      <c r="Y10" s="1">
        <f t="shared" si="2"/>
        <v>0</v>
      </c>
    </row>
    <row r="11" spans="1:25" ht="15" thickBot="1" x14ac:dyDescent="0.4">
      <c r="B11" s="421" t="s">
        <v>1137</v>
      </c>
      <c r="C11" s="151"/>
      <c r="D11" s="100"/>
      <c r="E11" s="151"/>
      <c r="F11" s="157" t="str">
        <f>IF(E11="","",INDEX(Lists!$BA$4:$BC$39,MATCH($B11,Lists!$AZ$4:$AZ$39,0),MATCH(E11,Lists!$BA$3:$BC$3,0)))</f>
        <v/>
      </c>
      <c r="G11" s="383"/>
      <c r="H11" s="151"/>
      <c r="I11" s="154" t="str" cm="1">
        <f t="array" ref="I11">IF(OR($C11="",$B11="",$G11="",$H11=""),"",IF(H11=J11,G11,(INDEX('Emission factors'!$K$3:$V$381,MATCH(B11&amp;C11,'Emission factors'!$J$3:$J$381&amp;'Emission factors'!$K$3:$K$381,0),MATCH(Medicalgases[[#Headers],[Converted data]],'Emission factors'!$K$2:$V$2,0)))*G11))</f>
        <v/>
      </c>
      <c r="J11" s="192" t="str">
        <f>IF(B11="","",INDEX('Emission factors'!$J$3:$V$381,MATCH(Medicalgases[[#This Row],[Type]],'Emission factors'!$J$3:$J$381,0),MATCH(Medicalgases[[#Headers],[Standard units]],'Emission factors'!$J$2:$V$2,0)))</f>
        <v>Litres</v>
      </c>
      <c r="K11" s="476" t="str" cm="1">
        <f t="array" ref="K11">IF(OR(C11="",G11=""),"",INDEX('Emission factors'!$K$3:$V$381,MATCH(Medicalgases[[#This Row],[Type]]&amp;$C11,'Emission factors'!$J$3:$J$381&amp;'Emission factors'!$K$3:$K$381,0),MATCH(Medicalgases[[#Headers],[Total EF (kgCO2e/unit)]],'Emission factors'!$K$2:$V$2,0)))</f>
        <v/>
      </c>
      <c r="L11" s="287" t="str">
        <f>IF(OR(I11="",K11=""),"",SUM(Medicalgases[[#This Row],[Direct]:[Indirect WTT]]))</f>
        <v/>
      </c>
      <c r="M11" s="150"/>
      <c r="N11" s="151"/>
      <c r="O11" s="288" t="str" cm="1">
        <f t="array" ref="O11">IF(OR($B11="",$G11=""),"",(INDEX('Emission factors'!$K$3:$V$381,MATCH(Medicalgases[[#This Row],[Type]]&amp;$C11,'Emission factors'!$J$3:$J$381&amp;'Emission factors'!$K$3:$K$381,0),MATCH(Medicalgases[[#Headers],[Direct]],'Emission factors'!$K$2:$V$2,0)))*$I11)</f>
        <v/>
      </c>
      <c r="P11" s="288">
        <v>0</v>
      </c>
      <c r="Q11" s="288">
        <v>0</v>
      </c>
      <c r="R11" s="288">
        <v>0</v>
      </c>
      <c r="S11" s="288">
        <v>0</v>
      </c>
      <c r="T11" s="289" t="str">
        <f t="shared" si="1"/>
        <v/>
      </c>
      <c r="U11" s="307" t="str">
        <f t="shared" si="0"/>
        <v/>
      </c>
      <c r="V11" s="288">
        <v>0</v>
      </c>
      <c r="X11" s="1" cm="1">
        <f t="array" ref="X11">IF(OR(ISERROR(B11:V11)),1,0)</f>
        <v>0</v>
      </c>
      <c r="Y11" s="1">
        <f t="shared" si="2"/>
        <v>0</v>
      </c>
    </row>
    <row r="12" spans="1:25" ht="15" thickBot="1" x14ac:dyDescent="0.4">
      <c r="B12" s="421" t="s">
        <v>1137</v>
      </c>
      <c r="C12" s="151"/>
      <c r="D12" s="100"/>
      <c r="E12" s="151"/>
      <c r="F12" s="157" t="str">
        <f>IF(E12="","",INDEX(Lists!$BA$4:$BC$39,MATCH($B12,Lists!$AZ$4:$AZ$39,0),MATCH(E12,Lists!$BA$3:$BC$3,0)))</f>
        <v/>
      </c>
      <c r="G12" s="383"/>
      <c r="H12" s="151"/>
      <c r="I12" s="154" t="str" cm="1">
        <f t="array" ref="I12">IF(OR($C12="",$B12="",$G12="",$H12=""),"",IF(H12=J12,G12,(INDEX('Emission factors'!$K$3:$V$381,MATCH(B12&amp;C12,'Emission factors'!$J$3:$J$381&amp;'Emission factors'!$K$3:$K$381,0),MATCH(Medicalgases[[#Headers],[Converted data]],'Emission factors'!$K$2:$V$2,0)))*G12))</f>
        <v/>
      </c>
      <c r="J12" s="192" t="str">
        <f>IF(B12="","",INDEX('Emission factors'!$J$3:$V$381,MATCH(Medicalgases[[#This Row],[Type]],'Emission factors'!$J$3:$J$381,0),MATCH(Medicalgases[[#Headers],[Standard units]],'Emission factors'!$J$2:$V$2,0)))</f>
        <v>Litres</v>
      </c>
      <c r="K12" s="476" t="str" cm="1">
        <f t="array" ref="K12">IF(OR(C12="",G12=""),"",INDEX('Emission factors'!$K$3:$V$381,MATCH(Medicalgases[[#This Row],[Type]]&amp;$C12,'Emission factors'!$J$3:$J$381&amp;'Emission factors'!$K$3:$K$381,0),MATCH(Medicalgases[[#Headers],[Total EF (kgCO2e/unit)]],'Emission factors'!$K$2:$V$2,0)))</f>
        <v/>
      </c>
      <c r="L12" s="287" t="str">
        <f>IF(OR(I12="",K12=""),"",SUM(Medicalgases[[#This Row],[Direct]:[Indirect WTT]]))</f>
        <v/>
      </c>
      <c r="M12" s="150"/>
      <c r="N12" s="151"/>
      <c r="O12" s="288" t="str" cm="1">
        <f t="array" ref="O12">IF(OR($B12="",$G12=""),"",(INDEX('Emission factors'!$K$3:$V$381,MATCH(Medicalgases[[#This Row],[Type]]&amp;$C12,'Emission factors'!$J$3:$J$381&amp;'Emission factors'!$K$3:$K$381,0),MATCH(Medicalgases[[#Headers],[Direct]],'Emission factors'!$K$2:$V$2,0)))*$I12)</f>
        <v/>
      </c>
      <c r="P12" s="288">
        <v>0</v>
      </c>
      <c r="Q12" s="288">
        <v>0</v>
      </c>
      <c r="R12" s="288">
        <v>0</v>
      </c>
      <c r="S12" s="288">
        <v>0</v>
      </c>
      <c r="T12" s="289" t="str">
        <f t="shared" si="1"/>
        <v/>
      </c>
      <c r="U12" s="307" t="str">
        <f t="shared" si="0"/>
        <v/>
      </c>
      <c r="V12" s="288">
        <v>0</v>
      </c>
      <c r="X12" s="1" cm="1">
        <f t="array" ref="X12">IF(OR(ISERROR(B12:V12)),1,0)</f>
        <v>0</v>
      </c>
      <c r="Y12" s="1">
        <f t="shared" si="2"/>
        <v>0</v>
      </c>
    </row>
    <row r="13" spans="1:25" ht="15" thickBot="1" x14ac:dyDescent="0.4">
      <c r="B13" s="421" t="s">
        <v>1137</v>
      </c>
      <c r="C13" s="151"/>
      <c r="D13" s="100"/>
      <c r="E13" s="151"/>
      <c r="F13" s="157" t="str">
        <f>IF(E13="","",INDEX(Lists!$BA$4:$BC$39,MATCH($B13,Lists!$AZ$4:$AZ$39,0),MATCH(E13,Lists!$BA$3:$BC$3,0)))</f>
        <v/>
      </c>
      <c r="G13" s="383"/>
      <c r="H13" s="151"/>
      <c r="I13" s="154" t="str" cm="1">
        <f t="array" ref="I13">IF(OR($C13="",$B13="",$G13="",$H13=""),"",IF(H13=J13,G13,(INDEX('Emission factors'!$K$3:$V$381,MATCH(B13&amp;C13,'Emission factors'!$J$3:$J$381&amp;'Emission factors'!$K$3:$K$381,0),MATCH(Medicalgases[[#Headers],[Converted data]],'Emission factors'!$K$2:$V$2,0)))*G13))</f>
        <v/>
      </c>
      <c r="J13" s="192" t="str">
        <f>IF(B13="","",INDEX('Emission factors'!$J$3:$V$381,MATCH(Medicalgases[[#This Row],[Type]],'Emission factors'!$J$3:$J$381,0),MATCH(Medicalgases[[#Headers],[Standard units]],'Emission factors'!$J$2:$V$2,0)))</f>
        <v>Litres</v>
      </c>
      <c r="K13" s="476" t="str" cm="1">
        <f t="array" ref="K13">IF(OR(C13="",G13=""),"",INDEX('Emission factors'!$K$3:$V$381,MATCH(Medicalgases[[#This Row],[Type]]&amp;$C13,'Emission factors'!$J$3:$J$381&amp;'Emission factors'!$K$3:$K$381,0),MATCH(Medicalgases[[#Headers],[Total EF (kgCO2e/unit)]],'Emission factors'!$K$2:$V$2,0)))</f>
        <v/>
      </c>
      <c r="L13" s="287" t="str">
        <f>IF(OR(I13="",K13=""),"",SUM(Medicalgases[[#This Row],[Direct]:[Indirect WTT]]))</f>
        <v/>
      </c>
      <c r="M13" s="150"/>
      <c r="N13" s="151"/>
      <c r="O13" s="288" t="str" cm="1">
        <f t="array" ref="O13">IF(OR($B13="",$G13=""),"",(INDEX('Emission factors'!$K$3:$V$381,MATCH(Medicalgases[[#This Row],[Type]]&amp;$C13,'Emission factors'!$J$3:$J$381&amp;'Emission factors'!$K$3:$K$381,0),MATCH(Medicalgases[[#Headers],[Direct]],'Emission factors'!$K$2:$V$2,0)))*$I13)</f>
        <v/>
      </c>
      <c r="P13" s="288">
        <v>0</v>
      </c>
      <c r="Q13" s="288">
        <v>0</v>
      </c>
      <c r="R13" s="288">
        <v>0</v>
      </c>
      <c r="S13" s="288">
        <v>0</v>
      </c>
      <c r="T13" s="289" t="str">
        <f t="shared" si="1"/>
        <v/>
      </c>
      <c r="U13" s="307" t="str">
        <f t="shared" si="0"/>
        <v/>
      </c>
      <c r="V13" s="288">
        <v>0</v>
      </c>
      <c r="X13" s="1" cm="1">
        <f t="array" ref="X13">IF(OR(ISERROR(B13:V13)),1,0)</f>
        <v>0</v>
      </c>
      <c r="Y13" s="1">
        <f t="shared" si="2"/>
        <v>0</v>
      </c>
    </row>
    <row r="14" spans="1:25" ht="15" thickBot="1" x14ac:dyDescent="0.4">
      <c r="B14" s="421" t="s">
        <v>1137</v>
      </c>
      <c r="C14" s="151"/>
      <c r="D14" s="100"/>
      <c r="E14" s="151"/>
      <c r="F14" s="157" t="str">
        <f>IF(E14="","",INDEX(Lists!$BA$4:$BC$39,MATCH($B14,Lists!$AZ$4:$AZ$39,0),MATCH(E14,Lists!$BA$3:$BC$3,0)))</f>
        <v/>
      </c>
      <c r="G14" s="383"/>
      <c r="H14" s="151"/>
      <c r="I14" s="154" t="str" cm="1">
        <f t="array" ref="I14">IF(OR($C14="",$B14="",$G14="",$H14=""),"",IF(H14=J14,G14,(INDEX('Emission factors'!$K$3:$V$381,MATCH(B14&amp;C14,'Emission factors'!$J$3:$J$381&amp;'Emission factors'!$K$3:$K$381,0),MATCH(Medicalgases[[#Headers],[Converted data]],'Emission factors'!$K$2:$V$2,0)))*G14))</f>
        <v/>
      </c>
      <c r="J14" s="192" t="str">
        <f>IF(B14="","",INDEX('Emission factors'!$J$3:$V$381,MATCH(Medicalgases[[#This Row],[Type]],'Emission factors'!$J$3:$J$381,0),MATCH(Medicalgases[[#Headers],[Standard units]],'Emission factors'!$J$2:$V$2,0)))</f>
        <v>Litres</v>
      </c>
      <c r="K14" s="476" t="str" cm="1">
        <f t="array" ref="K14">IF(OR(C14="",G14=""),"",INDEX('Emission factors'!$K$3:$V$381,MATCH(Medicalgases[[#This Row],[Type]]&amp;$C14,'Emission factors'!$J$3:$J$381&amp;'Emission factors'!$K$3:$K$381,0),MATCH(Medicalgases[[#Headers],[Total EF (kgCO2e/unit)]],'Emission factors'!$K$2:$V$2,0)))</f>
        <v/>
      </c>
      <c r="L14" s="287" t="str">
        <f>IF(OR(I14="",K14=""),"",SUM(Medicalgases[[#This Row],[Direct]:[Indirect WTT]]))</f>
        <v/>
      </c>
      <c r="M14" s="150"/>
      <c r="N14" s="151"/>
      <c r="O14" s="288" t="str" cm="1">
        <f t="array" ref="O14">IF(OR($B14="",$G14=""),"",(INDEX('Emission factors'!$K$3:$V$381,MATCH(Medicalgases[[#This Row],[Type]]&amp;$C14,'Emission factors'!$J$3:$J$381&amp;'Emission factors'!$K$3:$K$381,0),MATCH(Medicalgases[[#Headers],[Direct]],'Emission factors'!$K$2:$V$2,0)))*$I14)</f>
        <v/>
      </c>
      <c r="P14" s="288">
        <v>0</v>
      </c>
      <c r="Q14" s="288">
        <v>0</v>
      </c>
      <c r="R14" s="288">
        <v>0</v>
      </c>
      <c r="S14" s="288">
        <v>0</v>
      </c>
      <c r="T14" s="289" t="str">
        <f t="shared" si="1"/>
        <v/>
      </c>
      <c r="U14" s="307" t="str">
        <f t="shared" si="0"/>
        <v/>
      </c>
      <c r="V14" s="288">
        <v>0</v>
      </c>
      <c r="X14" s="1" cm="1">
        <f t="array" ref="X14">IF(OR(ISERROR(B14:V14)),1,0)</f>
        <v>0</v>
      </c>
      <c r="Y14" s="1">
        <f t="shared" si="2"/>
        <v>0</v>
      </c>
    </row>
    <row r="15" spans="1:25" ht="15" thickBot="1" x14ac:dyDescent="0.4">
      <c r="B15" s="421" t="s">
        <v>1137</v>
      </c>
      <c r="C15" s="151"/>
      <c r="D15" s="100"/>
      <c r="E15" s="151"/>
      <c r="F15" s="157" t="str">
        <f>IF(E15="","",INDEX(Lists!$BA$4:$BC$39,MATCH($B15,Lists!$AZ$4:$AZ$39,0),MATCH(E15,Lists!$BA$3:$BC$3,0)))</f>
        <v/>
      </c>
      <c r="G15" s="383"/>
      <c r="H15" s="151"/>
      <c r="I15" s="154" t="str" cm="1">
        <f t="array" ref="I15">IF(OR($C15="",$B15="",$G15="",$H15=""),"",IF(H15=J15,G15,(INDEX('Emission factors'!$K$3:$V$381,MATCH(B15&amp;C15,'Emission factors'!$J$3:$J$381&amp;'Emission factors'!$K$3:$K$381,0),MATCH(Medicalgases[[#Headers],[Converted data]],'Emission factors'!$K$2:$V$2,0)))*G15))</f>
        <v/>
      </c>
      <c r="J15" s="192" t="str">
        <f>IF(B15="","",INDEX('Emission factors'!$J$3:$V$381,MATCH(Medicalgases[[#This Row],[Type]],'Emission factors'!$J$3:$J$381,0),MATCH(Medicalgases[[#Headers],[Standard units]],'Emission factors'!$J$2:$V$2,0)))</f>
        <v>Litres</v>
      </c>
      <c r="K15" s="476" t="str" cm="1">
        <f t="array" ref="K15">IF(OR(C15="",G15=""),"",INDEX('Emission factors'!$K$3:$V$381,MATCH(Medicalgases[[#This Row],[Type]]&amp;$C15,'Emission factors'!$J$3:$J$381&amp;'Emission factors'!$K$3:$K$381,0),MATCH(Medicalgases[[#Headers],[Total EF (kgCO2e/unit)]],'Emission factors'!$K$2:$V$2,0)))</f>
        <v/>
      </c>
      <c r="L15" s="287" t="str">
        <f>IF(OR(I15="",K15=""),"",SUM(Medicalgases[[#This Row],[Direct]:[Indirect WTT]]))</f>
        <v/>
      </c>
      <c r="M15" s="150"/>
      <c r="N15" s="151"/>
      <c r="O15" s="288" t="str" cm="1">
        <f t="array" ref="O15">IF(OR($B15="",$G15=""),"",(INDEX('Emission factors'!$K$3:$V$381,MATCH(Medicalgases[[#This Row],[Type]]&amp;$C15,'Emission factors'!$J$3:$J$381&amp;'Emission factors'!$K$3:$K$381,0),MATCH(Medicalgases[[#Headers],[Direct]],'Emission factors'!$K$2:$V$2,0)))*$I15)</f>
        <v/>
      </c>
      <c r="P15" s="288">
        <v>0</v>
      </c>
      <c r="Q15" s="288">
        <v>0</v>
      </c>
      <c r="R15" s="288">
        <v>0</v>
      </c>
      <c r="S15" s="288">
        <v>0</v>
      </c>
      <c r="T15" s="289" t="str">
        <f t="shared" si="1"/>
        <v/>
      </c>
      <c r="U15" s="307" t="str">
        <f t="shared" si="0"/>
        <v/>
      </c>
      <c r="V15" s="288">
        <v>0</v>
      </c>
      <c r="X15" s="1" cm="1">
        <f t="array" ref="X15">IF(OR(ISERROR(B15:V15)),1,0)</f>
        <v>0</v>
      </c>
      <c r="Y15" s="1">
        <f t="shared" si="2"/>
        <v>0</v>
      </c>
    </row>
    <row r="16" spans="1:25" ht="15" thickBot="1" x14ac:dyDescent="0.4">
      <c r="B16" s="421" t="s">
        <v>1137</v>
      </c>
      <c r="C16" s="151"/>
      <c r="D16" s="100"/>
      <c r="E16" s="151"/>
      <c r="F16" s="157" t="str">
        <f>IF(E16="","",INDEX(Lists!$BA$4:$BC$39,MATCH($B16,Lists!$AZ$4:$AZ$39,0),MATCH(E16,Lists!$BA$3:$BC$3,0)))</f>
        <v/>
      </c>
      <c r="G16" s="383"/>
      <c r="H16" s="151"/>
      <c r="I16" s="154" t="str" cm="1">
        <f t="array" ref="I16">IF(OR($C16="",$B16="",$G16="",$H16=""),"",IF(H16=J16,G16,(INDEX('Emission factors'!$K$3:$V$381,MATCH(B16&amp;C16,'Emission factors'!$J$3:$J$381&amp;'Emission factors'!$K$3:$K$381,0),MATCH(Medicalgases[[#Headers],[Converted data]],'Emission factors'!$K$2:$V$2,0)))*G16))</f>
        <v/>
      </c>
      <c r="J16" s="192" t="str">
        <f>IF(B16="","",INDEX('Emission factors'!$J$3:$V$381,MATCH(Medicalgases[[#This Row],[Type]],'Emission factors'!$J$3:$J$381,0),MATCH(Medicalgases[[#Headers],[Standard units]],'Emission factors'!$J$2:$V$2,0)))</f>
        <v>Litres</v>
      </c>
      <c r="K16" s="476" t="str" cm="1">
        <f t="array" ref="K16">IF(OR(C16="",G16=""),"",INDEX('Emission factors'!$K$3:$V$381,MATCH(Medicalgases[[#This Row],[Type]]&amp;$C16,'Emission factors'!$J$3:$J$381&amp;'Emission factors'!$K$3:$K$381,0),MATCH(Medicalgases[[#Headers],[Total EF (kgCO2e/unit)]],'Emission factors'!$K$2:$V$2,0)))</f>
        <v/>
      </c>
      <c r="L16" s="287" t="str">
        <f>IF(OR(I16="",K16=""),"",SUM(Medicalgases[[#This Row],[Direct]:[Indirect WTT]]))</f>
        <v/>
      </c>
      <c r="M16" s="150"/>
      <c r="N16" s="151"/>
      <c r="O16" s="288" t="str" cm="1">
        <f t="array" ref="O16">IF(OR($B16="",$G16=""),"",(INDEX('Emission factors'!$K$3:$V$381,MATCH(Medicalgases[[#This Row],[Type]]&amp;$C16,'Emission factors'!$J$3:$J$381&amp;'Emission factors'!$K$3:$K$381,0),MATCH(Medicalgases[[#Headers],[Direct]],'Emission factors'!$K$2:$V$2,0)))*$I16)</f>
        <v/>
      </c>
      <c r="P16" s="288">
        <v>0</v>
      </c>
      <c r="Q16" s="288">
        <v>0</v>
      </c>
      <c r="R16" s="288">
        <v>0</v>
      </c>
      <c r="S16" s="288">
        <v>0</v>
      </c>
      <c r="T16" s="289" t="str">
        <f t="shared" si="1"/>
        <v/>
      </c>
      <c r="U16" s="307" t="str">
        <f t="shared" si="0"/>
        <v/>
      </c>
      <c r="V16" s="288">
        <v>0</v>
      </c>
      <c r="X16" s="1" cm="1">
        <f t="array" ref="X16">IF(OR(ISERROR(B16:V16)),1,0)</f>
        <v>0</v>
      </c>
      <c r="Y16" s="1">
        <f t="shared" si="2"/>
        <v>0</v>
      </c>
    </row>
    <row r="17" spans="1:25" ht="15" thickBot="1" x14ac:dyDescent="0.4">
      <c r="B17" s="421" t="s">
        <v>1137</v>
      </c>
      <c r="C17" s="151"/>
      <c r="D17" s="100"/>
      <c r="E17" s="151"/>
      <c r="F17" s="157" t="str">
        <f>IF(E17="","",INDEX(Lists!$BA$4:$BC$39,MATCH($B17,Lists!$AZ$4:$AZ$39,0),MATCH(E17,Lists!$BA$3:$BC$3,0)))</f>
        <v/>
      </c>
      <c r="G17" s="383"/>
      <c r="H17" s="151"/>
      <c r="I17" s="154" t="str" cm="1">
        <f t="array" ref="I17">IF(OR($C17="",$B17="",$G17="",$H17=""),"",IF(H17=J17,G17,(INDEX('Emission factors'!$K$3:$V$381,MATCH(B17&amp;C17,'Emission factors'!$J$3:$J$381&amp;'Emission factors'!$K$3:$K$381,0),MATCH(Medicalgases[[#Headers],[Converted data]],'Emission factors'!$K$2:$V$2,0)))*G17))</f>
        <v/>
      </c>
      <c r="J17" s="192" t="str">
        <f>IF(B17="","",INDEX('Emission factors'!$J$3:$V$381,MATCH(Medicalgases[[#This Row],[Type]],'Emission factors'!$J$3:$J$381,0),MATCH(Medicalgases[[#Headers],[Standard units]],'Emission factors'!$J$2:$V$2,0)))</f>
        <v>Litres</v>
      </c>
      <c r="K17" s="476" t="str" cm="1">
        <f t="array" ref="K17">IF(OR(C17="",G17=""),"",INDEX('Emission factors'!$K$3:$V$381,MATCH(Medicalgases[[#This Row],[Type]]&amp;$C17,'Emission factors'!$J$3:$J$381&amp;'Emission factors'!$K$3:$K$381,0),MATCH(Medicalgases[[#Headers],[Total EF (kgCO2e/unit)]],'Emission factors'!$K$2:$V$2,0)))</f>
        <v/>
      </c>
      <c r="L17" s="287" t="str">
        <f>IF(OR(I17="",K17=""),"",SUM(Medicalgases[[#This Row],[Direct]:[Indirect WTT]]))</f>
        <v/>
      </c>
      <c r="M17" s="150"/>
      <c r="N17" s="151"/>
      <c r="O17" s="288" t="str" cm="1">
        <f t="array" ref="O17">IF(OR($B17="",$G17=""),"",(INDEX('Emission factors'!$K$3:$V$381,MATCH(Medicalgases[[#This Row],[Type]]&amp;$C17,'Emission factors'!$J$3:$J$381&amp;'Emission factors'!$K$3:$K$381,0),MATCH(Medicalgases[[#Headers],[Direct]],'Emission factors'!$K$2:$V$2,0)))*$I17)</f>
        <v/>
      </c>
      <c r="P17" s="288">
        <v>0</v>
      </c>
      <c r="Q17" s="288">
        <v>0</v>
      </c>
      <c r="R17" s="288">
        <v>0</v>
      </c>
      <c r="S17" s="288">
        <v>0</v>
      </c>
      <c r="T17" s="289" t="str">
        <f t="shared" si="1"/>
        <v/>
      </c>
      <c r="U17" s="307" t="str">
        <f t="shared" si="0"/>
        <v/>
      </c>
      <c r="V17" s="288">
        <v>0</v>
      </c>
      <c r="X17" s="1" cm="1">
        <f t="array" ref="X17">IF(OR(ISERROR(B17:V17)),1,0)</f>
        <v>0</v>
      </c>
      <c r="Y17" s="1">
        <f t="shared" si="2"/>
        <v>0</v>
      </c>
    </row>
    <row r="18" spans="1:25" ht="15" thickBot="1" x14ac:dyDescent="0.4">
      <c r="B18" s="421" t="s">
        <v>1137</v>
      </c>
      <c r="C18" s="151"/>
      <c r="D18" s="100"/>
      <c r="E18" s="151"/>
      <c r="F18" s="157" t="str">
        <f>IF(E18="","",INDEX(Lists!$BA$4:$BC$39,MATCH($B18,Lists!$AZ$4:$AZ$39,0),MATCH(E18,Lists!$BA$3:$BC$3,0)))</f>
        <v/>
      </c>
      <c r="G18" s="383"/>
      <c r="H18" s="151"/>
      <c r="I18" s="154" t="str" cm="1">
        <f t="array" ref="I18">IF(OR($C18="",$B18="",$G18="",$H18=""),"",IF(H18=J18,G18,(INDEX('Emission factors'!$K$3:$V$381,MATCH(B18&amp;C18,'Emission factors'!$J$3:$J$381&amp;'Emission factors'!$K$3:$K$381,0),MATCH(Medicalgases[[#Headers],[Converted data]],'Emission factors'!$K$2:$V$2,0)))*G18))</f>
        <v/>
      </c>
      <c r="J18" s="192" t="str">
        <f>IF(B18="","",INDEX('Emission factors'!$J$3:$V$381,MATCH(Medicalgases[[#This Row],[Type]],'Emission factors'!$J$3:$J$381,0),MATCH(Medicalgases[[#Headers],[Standard units]],'Emission factors'!$J$2:$V$2,0)))</f>
        <v>Litres</v>
      </c>
      <c r="K18" s="476" t="str" cm="1">
        <f t="array" ref="K18">IF(OR(C18="",G18=""),"",INDEX('Emission factors'!$K$3:$V$381,MATCH(Medicalgases[[#This Row],[Type]]&amp;$C18,'Emission factors'!$J$3:$J$381&amp;'Emission factors'!$K$3:$K$381,0),MATCH(Medicalgases[[#Headers],[Total EF (kgCO2e/unit)]],'Emission factors'!$K$2:$V$2,0)))</f>
        <v/>
      </c>
      <c r="L18" s="287" t="str">
        <f>IF(OR(I18="",K18=""),"",SUM(Medicalgases[[#This Row],[Direct]:[Indirect WTT]]))</f>
        <v/>
      </c>
      <c r="M18" s="150"/>
      <c r="N18" s="151"/>
      <c r="O18" s="288" t="str" cm="1">
        <f t="array" ref="O18">IF(OR($B18="",$G18=""),"",(INDEX('Emission factors'!$K$3:$V$381,MATCH(Medicalgases[[#This Row],[Type]]&amp;$C18,'Emission factors'!$J$3:$J$381&amp;'Emission factors'!$K$3:$K$381,0),MATCH(Medicalgases[[#Headers],[Direct]],'Emission factors'!$K$2:$V$2,0)))*$I18)</f>
        <v/>
      </c>
      <c r="P18" s="288">
        <v>0</v>
      </c>
      <c r="Q18" s="288">
        <v>0</v>
      </c>
      <c r="R18" s="288">
        <v>0</v>
      </c>
      <c r="S18" s="288">
        <v>0</v>
      </c>
      <c r="T18" s="289" t="str">
        <f t="shared" si="1"/>
        <v/>
      </c>
      <c r="U18" s="307" t="str">
        <f t="shared" si="0"/>
        <v/>
      </c>
      <c r="V18" s="288">
        <v>0</v>
      </c>
      <c r="X18" s="1" cm="1">
        <f t="array" ref="X18">IF(OR(ISERROR(B18:V18)),1,0)</f>
        <v>0</v>
      </c>
      <c r="Y18" s="1">
        <f t="shared" si="2"/>
        <v>0</v>
      </c>
    </row>
    <row r="19" spans="1:25" ht="15" thickBot="1" x14ac:dyDescent="0.4">
      <c r="B19" s="421" t="s">
        <v>1137</v>
      </c>
      <c r="C19" s="151"/>
      <c r="D19" s="100"/>
      <c r="E19" s="151"/>
      <c r="F19" s="157" t="str">
        <f>IF(E19="","",INDEX(Lists!$BA$4:$BC$39,MATCH($B19,Lists!$AZ$4:$AZ$39,0),MATCH(E19,Lists!$BA$3:$BC$3,0)))</f>
        <v/>
      </c>
      <c r="G19" s="383"/>
      <c r="H19" s="151"/>
      <c r="I19" s="154" t="str" cm="1">
        <f t="array" ref="I19">IF(OR($C19="",$B19="",$G19="",$H19=""),"",IF(H19=J19,G19,(INDEX('Emission factors'!$K$3:$V$381,MATCH(B19&amp;C19,'Emission factors'!$J$3:$J$381&amp;'Emission factors'!$K$3:$K$381,0),MATCH(Medicalgases[[#Headers],[Converted data]],'Emission factors'!$K$2:$V$2,0)))*G19))</f>
        <v/>
      </c>
      <c r="J19" s="192" t="str">
        <f>IF(B19="","",INDEX('Emission factors'!$J$3:$V$381,MATCH(Medicalgases[[#This Row],[Type]],'Emission factors'!$J$3:$J$381,0),MATCH(Medicalgases[[#Headers],[Standard units]],'Emission factors'!$J$2:$V$2,0)))</f>
        <v>Litres</v>
      </c>
      <c r="K19" s="476" t="str" cm="1">
        <f t="array" ref="K19">IF(OR(C19="",G19=""),"",INDEX('Emission factors'!$K$3:$V$381,MATCH(Medicalgases[[#This Row],[Type]]&amp;$C19,'Emission factors'!$J$3:$J$381&amp;'Emission factors'!$K$3:$K$381,0),MATCH(Medicalgases[[#Headers],[Total EF (kgCO2e/unit)]],'Emission factors'!$K$2:$V$2,0)))</f>
        <v/>
      </c>
      <c r="L19" s="287" t="str">
        <f>IF(OR(I19="",K19=""),"",SUM(Medicalgases[[#This Row],[Direct]:[Indirect WTT]]))</f>
        <v/>
      </c>
      <c r="M19" s="150"/>
      <c r="N19" s="151"/>
      <c r="O19" s="288" t="str" cm="1">
        <f t="array" ref="O19">IF(OR($B19="",$G19=""),"",(INDEX('Emission factors'!$K$3:$V$381,MATCH(Medicalgases[[#This Row],[Type]]&amp;$C19,'Emission factors'!$J$3:$J$381&amp;'Emission factors'!$K$3:$K$381,0),MATCH(Medicalgases[[#Headers],[Direct]],'Emission factors'!$K$2:$V$2,0)))*$I19)</f>
        <v/>
      </c>
      <c r="P19" s="288">
        <v>0</v>
      </c>
      <c r="Q19" s="288">
        <v>0</v>
      </c>
      <c r="R19" s="288">
        <v>0</v>
      </c>
      <c r="S19" s="288">
        <v>0</v>
      </c>
      <c r="T19" s="289" t="str">
        <f t="shared" si="1"/>
        <v/>
      </c>
      <c r="U19" s="307" t="str">
        <f t="shared" si="0"/>
        <v/>
      </c>
      <c r="V19" s="288">
        <v>0</v>
      </c>
      <c r="X19" s="1" cm="1">
        <f t="array" ref="X19">IF(OR(ISERROR(B19:V19)),1,0)</f>
        <v>0</v>
      </c>
      <c r="Y19" s="1">
        <f t="shared" si="2"/>
        <v>0</v>
      </c>
    </row>
    <row r="20" spans="1:25" ht="15" thickBot="1" x14ac:dyDescent="0.4">
      <c r="B20" s="421" t="s">
        <v>1137</v>
      </c>
      <c r="C20" s="151"/>
      <c r="D20" s="100"/>
      <c r="E20" s="151"/>
      <c r="F20" s="157" t="str">
        <f>IF(E20="","",INDEX(Lists!$BA$4:$BC$39,MATCH($B20,Lists!$AZ$4:$AZ$39,0),MATCH(E20,Lists!$BA$3:$BC$3,0)))</f>
        <v/>
      </c>
      <c r="G20" s="383"/>
      <c r="H20" s="151"/>
      <c r="I20" s="154" t="str" cm="1">
        <f t="array" ref="I20">IF(OR($C20="",$B20="",$G20="",$H20=""),"",IF(H20=J20,G20,(INDEX('Emission factors'!$K$3:$V$381,MATCH(B20&amp;C20,'Emission factors'!$J$3:$J$381&amp;'Emission factors'!$K$3:$K$381,0),MATCH(Medicalgases[[#Headers],[Converted data]],'Emission factors'!$K$2:$V$2,0)))*G20))</f>
        <v/>
      </c>
      <c r="J20" s="192" t="str">
        <f>IF(B20="","",INDEX('Emission factors'!$J$3:$V$381,MATCH(Medicalgases[[#This Row],[Type]],'Emission factors'!$J$3:$J$381,0),MATCH(Medicalgases[[#Headers],[Standard units]],'Emission factors'!$J$2:$V$2,0)))</f>
        <v>Litres</v>
      </c>
      <c r="K20" s="476" t="str" cm="1">
        <f t="array" ref="K20">IF(OR(C20="",G20=""),"",INDEX('Emission factors'!$K$3:$V$381,MATCH(Medicalgases[[#This Row],[Type]]&amp;$C20,'Emission factors'!$J$3:$J$381&amp;'Emission factors'!$K$3:$K$381,0),MATCH(Medicalgases[[#Headers],[Total EF (kgCO2e/unit)]],'Emission factors'!$K$2:$V$2,0)))</f>
        <v/>
      </c>
      <c r="L20" s="287" t="str">
        <f>IF(OR(I20="",K20=""),"",SUM(Medicalgases[[#This Row],[Direct]:[Indirect WTT]]))</f>
        <v/>
      </c>
      <c r="M20" s="150"/>
      <c r="N20" s="151"/>
      <c r="O20" s="288" t="str" cm="1">
        <f t="array" ref="O20">IF(OR($B20="",$G20=""),"",(INDEX('Emission factors'!$K$3:$V$381,MATCH(Medicalgases[[#This Row],[Type]]&amp;$C20,'Emission factors'!$J$3:$J$381&amp;'Emission factors'!$K$3:$K$381,0),MATCH(Medicalgases[[#Headers],[Direct]],'Emission factors'!$K$2:$V$2,0)))*$I20)</f>
        <v/>
      </c>
      <c r="P20" s="288">
        <v>0</v>
      </c>
      <c r="Q20" s="288">
        <v>0</v>
      </c>
      <c r="R20" s="288">
        <v>0</v>
      </c>
      <c r="S20" s="288">
        <v>0</v>
      </c>
      <c r="T20" s="289" t="str">
        <f t="shared" si="1"/>
        <v/>
      </c>
      <c r="U20" s="307" t="str">
        <f t="shared" si="0"/>
        <v/>
      </c>
      <c r="V20" s="288">
        <v>0</v>
      </c>
      <c r="X20" s="1" cm="1">
        <f t="array" ref="X20">IF(OR(ISERROR(B20:V20)),1,0)</f>
        <v>0</v>
      </c>
      <c r="Y20" s="1">
        <f t="shared" si="2"/>
        <v>0</v>
      </c>
    </row>
    <row r="21" spans="1:25" ht="15" thickBot="1" x14ac:dyDescent="0.4">
      <c r="B21" s="421" t="s">
        <v>1137</v>
      </c>
      <c r="C21" s="151"/>
      <c r="D21" s="100"/>
      <c r="E21" s="151"/>
      <c r="F21" s="157" t="str">
        <f>IF(E21="","",INDEX(Lists!$BA$4:$BC$39,MATCH($B21,Lists!$AZ$4:$AZ$39,0),MATCH(E21,Lists!$BA$3:$BC$3,0)))</f>
        <v/>
      </c>
      <c r="G21" s="383"/>
      <c r="H21" s="151"/>
      <c r="I21" s="154" t="str" cm="1">
        <f t="array" ref="I21">IF(OR($C21="",$B21="",$G21="",$H21=""),"",IF(H21=J21,G21,(INDEX('Emission factors'!$K$3:$V$381,MATCH(B21&amp;C21,'Emission factors'!$J$3:$J$381&amp;'Emission factors'!$K$3:$K$381,0),MATCH(Medicalgases[[#Headers],[Converted data]],'Emission factors'!$K$2:$V$2,0)))*G21))</f>
        <v/>
      </c>
      <c r="J21" s="192" t="str">
        <f>IF(B21="","",INDEX('Emission factors'!$J$3:$V$381,MATCH(Medicalgases[[#This Row],[Type]],'Emission factors'!$J$3:$J$381,0),MATCH(Medicalgases[[#Headers],[Standard units]],'Emission factors'!$J$2:$V$2,0)))</f>
        <v>Litres</v>
      </c>
      <c r="K21" s="476" t="str" cm="1">
        <f t="array" ref="K21">IF(OR(C21="",G21=""),"",INDEX('Emission factors'!$K$3:$V$381,MATCH(Medicalgases[[#This Row],[Type]]&amp;$C21,'Emission factors'!$J$3:$J$381&amp;'Emission factors'!$K$3:$K$381,0),MATCH(Medicalgases[[#Headers],[Total EF (kgCO2e/unit)]],'Emission factors'!$K$2:$V$2,0)))</f>
        <v/>
      </c>
      <c r="L21" s="287" t="str">
        <f>IF(OR(I21="",K21=""),"",SUM(Medicalgases[[#This Row],[Direct]:[Indirect WTT]]))</f>
        <v/>
      </c>
      <c r="M21" s="150"/>
      <c r="N21" s="151"/>
      <c r="O21" s="288" t="str" cm="1">
        <f t="array" ref="O21">IF(OR($B21="",$G21=""),"",(INDEX('Emission factors'!$K$3:$V$381,MATCH(Medicalgases[[#This Row],[Type]]&amp;$C21,'Emission factors'!$J$3:$J$381&amp;'Emission factors'!$K$3:$K$381,0),MATCH(Medicalgases[[#Headers],[Direct]],'Emission factors'!$K$2:$V$2,0)))*$I21)</f>
        <v/>
      </c>
      <c r="P21" s="288">
        <v>0</v>
      </c>
      <c r="Q21" s="288">
        <v>0</v>
      </c>
      <c r="R21" s="288">
        <v>0</v>
      </c>
      <c r="S21" s="288">
        <v>0</v>
      </c>
      <c r="T21" s="289" t="str">
        <f t="shared" si="1"/>
        <v/>
      </c>
      <c r="U21" s="307" t="str">
        <f t="shared" si="0"/>
        <v/>
      </c>
      <c r="V21" s="288">
        <v>0</v>
      </c>
      <c r="X21" s="1" cm="1">
        <f t="array" ref="X21">IF(OR(ISERROR(B21:V21)),1,0)</f>
        <v>0</v>
      </c>
      <c r="Y21" s="1">
        <f t="shared" si="2"/>
        <v>0</v>
      </c>
    </row>
    <row r="22" spans="1:25" ht="15" thickBot="1" x14ac:dyDescent="0.4">
      <c r="B22" s="421" t="s">
        <v>1137</v>
      </c>
      <c r="C22" s="151"/>
      <c r="D22" s="100"/>
      <c r="E22" s="151"/>
      <c r="F22" s="157" t="str">
        <f>IF(E22="","",INDEX(Lists!$BA$4:$BC$39,MATCH($B22,Lists!$AZ$4:$AZ$39,0),MATCH(E22,Lists!$BA$3:$BC$3,0)))</f>
        <v/>
      </c>
      <c r="G22" s="383"/>
      <c r="H22" s="151"/>
      <c r="I22" s="154" t="str" cm="1">
        <f t="array" ref="I22">IF(OR($C22="",$B22="",$G22="",$H22=""),"",IF(H22=J22,G22,(INDEX('Emission factors'!$K$3:$V$381,MATCH(B22&amp;C22,'Emission factors'!$J$3:$J$381&amp;'Emission factors'!$K$3:$K$381,0),MATCH(Medicalgases[[#Headers],[Converted data]],'Emission factors'!$K$2:$V$2,0)))*G22))</f>
        <v/>
      </c>
      <c r="J22" s="192" t="str">
        <f>IF(B22="","",INDEX('Emission factors'!$J$3:$V$381,MATCH(Medicalgases[[#This Row],[Type]],'Emission factors'!$J$3:$J$381,0),MATCH(Medicalgases[[#Headers],[Standard units]],'Emission factors'!$J$2:$V$2,0)))</f>
        <v>Litres</v>
      </c>
      <c r="K22" s="476" t="str" cm="1">
        <f t="array" ref="K22">IF(OR(C22="",G22=""),"",INDEX('Emission factors'!$K$3:$V$381,MATCH(Medicalgases[[#This Row],[Type]]&amp;$C22,'Emission factors'!$J$3:$J$381&amp;'Emission factors'!$K$3:$K$381,0),MATCH(Medicalgases[[#Headers],[Total EF (kgCO2e/unit)]],'Emission factors'!$K$2:$V$2,0)))</f>
        <v/>
      </c>
      <c r="L22" s="287" t="str">
        <f>IF(OR(I22="",K22=""),"",SUM(Medicalgases[[#This Row],[Direct]:[Indirect WTT]]))</f>
        <v/>
      </c>
      <c r="M22" s="150"/>
      <c r="N22" s="151"/>
      <c r="O22" s="288" t="str" cm="1">
        <f t="array" ref="O22">IF(OR($B22="",$G22=""),"",(INDEX('Emission factors'!$K$3:$V$381,MATCH(Medicalgases[[#This Row],[Type]]&amp;$C22,'Emission factors'!$J$3:$J$381&amp;'Emission factors'!$K$3:$K$381,0),MATCH(Medicalgases[[#Headers],[Direct]],'Emission factors'!$K$2:$V$2,0)))*$I22)</f>
        <v/>
      </c>
      <c r="P22" s="288">
        <v>0</v>
      </c>
      <c r="Q22" s="288">
        <v>0</v>
      </c>
      <c r="R22" s="288">
        <v>0</v>
      </c>
      <c r="S22" s="288">
        <v>0</v>
      </c>
      <c r="T22" s="289" t="str">
        <f t="shared" si="1"/>
        <v/>
      </c>
      <c r="U22" s="307" t="str">
        <f t="shared" si="0"/>
        <v/>
      </c>
      <c r="V22" s="288">
        <v>0</v>
      </c>
      <c r="X22" s="1" cm="1">
        <f t="array" ref="X22">IF(OR(ISERROR(B22:V22)),1,0)</f>
        <v>0</v>
      </c>
      <c r="Y22" s="1">
        <f t="shared" si="2"/>
        <v>0</v>
      </c>
    </row>
    <row r="23" spans="1:25" ht="15" thickBot="1" x14ac:dyDescent="0.4">
      <c r="B23" s="421" t="s">
        <v>1137</v>
      </c>
      <c r="C23" s="151"/>
      <c r="D23" s="100"/>
      <c r="E23" s="151"/>
      <c r="F23" s="157" t="str">
        <f>IF(E23="","",INDEX(Lists!$BA$4:$BC$39,MATCH($B23,Lists!$AZ$4:$AZ$39,0),MATCH(E23,Lists!$BA$3:$BC$3,0)))</f>
        <v/>
      </c>
      <c r="G23" s="383"/>
      <c r="H23" s="151"/>
      <c r="I23" s="154" t="str" cm="1">
        <f t="array" ref="I23">IF(OR($C23="",$B23="",$G23="",$H23=""),"",IF(H23=J23,G23,(INDEX('Emission factors'!$K$3:$V$381,MATCH(B23&amp;C23,'Emission factors'!$J$3:$J$381&amp;'Emission factors'!$K$3:$K$381,0),MATCH(Medicalgases[[#Headers],[Converted data]],'Emission factors'!$K$2:$V$2,0)))*G23))</f>
        <v/>
      </c>
      <c r="J23" s="192" t="str">
        <f>IF(B23="","",INDEX('Emission factors'!$J$3:$V$381,MATCH(Medicalgases[[#This Row],[Type]],'Emission factors'!$J$3:$J$381,0),MATCH(Medicalgases[[#Headers],[Standard units]],'Emission factors'!$J$2:$V$2,0)))</f>
        <v>Litres</v>
      </c>
      <c r="K23" s="476" t="str" cm="1">
        <f t="array" ref="K23">IF(OR(C23="",G23=""),"",INDEX('Emission factors'!$K$3:$V$381,MATCH(Medicalgases[[#This Row],[Type]]&amp;$C23,'Emission factors'!$J$3:$J$381&amp;'Emission factors'!$K$3:$K$381,0),MATCH(Medicalgases[[#Headers],[Total EF (kgCO2e/unit)]],'Emission factors'!$K$2:$V$2,0)))</f>
        <v/>
      </c>
      <c r="L23" s="287" t="str">
        <f>IF(OR(I23="",K23=""),"",SUM(Medicalgases[[#This Row],[Direct]:[Indirect WTT]]))</f>
        <v/>
      </c>
      <c r="M23" s="150"/>
      <c r="N23" s="151"/>
      <c r="O23" s="288" t="str" cm="1">
        <f t="array" ref="O23">IF(OR($B23="",$G23=""),"",(INDEX('Emission factors'!$K$3:$V$381,MATCH(Medicalgases[[#This Row],[Type]]&amp;$C23,'Emission factors'!$J$3:$J$381&amp;'Emission factors'!$K$3:$K$381,0),MATCH(Medicalgases[[#Headers],[Direct]],'Emission factors'!$K$2:$V$2,0)))*$I23)</f>
        <v/>
      </c>
      <c r="P23" s="288">
        <v>0</v>
      </c>
      <c r="Q23" s="288">
        <v>0</v>
      </c>
      <c r="R23" s="288">
        <v>0</v>
      </c>
      <c r="S23" s="288">
        <v>0</v>
      </c>
      <c r="T23" s="289" t="str">
        <f t="shared" si="1"/>
        <v/>
      </c>
      <c r="U23" s="307" t="str">
        <f t="shared" si="0"/>
        <v/>
      </c>
      <c r="V23" s="288">
        <v>0</v>
      </c>
      <c r="X23" s="1" cm="1">
        <f t="array" ref="X23">IF(OR(ISERROR(B23:V23)),1,0)</f>
        <v>0</v>
      </c>
      <c r="Y23" s="1">
        <f t="shared" si="2"/>
        <v>0</v>
      </c>
    </row>
    <row r="24" spans="1:25" s="1" customFormat="1" x14ac:dyDescent="0.35">
      <c r="A24" s="41"/>
      <c r="B24" s="33"/>
      <c r="C24" s="33"/>
      <c r="D24" s="33"/>
      <c r="E24" s="33"/>
      <c r="F24" s="33"/>
      <c r="G24" s="33"/>
      <c r="H24" s="33"/>
      <c r="I24" s="33"/>
      <c r="J24" s="33"/>
      <c r="K24" s="33"/>
      <c r="L24" s="33"/>
      <c r="M24" s="33"/>
      <c r="N24" s="33"/>
      <c r="O24" s="33"/>
      <c r="P24" s="33"/>
      <c r="Q24" s="33"/>
      <c r="R24" s="33"/>
      <c r="S24" s="33"/>
      <c r="T24" s="33"/>
      <c r="U24" s="33"/>
      <c r="V24" s="33"/>
    </row>
  </sheetData>
  <sheetProtection algorithmName="SHA-512" hashValue="AaCdarS06sCG8d9Vku730bn62Itj9luUhJfQdn/keiAR1Cr0MiUZhDMCbKhKyt2esbWcOAXdaPwL0o+m/PF/ig==" saltValue="AKUuq0faKCckEz1iJi6WRA==" spinCount="100000" sheet="1" objects="1" scenarios="1"/>
  <mergeCells count="7">
    <mergeCell ref="B4:M4"/>
    <mergeCell ref="O1:P1"/>
    <mergeCell ref="Q1:R1"/>
    <mergeCell ref="B2:M2"/>
    <mergeCell ref="O2:P2"/>
    <mergeCell ref="Q2:R2"/>
    <mergeCell ref="B3:M3"/>
  </mergeCells>
  <conditionalFormatting sqref="B4">
    <cfRule type="expression" dxfId="39" priority="4">
      <formula>ISERROR($L4)</formula>
    </cfRule>
  </conditionalFormatting>
  <conditionalFormatting sqref="B7:V23">
    <cfRule type="expression" dxfId="38" priority="1">
      <formula>IF($X7=1,1,0)</formula>
    </cfRule>
  </conditionalFormatting>
  <conditionalFormatting sqref="H5">
    <cfRule type="containsText" dxfId="37" priority="2" operator="containsText" text="There are errors">
      <formula>NOT(ISERROR(SEARCH("There are errors",H5)))</formula>
    </cfRule>
    <cfRule type="containsText" dxfId="36" priority="3" operator="containsText" text="No errors in this table">
      <formula>NOT(ISERROR(SEARCH("No errors in this table",H5)))</formula>
    </cfRule>
  </conditionalFormatting>
  <conditionalFormatting sqref="I6:I1048576 I1:I3">
    <cfRule type="cellIs" dxfId="35" priority="11" operator="equal">
      <formula>"There is an error in this table, see highlighted row(s)"</formula>
    </cfRule>
    <cfRule type="cellIs" dxfId="34" priority="12" operator="equal">
      <formula>"No errors in this table"</formula>
    </cfRule>
  </conditionalFormatting>
  <dataValidations count="5">
    <dataValidation type="list" allowBlank="1" showInputMessage="1" showErrorMessage="1" sqref="N7:N23" xr:uid="{8C2CAFC2-D936-4B60-ABCC-AE22586887AE}">
      <formula1>Ease</formula1>
    </dataValidation>
    <dataValidation type="list" allowBlank="1" showInputMessage="1" showErrorMessage="1" sqref="C7:C23" xr:uid="{692244E8-2EE3-4A5C-83B0-ACE2CE69854D}">
      <formula1>INDIRECT(SUBSTITUTE($B7," ",""))</formula1>
    </dataValidation>
    <dataValidation type="decimal" operator="greaterThan" allowBlank="1" showInputMessage="1" showErrorMessage="1" errorTitle="Numeric data" error="Please enter a number greater than zero" sqref="G7:G23" xr:uid="{9680C349-23E8-43B5-91CD-A3ECFD7D8223}">
      <formula1>0</formula1>
    </dataValidation>
    <dataValidation type="list" allowBlank="1" showInputMessage="1" showErrorMessage="1" sqref="H7:H23" xr:uid="{1BA88F92-1D30-4B06-82C2-7CD242A18328}">
      <formula1>INDIRECT(CONCATENATE(SUBSTITUTE($B7," ","")&amp;$H$6))</formula1>
    </dataValidation>
    <dataValidation type="list" allowBlank="1" showInputMessage="1" showErrorMessage="1" sqref="E7:E23" xr:uid="{6DF052FC-42E2-4461-8F50-4CCED5ED5129}">
      <formula1>Methodologytier3</formula1>
    </dataValidation>
  </dataValidations>
  <pageMargins left="0.7" right="0.7" top="0.75" bottom="0.75" header="0.3" footer="0.3"/>
  <pageSetup paperSize="9" orientation="portrait" r:id="rId1"/>
  <ignoredErrors>
    <ignoredError sqref="P7:S23 V7:V23" calculatedColumn="1"/>
  </ignoredErrors>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rgb="FF27CCF9"/>
  </sheetPr>
  <dimension ref="A1:AB376"/>
  <sheetViews>
    <sheetView showGridLines="0" workbookViewId="0">
      <selection activeCell="B1" sqref="B1"/>
    </sheetView>
  </sheetViews>
  <sheetFormatPr defaultColWidth="8.54296875" defaultRowHeight="14.5" x14ac:dyDescent="0.35"/>
  <cols>
    <col min="1" max="1" width="2.453125" style="1" customWidth="1"/>
    <col min="2" max="2" width="28.1796875" style="1" customWidth="1"/>
    <col min="3" max="3" width="18" style="1" customWidth="1"/>
    <col min="4" max="4" width="40.1796875" style="1" customWidth="1"/>
    <col min="5" max="5" width="13.90625" style="1" customWidth="1"/>
    <col min="6" max="6" width="14.1796875" style="1" customWidth="1"/>
    <col min="7" max="7" width="19.1796875" style="1" customWidth="1"/>
    <col min="8" max="8" width="22.81640625" style="1" customWidth="1"/>
    <col min="9" max="9" width="27.453125" style="1" hidden="1" customWidth="1"/>
    <col min="10" max="10" width="11.453125" style="1" hidden="1" customWidth="1"/>
    <col min="11" max="11" width="19.81640625" style="1" bestFit="1" customWidth="1"/>
    <col min="12" max="12" width="25.08984375" style="1" bestFit="1" customWidth="1"/>
    <col min="13" max="13" width="22.36328125" style="1" bestFit="1" customWidth="1"/>
    <col min="14" max="14" width="12" style="1" customWidth="1"/>
    <col min="15" max="15" width="10.1796875" style="1" bestFit="1" customWidth="1"/>
    <col min="16" max="16" width="14" style="1" bestFit="1" customWidth="1"/>
    <col min="17" max="19" width="11.54296875" style="1" bestFit="1" customWidth="1"/>
    <col min="20" max="25" width="8.54296875" style="1"/>
    <col min="26" max="27" width="0" style="1" hidden="1" customWidth="1"/>
    <col min="28" max="16384" width="8.54296875" style="1"/>
  </cols>
  <sheetData>
    <row r="1" spans="2:28" ht="15" thickBot="1" x14ac:dyDescent="0.4">
      <c r="G1" s="161" t="s">
        <v>108</v>
      </c>
      <c r="K1" s="164" t="s">
        <v>8</v>
      </c>
      <c r="L1" s="165" t="s">
        <v>12</v>
      </c>
    </row>
    <row r="2" spans="2:28" ht="19" thickBot="1" x14ac:dyDescent="0.5">
      <c r="B2" s="390" t="s">
        <v>197</v>
      </c>
      <c r="C2" s="391"/>
      <c r="D2" s="391"/>
      <c r="E2" s="391"/>
      <c r="F2" s="392"/>
      <c r="K2" s="163" t="s">
        <v>10</v>
      </c>
      <c r="L2" s="166" t="s">
        <v>13</v>
      </c>
    </row>
    <row r="3" spans="2:28" ht="49.75" customHeight="1" thickBot="1" x14ac:dyDescent="0.4">
      <c r="B3" s="527" t="s">
        <v>1025</v>
      </c>
      <c r="C3" s="528"/>
      <c r="D3" s="528"/>
      <c r="E3" s="528"/>
      <c r="F3" s="528"/>
      <c r="G3" s="528"/>
      <c r="H3" s="528"/>
      <c r="I3" s="529"/>
    </row>
    <row r="4" spans="2:28" ht="109.75" customHeight="1" x14ac:dyDescent="0.35">
      <c r="B4" s="485" t="s">
        <v>1148</v>
      </c>
      <c r="C4" s="486"/>
      <c r="D4" s="486"/>
      <c r="E4" s="486"/>
      <c r="F4" s="486"/>
      <c r="G4" s="486"/>
      <c r="H4" s="486"/>
      <c r="I4" s="486"/>
      <c r="J4" s="486"/>
      <c r="K4" s="486"/>
      <c r="L4" s="536"/>
    </row>
    <row r="5" spans="2:28" ht="120.65" customHeight="1" x14ac:dyDescent="0.35">
      <c r="B5" s="522" t="s">
        <v>1213</v>
      </c>
      <c r="C5" s="523"/>
      <c r="D5" s="523"/>
      <c r="E5" s="523"/>
      <c r="F5" s="523"/>
      <c r="G5" s="523"/>
      <c r="H5" s="523"/>
      <c r="I5" s="523"/>
      <c r="J5" s="523"/>
      <c r="K5" s="523"/>
      <c r="L5" s="524"/>
      <c r="M5" s="11"/>
      <c r="N5" s="11"/>
      <c r="O5" s="80"/>
    </row>
    <row r="6" spans="2:28" ht="19" thickBot="1" x14ac:dyDescent="0.4">
      <c r="B6" s="37" t="s">
        <v>198</v>
      </c>
      <c r="D6"/>
      <c r="E6"/>
      <c r="K6" s="11"/>
      <c r="L6" s="441" t="str">
        <f>IF($AA$7=0,"No data entered",IF($Z$7=0,"No errors in this table","There are errors in this table see highlighted row(s)"))</f>
        <v>No data entered</v>
      </c>
      <c r="M6" s="252"/>
      <c r="O6" s="66"/>
      <c r="P6" s="66"/>
      <c r="Y6" s="457" t="s">
        <v>1190</v>
      </c>
      <c r="Z6" s="15" t="s">
        <v>1188</v>
      </c>
      <c r="AA6" s="15" t="s">
        <v>1189</v>
      </c>
    </row>
    <row r="7" spans="2:28" ht="41.15" customHeight="1" thickBot="1" x14ac:dyDescent="0.4">
      <c r="B7" s="3" t="s">
        <v>199</v>
      </c>
      <c r="C7" s="283" t="s">
        <v>200</v>
      </c>
      <c r="D7" s="257" t="s">
        <v>201</v>
      </c>
      <c r="E7" s="21" t="s">
        <v>115</v>
      </c>
      <c r="F7" s="256" t="s">
        <v>116</v>
      </c>
      <c r="G7" s="21" t="s">
        <v>202</v>
      </c>
      <c r="H7" s="21" t="s">
        <v>118</v>
      </c>
      <c r="I7" s="21" t="s">
        <v>1096</v>
      </c>
      <c r="J7" s="21" t="s">
        <v>1097</v>
      </c>
      <c r="K7" s="260" t="s">
        <v>831</v>
      </c>
      <c r="L7" s="259" t="s">
        <v>832</v>
      </c>
      <c r="M7" s="253" t="s">
        <v>203</v>
      </c>
      <c r="N7" s="254" t="s">
        <v>123</v>
      </c>
      <c r="O7" s="254" t="s">
        <v>59</v>
      </c>
      <c r="P7" s="254" t="s">
        <v>124</v>
      </c>
      <c r="Q7" s="254" t="s">
        <v>125</v>
      </c>
      <c r="R7" s="254" t="s">
        <v>126</v>
      </c>
      <c r="S7" s="254" t="s">
        <v>127</v>
      </c>
      <c r="T7" s="254" t="s">
        <v>67</v>
      </c>
      <c r="U7" s="254" t="s">
        <v>68</v>
      </c>
      <c r="V7" s="394" t="s">
        <v>63</v>
      </c>
      <c r="W7" s="533"/>
      <c r="X7" s="534"/>
      <c r="Y7" s="535"/>
      <c r="Z7" s="15">
        <f>SUM(Z8:Z117)</f>
        <v>0</v>
      </c>
      <c r="AA7" s="15">
        <f>SUM(AA8:AA117)</f>
        <v>0</v>
      </c>
      <c r="AB7" s="77"/>
    </row>
    <row r="8" spans="2:28" ht="26.5" thickBot="1" x14ac:dyDescent="0.4">
      <c r="B8" s="98" t="s">
        <v>87</v>
      </c>
      <c r="C8" s="284" t="s">
        <v>204</v>
      </c>
      <c r="D8" s="99" t="s">
        <v>1033</v>
      </c>
      <c r="E8" s="393" t="s">
        <v>134</v>
      </c>
      <c r="F8" s="437">
        <v>0.25</v>
      </c>
      <c r="G8" s="210"/>
      <c r="H8" s="422" t="s">
        <v>1095</v>
      </c>
      <c r="I8" s="423">
        <f>SupplyChainTier1[[#This Row],[Amount spent by product category (£)]]</f>
        <v>0</v>
      </c>
      <c r="J8" s="423" t="s">
        <v>1095</v>
      </c>
      <c r="K8" s="424">
        <v>1.9737351574869011</v>
      </c>
      <c r="L8" s="414" t="str">
        <f t="shared" ref="L8:L39" si="0">IF(ISBLANK(G8),"",G8*K8)</f>
        <v/>
      </c>
      <c r="M8" s="201"/>
      <c r="N8" s="199"/>
      <c r="O8" s="255">
        <v>0</v>
      </c>
      <c r="P8" s="255">
        <v>0</v>
      </c>
      <c r="Q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 s="255">
        <v>0</v>
      </c>
      <c r="S8" s="255">
        <v>0</v>
      </c>
      <c r="T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 s="255">
        <v>0</v>
      </c>
      <c r="W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 s="531"/>
      <c r="Y8" s="532"/>
      <c r="Z8" s="1" cm="1">
        <f t="array" ref="Z8">IF(OR(ISERROR(B8:V8)),1,0)</f>
        <v>0</v>
      </c>
      <c r="AA8" s="1">
        <f>IF(AND(G8=""),0,1)</f>
        <v>0</v>
      </c>
      <c r="AB8" s="78"/>
    </row>
    <row r="9" spans="2:28" ht="33.5" customHeight="1" thickBot="1" x14ac:dyDescent="0.4">
      <c r="B9" s="98" t="s">
        <v>87</v>
      </c>
      <c r="C9" s="284" t="s">
        <v>205</v>
      </c>
      <c r="D9" s="99" t="s">
        <v>1034</v>
      </c>
      <c r="E9" s="393" t="s">
        <v>134</v>
      </c>
      <c r="F9" s="437">
        <v>0.25</v>
      </c>
      <c r="G9" s="210"/>
      <c r="H9" s="422" t="s">
        <v>1095</v>
      </c>
      <c r="I9" s="423">
        <f>SupplyChainTier1[[#This Row],[Amount spent by product category (£)]]</f>
        <v>0</v>
      </c>
      <c r="J9" s="423" t="s">
        <v>1095</v>
      </c>
      <c r="K9" s="424">
        <v>0.27880734055191519</v>
      </c>
      <c r="L9" s="414" t="str">
        <f t="shared" si="0"/>
        <v/>
      </c>
      <c r="M9" s="201"/>
      <c r="N9" s="199"/>
      <c r="O9" s="255">
        <v>0</v>
      </c>
      <c r="P9" s="255">
        <v>0</v>
      </c>
      <c r="Q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 s="255">
        <v>0</v>
      </c>
      <c r="S9" s="255">
        <v>0</v>
      </c>
      <c r="T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 s="255">
        <v>0</v>
      </c>
      <c r="W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 s="531"/>
      <c r="Y9" s="532"/>
      <c r="Z9" s="1" cm="1">
        <f t="array" ref="Z9">IF(OR(ISERROR(B9:V9)),1,0)</f>
        <v>0</v>
      </c>
      <c r="AA9" s="1">
        <f t="shared" ref="AA9:AA72" si="1">IF(AND(G9=""),0,1)</f>
        <v>0</v>
      </c>
      <c r="AB9" s="78"/>
    </row>
    <row r="10" spans="2:28" ht="26.5" thickBot="1" x14ac:dyDescent="0.4">
      <c r="B10" s="98" t="s">
        <v>87</v>
      </c>
      <c r="C10" s="284" t="s">
        <v>206</v>
      </c>
      <c r="D10" s="464" t="s">
        <v>1035</v>
      </c>
      <c r="E10" s="393" t="s">
        <v>134</v>
      </c>
      <c r="F10" s="437">
        <v>0.25</v>
      </c>
      <c r="G10" s="465"/>
      <c r="H10" s="422" t="s">
        <v>1095</v>
      </c>
      <c r="I10" s="423">
        <f>SupplyChainTier1[[#This Row],[Amount spent by product category (£)]]</f>
        <v>0</v>
      </c>
      <c r="J10" s="423" t="s">
        <v>1095</v>
      </c>
      <c r="K10" s="424">
        <v>0.52349722877589489</v>
      </c>
      <c r="L10" s="414" t="str">
        <f t="shared" si="0"/>
        <v/>
      </c>
      <c r="M10" s="201"/>
      <c r="N10" s="199"/>
      <c r="O10" s="255">
        <v>0</v>
      </c>
      <c r="P10" s="255">
        <v>0</v>
      </c>
      <c r="Q1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 s="255">
        <v>0</v>
      </c>
      <c r="S10" s="255">
        <v>0</v>
      </c>
      <c r="T1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 s="255">
        <v>0</v>
      </c>
      <c r="W1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 s="531"/>
      <c r="Y10" s="532"/>
      <c r="Z10" s="1" cm="1">
        <f t="array" ref="Z10">IF(OR(ISERROR(B10:V10)),1,0)</f>
        <v>0</v>
      </c>
      <c r="AA10" s="1">
        <f t="shared" si="1"/>
        <v>0</v>
      </c>
      <c r="AB10" s="78"/>
    </row>
    <row r="11" spans="2:28" ht="15" thickBot="1" x14ac:dyDescent="0.4">
      <c r="B11" s="98" t="s">
        <v>89</v>
      </c>
      <c r="C11" s="469" t="s">
        <v>207</v>
      </c>
      <c r="D11" s="470" t="s">
        <v>1036</v>
      </c>
      <c r="E11" s="393" t="s">
        <v>134</v>
      </c>
      <c r="F11" s="467">
        <v>0.25</v>
      </c>
      <c r="G11" s="468"/>
      <c r="H11" s="422" t="s">
        <v>1095</v>
      </c>
      <c r="I11" s="423">
        <f>SupplyChainTier1[[#This Row],[Amount spent by product category (£)]]</f>
        <v>0</v>
      </c>
      <c r="J11" s="423" t="s">
        <v>1095</v>
      </c>
      <c r="K11" s="424">
        <v>1.11679654698619</v>
      </c>
      <c r="L11" s="414" t="str">
        <f t="shared" si="0"/>
        <v/>
      </c>
      <c r="M11" s="201"/>
      <c r="N11" s="199"/>
      <c r="O11" s="255">
        <v>0</v>
      </c>
      <c r="P11" s="255">
        <v>0</v>
      </c>
      <c r="Q1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 s="255">
        <v>0</v>
      </c>
      <c r="S11" s="255">
        <v>0</v>
      </c>
      <c r="T1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 s="255">
        <v>0</v>
      </c>
      <c r="W1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 s="531"/>
      <c r="Y11" s="532"/>
      <c r="Z11" s="1" cm="1">
        <f t="array" ref="Z11">IF(OR(ISERROR(B11:V11)),1,0)</f>
        <v>0</v>
      </c>
      <c r="AA11" s="1">
        <f t="shared" si="1"/>
        <v>0</v>
      </c>
      <c r="AB11" s="78"/>
    </row>
    <row r="12" spans="2:28" ht="15" thickBot="1" x14ac:dyDescent="0.4">
      <c r="B12" s="98" t="s">
        <v>89</v>
      </c>
      <c r="C12" s="469" t="s">
        <v>1056</v>
      </c>
      <c r="D12" s="470" t="s">
        <v>1037</v>
      </c>
      <c r="E12" s="393" t="s">
        <v>134</v>
      </c>
      <c r="F12" s="467">
        <v>0.25</v>
      </c>
      <c r="G12" s="468"/>
      <c r="H12" s="422" t="s">
        <v>1095</v>
      </c>
      <c r="I12" s="423">
        <f>SupplyChainTier1[[#This Row],[Amount spent by product category (£)]]</f>
        <v>0</v>
      </c>
      <c r="J12" s="423" t="s">
        <v>1095</v>
      </c>
      <c r="K12" s="424">
        <v>0.65985316789118831</v>
      </c>
      <c r="L12" s="414" t="str">
        <f t="shared" si="0"/>
        <v/>
      </c>
      <c r="M12" s="201"/>
      <c r="N12" s="199"/>
      <c r="O12" s="255">
        <v>0</v>
      </c>
      <c r="P12" s="255">
        <v>0</v>
      </c>
      <c r="Q1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2" s="255">
        <v>0</v>
      </c>
      <c r="S12" s="255">
        <v>0</v>
      </c>
      <c r="T1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2" s="255">
        <v>0</v>
      </c>
      <c r="W1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2" s="531"/>
      <c r="Y12" s="532"/>
      <c r="Z12" s="1" cm="1">
        <f t="array" ref="Z12">IF(OR(ISERROR(B12:V12)),1,0)</f>
        <v>0</v>
      </c>
      <c r="AA12" s="1">
        <f t="shared" si="1"/>
        <v>0</v>
      </c>
      <c r="AB12" s="78"/>
    </row>
    <row r="13" spans="2:28" ht="23.5" customHeight="1" thickBot="1" x14ac:dyDescent="0.4">
      <c r="B13" s="98" t="s">
        <v>89</v>
      </c>
      <c r="C13" s="284" t="s">
        <v>208</v>
      </c>
      <c r="D13" s="99" t="s">
        <v>209</v>
      </c>
      <c r="E13" s="393" t="s">
        <v>134</v>
      </c>
      <c r="F13" s="437">
        <v>0.25</v>
      </c>
      <c r="G13" s="466"/>
      <c r="H13" s="422" t="s">
        <v>1095</v>
      </c>
      <c r="I13" s="423">
        <f>SupplyChainTier1[[#This Row],[Amount spent by product category (£)]]</f>
        <v>0</v>
      </c>
      <c r="J13" s="423" t="s">
        <v>1095</v>
      </c>
      <c r="K13" s="424">
        <v>0.53426351798099514</v>
      </c>
      <c r="L13" s="414" t="str">
        <f t="shared" si="0"/>
        <v/>
      </c>
      <c r="M13" s="201"/>
      <c r="N13" s="199"/>
      <c r="O13" s="255">
        <v>0</v>
      </c>
      <c r="P13" s="255">
        <v>0</v>
      </c>
      <c r="Q1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3" s="255">
        <v>0</v>
      </c>
      <c r="S13" s="255">
        <v>0</v>
      </c>
      <c r="T1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3" s="255">
        <v>0</v>
      </c>
      <c r="W1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3" s="531"/>
      <c r="Y13" s="532"/>
      <c r="Z13" s="1" cm="1">
        <f t="array" ref="Z13">IF(OR(ISERROR(B13:V13)),1,0)</f>
        <v>0</v>
      </c>
      <c r="AA13" s="1">
        <f t="shared" si="1"/>
        <v>0</v>
      </c>
      <c r="AB13" s="78"/>
    </row>
    <row r="14" spans="2:28" ht="15" thickBot="1" x14ac:dyDescent="0.4">
      <c r="B14" s="98" t="s">
        <v>89</v>
      </c>
      <c r="C14" s="284" t="s">
        <v>210</v>
      </c>
      <c r="D14" s="99" t="s">
        <v>211</v>
      </c>
      <c r="E14" s="393" t="s">
        <v>134</v>
      </c>
      <c r="F14" s="437">
        <v>0.25</v>
      </c>
      <c r="G14" s="210"/>
      <c r="H14" s="422" t="s">
        <v>1095</v>
      </c>
      <c r="I14" s="423">
        <f>SupplyChainTier1[[#This Row],[Amount spent by product category (£)]]</f>
        <v>0</v>
      </c>
      <c r="J14" s="423" t="s">
        <v>1095</v>
      </c>
      <c r="K14" s="424">
        <v>0.34484060195484001</v>
      </c>
      <c r="L14" s="414" t="str">
        <f t="shared" si="0"/>
        <v/>
      </c>
      <c r="M14" s="201"/>
      <c r="N14" s="199"/>
      <c r="O14" s="255">
        <v>0</v>
      </c>
      <c r="P14" s="255">
        <v>0</v>
      </c>
      <c r="Q1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4" s="255">
        <v>0</v>
      </c>
      <c r="S14" s="255">
        <v>0</v>
      </c>
      <c r="T1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4" s="255">
        <v>0</v>
      </c>
      <c r="W1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4" s="531"/>
      <c r="Y14" s="532"/>
      <c r="Z14" s="1" cm="1">
        <f t="array" ref="Z14">IF(OR(ISERROR(B14:V14)),1,0)</f>
        <v>0</v>
      </c>
      <c r="AA14" s="1">
        <f t="shared" si="1"/>
        <v>0</v>
      </c>
      <c r="AB14" s="78"/>
    </row>
    <row r="15" spans="2:28" ht="15" thickBot="1" x14ac:dyDescent="0.4">
      <c r="B15" s="98" t="s">
        <v>90</v>
      </c>
      <c r="C15" s="284" t="s">
        <v>212</v>
      </c>
      <c r="D15" s="99" t="s">
        <v>213</v>
      </c>
      <c r="E15" s="393" t="s">
        <v>134</v>
      </c>
      <c r="F15" s="437">
        <v>0.25</v>
      </c>
      <c r="G15" s="210"/>
      <c r="H15" s="422" t="s">
        <v>1095</v>
      </c>
      <c r="I15" s="423">
        <f>SupplyChainTier1[[#This Row],[Amount spent by product category (£)]]</f>
        <v>0</v>
      </c>
      <c r="J15" s="423" t="s">
        <v>1095</v>
      </c>
      <c r="K15" s="424">
        <v>0.77223474103478451</v>
      </c>
      <c r="L15" s="414" t="str">
        <f t="shared" si="0"/>
        <v/>
      </c>
      <c r="M15" s="201"/>
      <c r="N15" s="199"/>
      <c r="O15" s="255">
        <v>0</v>
      </c>
      <c r="P15" s="255">
        <v>0</v>
      </c>
      <c r="Q1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5" s="255">
        <v>0</v>
      </c>
      <c r="S15" s="255">
        <v>0</v>
      </c>
      <c r="T1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5" s="255">
        <v>0</v>
      </c>
      <c r="W1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5" s="531"/>
      <c r="Y15" s="532"/>
      <c r="Z15" s="1" cm="1">
        <f t="array" ref="Z15">IF(OR(ISERROR(B15:V15)),1,0)</f>
        <v>0</v>
      </c>
      <c r="AA15" s="1">
        <f t="shared" si="1"/>
        <v>0</v>
      </c>
      <c r="AB15" s="78"/>
    </row>
    <row r="16" spans="2:28" ht="26.5" thickBot="1" x14ac:dyDescent="0.4">
      <c r="B16" s="98" t="s">
        <v>90</v>
      </c>
      <c r="C16" s="284" t="s">
        <v>1057</v>
      </c>
      <c r="D16" s="99" t="s">
        <v>214</v>
      </c>
      <c r="E16" s="393" t="s">
        <v>134</v>
      </c>
      <c r="F16" s="437">
        <v>0.25</v>
      </c>
      <c r="G16" s="210"/>
      <c r="H16" s="422" t="s">
        <v>1095</v>
      </c>
      <c r="I16" s="423">
        <f>SupplyChainTier1[[#This Row],[Amount spent by product category (£)]]</f>
        <v>0</v>
      </c>
      <c r="J16" s="423" t="s">
        <v>1095</v>
      </c>
      <c r="K16" s="424">
        <v>0.72054253504280763</v>
      </c>
      <c r="L16" s="414" t="str">
        <f t="shared" si="0"/>
        <v/>
      </c>
      <c r="M16" s="201"/>
      <c r="N16" s="199"/>
      <c r="O16" s="255">
        <v>0</v>
      </c>
      <c r="P16" s="255">
        <v>0</v>
      </c>
      <c r="Q1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6" s="255">
        <v>0</v>
      </c>
      <c r="S16" s="255">
        <v>0</v>
      </c>
      <c r="T1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6" s="255">
        <v>0</v>
      </c>
      <c r="W1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6" s="531"/>
      <c r="Y16" s="532"/>
      <c r="Z16" s="1" cm="1">
        <f t="array" ref="Z16">IF(OR(ISERROR(B16:V16)),1,0)</f>
        <v>0</v>
      </c>
      <c r="AA16" s="1">
        <f t="shared" si="1"/>
        <v>0</v>
      </c>
      <c r="AB16" s="78"/>
    </row>
    <row r="17" spans="2:28" ht="15" thickBot="1" x14ac:dyDescent="0.4">
      <c r="B17" s="98" t="s">
        <v>90</v>
      </c>
      <c r="C17" s="284" t="s">
        <v>215</v>
      </c>
      <c r="D17" s="99" t="s">
        <v>216</v>
      </c>
      <c r="E17" s="393" t="s">
        <v>134</v>
      </c>
      <c r="F17" s="437">
        <v>0.25</v>
      </c>
      <c r="G17" s="210"/>
      <c r="H17" s="422" t="s">
        <v>1095</v>
      </c>
      <c r="I17" s="423">
        <f>SupplyChainTier1[[#This Row],[Amount spent by product category (£)]]</f>
        <v>0</v>
      </c>
      <c r="J17" s="423" t="s">
        <v>1095</v>
      </c>
      <c r="K17" s="424">
        <v>0.97594063514473495</v>
      </c>
      <c r="L17" s="414" t="str">
        <f t="shared" si="0"/>
        <v/>
      </c>
      <c r="M17" s="201"/>
      <c r="N17" s="199"/>
      <c r="O17" s="255">
        <v>0</v>
      </c>
      <c r="P17" s="255">
        <v>0</v>
      </c>
      <c r="Q1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7" s="255">
        <v>0</v>
      </c>
      <c r="S17" s="255">
        <v>0</v>
      </c>
      <c r="T1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7" s="255">
        <v>0</v>
      </c>
      <c r="W1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7" s="531"/>
      <c r="Y17" s="532"/>
      <c r="Z17" s="1" cm="1">
        <f t="array" ref="Z17">IF(OR(ISERROR(B17:V17)),1,0)</f>
        <v>0</v>
      </c>
      <c r="AA17" s="1">
        <f t="shared" si="1"/>
        <v>0</v>
      </c>
      <c r="AB17" s="78"/>
    </row>
    <row r="18" spans="2:28" ht="15" thickBot="1" x14ac:dyDescent="0.4">
      <c r="B18" s="98" t="s">
        <v>90</v>
      </c>
      <c r="C18" s="284" t="s">
        <v>217</v>
      </c>
      <c r="D18" s="99" t="s">
        <v>218</v>
      </c>
      <c r="E18" s="393" t="s">
        <v>134</v>
      </c>
      <c r="F18" s="437">
        <v>0.25</v>
      </c>
      <c r="G18" s="210"/>
      <c r="H18" s="422" t="s">
        <v>1095</v>
      </c>
      <c r="I18" s="423">
        <f>SupplyChainTier1[[#This Row],[Amount spent by product category (£)]]</f>
        <v>0</v>
      </c>
      <c r="J18" s="423" t="s">
        <v>1095</v>
      </c>
      <c r="K18" s="424">
        <v>0.9622119924642184</v>
      </c>
      <c r="L18" s="414" t="str">
        <f t="shared" si="0"/>
        <v/>
      </c>
      <c r="M18" s="201"/>
      <c r="N18" s="199"/>
      <c r="O18" s="255">
        <v>0</v>
      </c>
      <c r="P18" s="255">
        <v>0</v>
      </c>
      <c r="Q1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8" s="255">
        <v>0</v>
      </c>
      <c r="S18" s="255">
        <v>0</v>
      </c>
      <c r="T1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8" s="255">
        <v>0</v>
      </c>
      <c r="W1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8" s="531"/>
      <c r="Y18" s="532"/>
      <c r="Z18" s="1" cm="1">
        <f t="array" ref="Z18">IF(OR(ISERROR(B18:V18)),1,0)</f>
        <v>0</v>
      </c>
      <c r="AA18" s="1">
        <f t="shared" si="1"/>
        <v>0</v>
      </c>
      <c r="AB18" s="78"/>
    </row>
    <row r="19" spans="2:28" ht="15" thickBot="1" x14ac:dyDescent="0.4">
      <c r="B19" s="98" t="s">
        <v>90</v>
      </c>
      <c r="C19" s="284" t="s">
        <v>219</v>
      </c>
      <c r="D19" s="99" t="s">
        <v>220</v>
      </c>
      <c r="E19" s="393" t="s">
        <v>134</v>
      </c>
      <c r="F19" s="437">
        <v>0.25</v>
      </c>
      <c r="G19" s="210"/>
      <c r="H19" s="422" t="s">
        <v>1095</v>
      </c>
      <c r="I19" s="423">
        <f>SupplyChainTier1[[#This Row],[Amount spent by product category (£)]]</f>
        <v>0</v>
      </c>
      <c r="J19" s="423" t="s">
        <v>1095</v>
      </c>
      <c r="K19" s="424">
        <v>0.75528336941888297</v>
      </c>
      <c r="L19" s="414" t="str">
        <f t="shared" si="0"/>
        <v/>
      </c>
      <c r="M19" s="201"/>
      <c r="N19" s="199"/>
      <c r="O19" s="255">
        <v>0</v>
      </c>
      <c r="P19" s="255">
        <v>0</v>
      </c>
      <c r="Q1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9" s="255">
        <v>0</v>
      </c>
      <c r="S19" s="255">
        <v>0</v>
      </c>
      <c r="T1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9" s="255">
        <v>0</v>
      </c>
      <c r="W1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9" s="531"/>
      <c r="Y19" s="532"/>
      <c r="Z19" s="1" cm="1">
        <f t="array" ref="Z19">IF(OR(ISERROR(B19:V19)),1,0)</f>
        <v>0</v>
      </c>
      <c r="AA19" s="1">
        <f t="shared" si="1"/>
        <v>0</v>
      </c>
      <c r="AB19" s="78"/>
    </row>
    <row r="20" spans="2:28" ht="15" thickBot="1" x14ac:dyDescent="0.4">
      <c r="B20" s="98" t="s">
        <v>90</v>
      </c>
      <c r="C20" s="284" t="s">
        <v>221</v>
      </c>
      <c r="D20" s="99" t="s">
        <v>222</v>
      </c>
      <c r="E20" s="393" t="s">
        <v>134</v>
      </c>
      <c r="F20" s="437">
        <v>0.25</v>
      </c>
      <c r="G20" s="210"/>
      <c r="H20" s="422" t="s">
        <v>1095</v>
      </c>
      <c r="I20" s="423">
        <f>SupplyChainTier1[[#This Row],[Amount spent by product category (£)]]</f>
        <v>0</v>
      </c>
      <c r="J20" s="423" t="s">
        <v>1095</v>
      </c>
      <c r="K20" s="424">
        <v>0.45059118435840351</v>
      </c>
      <c r="L20" s="414" t="str">
        <f t="shared" si="0"/>
        <v/>
      </c>
      <c r="M20" s="201"/>
      <c r="N20" s="199"/>
      <c r="O20" s="255">
        <v>0</v>
      </c>
      <c r="P20" s="255">
        <v>0</v>
      </c>
      <c r="Q2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0" s="255">
        <v>0</v>
      </c>
      <c r="S20" s="255">
        <v>0</v>
      </c>
      <c r="T2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0" s="255">
        <v>0</v>
      </c>
      <c r="W2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0" s="531"/>
      <c r="Y20" s="532"/>
      <c r="Z20" s="1" cm="1">
        <f t="array" ref="Z20">IF(OR(ISERROR(B20:V20)),1,0)</f>
        <v>0</v>
      </c>
      <c r="AA20" s="1">
        <f t="shared" si="1"/>
        <v>0</v>
      </c>
      <c r="AB20" s="78"/>
    </row>
    <row r="21" spans="2:28" ht="15" thickBot="1" x14ac:dyDescent="0.4">
      <c r="B21" s="98" t="s">
        <v>90</v>
      </c>
      <c r="C21" s="284" t="s">
        <v>223</v>
      </c>
      <c r="D21" s="99" t="s">
        <v>224</v>
      </c>
      <c r="E21" s="393" t="s">
        <v>134</v>
      </c>
      <c r="F21" s="437">
        <v>0.25</v>
      </c>
      <c r="G21" s="210"/>
      <c r="H21" s="422" t="s">
        <v>1095</v>
      </c>
      <c r="I21" s="423">
        <f>SupplyChainTier1[[#This Row],[Amount spent by product category (£)]]</f>
        <v>0</v>
      </c>
      <c r="J21" s="423" t="s">
        <v>1095</v>
      </c>
      <c r="K21" s="424">
        <v>0.6606259935217188</v>
      </c>
      <c r="L21" s="414" t="str">
        <f t="shared" si="0"/>
        <v/>
      </c>
      <c r="M21" s="201"/>
      <c r="N21" s="199"/>
      <c r="O21" s="255">
        <v>0</v>
      </c>
      <c r="P21" s="255">
        <v>0</v>
      </c>
      <c r="Q2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1" s="255">
        <v>0</v>
      </c>
      <c r="S21" s="255">
        <v>0</v>
      </c>
      <c r="T2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1" s="255">
        <v>0</v>
      </c>
      <c r="W2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1" s="531"/>
      <c r="Y21" s="532"/>
      <c r="Z21" s="1" cm="1">
        <f t="array" ref="Z21">IF(OR(ISERROR(B21:V21)),1,0)</f>
        <v>0</v>
      </c>
      <c r="AA21" s="1">
        <f t="shared" si="1"/>
        <v>0</v>
      </c>
      <c r="AB21" s="78"/>
    </row>
    <row r="22" spans="2:28" ht="15" thickBot="1" x14ac:dyDescent="0.4">
      <c r="B22" s="98" t="s">
        <v>90</v>
      </c>
      <c r="C22" s="284">
        <v>10.9</v>
      </c>
      <c r="D22" s="99" t="s">
        <v>225</v>
      </c>
      <c r="E22" s="393" t="s">
        <v>134</v>
      </c>
      <c r="F22" s="437">
        <v>0.25</v>
      </c>
      <c r="G22" s="210"/>
      <c r="H22" s="422" t="s">
        <v>1095</v>
      </c>
      <c r="I22" s="423">
        <f>SupplyChainTier1[[#This Row],[Amount spent by product category (£)]]</f>
        <v>0</v>
      </c>
      <c r="J22" s="423" t="s">
        <v>1095</v>
      </c>
      <c r="K22" s="424">
        <v>0.91150729211312131</v>
      </c>
      <c r="L22" s="414" t="str">
        <f t="shared" si="0"/>
        <v/>
      </c>
      <c r="M22" s="201"/>
      <c r="N22" s="199"/>
      <c r="O22" s="255">
        <v>0</v>
      </c>
      <c r="P22" s="255">
        <v>0</v>
      </c>
      <c r="Q2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2" s="255">
        <v>0</v>
      </c>
      <c r="S22" s="255">
        <v>0</v>
      </c>
      <c r="T2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2" s="255">
        <v>0</v>
      </c>
      <c r="W2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2" s="531"/>
      <c r="Y22" s="532"/>
      <c r="Z22" s="1" cm="1">
        <f t="array" ref="Z22">IF(OR(ISERROR(B22:V22)),1,0)</f>
        <v>0</v>
      </c>
      <c r="AA22" s="1">
        <f t="shared" si="1"/>
        <v>0</v>
      </c>
      <c r="AB22" s="78"/>
    </row>
    <row r="23" spans="2:28" ht="15" thickBot="1" x14ac:dyDescent="0.4">
      <c r="B23" s="98" t="s">
        <v>90</v>
      </c>
      <c r="C23" s="284" t="s">
        <v>226</v>
      </c>
      <c r="D23" s="99" t="s">
        <v>227</v>
      </c>
      <c r="E23" s="393" t="s">
        <v>134</v>
      </c>
      <c r="F23" s="437">
        <v>0.25</v>
      </c>
      <c r="G23" s="210"/>
      <c r="H23" s="422" t="s">
        <v>1095</v>
      </c>
      <c r="I23" s="423">
        <f>SupplyChainTier1[[#This Row],[Amount spent by product category (£)]]</f>
        <v>0</v>
      </c>
      <c r="J23" s="423" t="s">
        <v>1095</v>
      </c>
      <c r="K23" s="424">
        <v>0.70715658239376089</v>
      </c>
      <c r="L23" s="414" t="str">
        <f t="shared" si="0"/>
        <v/>
      </c>
      <c r="M23" s="201"/>
      <c r="N23" s="199"/>
      <c r="O23" s="255">
        <v>0</v>
      </c>
      <c r="P23" s="255">
        <v>0</v>
      </c>
      <c r="Q2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3" s="255">
        <v>0</v>
      </c>
      <c r="S23" s="255">
        <v>0</v>
      </c>
      <c r="T2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3" s="255">
        <v>0</v>
      </c>
      <c r="W2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3" s="531"/>
      <c r="Y23" s="532"/>
      <c r="Z23" s="1" cm="1">
        <f t="array" ref="Z23">IF(OR(ISERROR(B23:V23)),1,0)</f>
        <v>0</v>
      </c>
      <c r="AA23" s="1">
        <f t="shared" si="1"/>
        <v>0</v>
      </c>
      <c r="AB23" s="78"/>
    </row>
    <row r="24" spans="2:28" ht="15" thickBot="1" x14ac:dyDescent="0.4">
      <c r="B24" s="98" t="s">
        <v>90</v>
      </c>
      <c r="C24" s="284">
        <v>11.07</v>
      </c>
      <c r="D24" s="99" t="s">
        <v>228</v>
      </c>
      <c r="E24" s="393" t="s">
        <v>134</v>
      </c>
      <c r="F24" s="437">
        <v>0.25</v>
      </c>
      <c r="G24" s="210"/>
      <c r="H24" s="422" t="s">
        <v>1095</v>
      </c>
      <c r="I24" s="423">
        <f>SupplyChainTier1[[#This Row],[Amount spent by product category (£)]]</f>
        <v>0</v>
      </c>
      <c r="J24" s="423" t="s">
        <v>1095</v>
      </c>
      <c r="K24" s="424">
        <v>0.33206048925839682</v>
      </c>
      <c r="L24" s="414" t="str">
        <f t="shared" si="0"/>
        <v/>
      </c>
      <c r="M24" s="201"/>
      <c r="N24" s="199"/>
      <c r="O24" s="255">
        <v>0</v>
      </c>
      <c r="P24" s="255">
        <v>0</v>
      </c>
      <c r="Q2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4" s="255">
        <v>0</v>
      </c>
      <c r="S24" s="255">
        <v>0</v>
      </c>
      <c r="T2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4" s="255">
        <v>0</v>
      </c>
      <c r="W2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4" s="531"/>
      <c r="Y24" s="532"/>
      <c r="Z24" s="1" cm="1">
        <f t="array" ref="Z24">IF(OR(ISERROR(B24:V24)),1,0)</f>
        <v>0</v>
      </c>
      <c r="AA24" s="1">
        <f t="shared" si="1"/>
        <v>0</v>
      </c>
      <c r="AB24" s="78"/>
    </row>
    <row r="25" spans="2:28" ht="15" thickBot="1" x14ac:dyDescent="0.4">
      <c r="B25" s="98" t="s">
        <v>90</v>
      </c>
      <c r="C25" s="284">
        <v>12</v>
      </c>
      <c r="D25" s="99" t="s">
        <v>229</v>
      </c>
      <c r="E25" s="393" t="s">
        <v>134</v>
      </c>
      <c r="F25" s="437">
        <v>0.25</v>
      </c>
      <c r="G25" s="210"/>
      <c r="H25" s="422" t="s">
        <v>1095</v>
      </c>
      <c r="I25" s="423">
        <f>SupplyChainTier1[[#This Row],[Amount spent by product category (£)]]</f>
        <v>0</v>
      </c>
      <c r="J25" s="423" t="s">
        <v>1095</v>
      </c>
      <c r="K25" s="424">
        <v>0.2026890723412039</v>
      </c>
      <c r="L25" s="414" t="str">
        <f t="shared" si="0"/>
        <v/>
      </c>
      <c r="M25" s="201"/>
      <c r="N25" s="199"/>
      <c r="O25" s="255">
        <v>0</v>
      </c>
      <c r="P25" s="255">
        <v>0</v>
      </c>
      <c r="Q2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5" s="255">
        <v>0</v>
      </c>
      <c r="S25" s="255">
        <v>0</v>
      </c>
      <c r="T2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5" s="255">
        <v>0</v>
      </c>
      <c r="W2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5" s="531"/>
      <c r="Y25" s="532"/>
      <c r="Z25" s="1" cm="1">
        <f t="array" ref="Z25">IF(OR(ISERROR(B25:V25)),1,0)</f>
        <v>0</v>
      </c>
      <c r="AA25" s="1">
        <f t="shared" si="1"/>
        <v>0</v>
      </c>
      <c r="AB25" s="78"/>
    </row>
    <row r="26" spans="2:28" ht="15" thickBot="1" x14ac:dyDescent="0.4">
      <c r="B26" s="98" t="s">
        <v>90</v>
      </c>
      <c r="C26" s="284">
        <v>13</v>
      </c>
      <c r="D26" s="99" t="s">
        <v>1038</v>
      </c>
      <c r="E26" s="393" t="s">
        <v>134</v>
      </c>
      <c r="F26" s="437">
        <v>0.25</v>
      </c>
      <c r="G26" s="210"/>
      <c r="H26" s="422" t="s">
        <v>1095</v>
      </c>
      <c r="I26" s="423">
        <f>SupplyChainTier1[[#This Row],[Amount spent by product category (£)]]</f>
        <v>0</v>
      </c>
      <c r="J26" s="423" t="s">
        <v>1095</v>
      </c>
      <c r="K26" s="424">
        <v>0.77085168361943579</v>
      </c>
      <c r="L26" s="414" t="str">
        <f t="shared" si="0"/>
        <v/>
      </c>
      <c r="M26" s="201"/>
      <c r="N26" s="199"/>
      <c r="O26" s="255">
        <v>0</v>
      </c>
      <c r="P26" s="255">
        <v>0</v>
      </c>
      <c r="Q2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6" s="255">
        <v>0</v>
      </c>
      <c r="S26" s="255">
        <v>0</v>
      </c>
      <c r="T2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6" s="255">
        <v>0</v>
      </c>
      <c r="W2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6" s="531"/>
      <c r="Y26" s="532"/>
      <c r="Z26" s="1" cm="1">
        <f t="array" ref="Z26">IF(OR(ISERROR(B26:V26)),1,0)</f>
        <v>0</v>
      </c>
      <c r="AA26" s="1">
        <f t="shared" si="1"/>
        <v>0</v>
      </c>
      <c r="AB26" s="78"/>
    </row>
    <row r="27" spans="2:28" ht="15" thickBot="1" x14ac:dyDescent="0.4">
      <c r="B27" s="98" t="s">
        <v>90</v>
      </c>
      <c r="C27" s="284">
        <v>14</v>
      </c>
      <c r="D27" s="99" t="s">
        <v>230</v>
      </c>
      <c r="E27" s="393" t="s">
        <v>134</v>
      </c>
      <c r="F27" s="437">
        <v>0.25</v>
      </c>
      <c r="G27" s="210"/>
      <c r="H27" s="422" t="s">
        <v>1095</v>
      </c>
      <c r="I27" s="423">
        <f>SupplyChainTier1[[#This Row],[Amount spent by product category (£)]]</f>
        <v>0</v>
      </c>
      <c r="J27" s="423" t="s">
        <v>1095</v>
      </c>
      <c r="K27" s="424">
        <v>0.79124467818111843</v>
      </c>
      <c r="L27" s="414" t="str">
        <f t="shared" si="0"/>
        <v/>
      </c>
      <c r="M27" s="201"/>
      <c r="N27" s="199"/>
      <c r="O27" s="255">
        <v>0</v>
      </c>
      <c r="P27" s="255">
        <v>0</v>
      </c>
      <c r="Q2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7" s="255">
        <v>0</v>
      </c>
      <c r="S27" s="255">
        <v>0</v>
      </c>
      <c r="T2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7" s="255">
        <v>0</v>
      </c>
      <c r="W2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7" s="531"/>
      <c r="Y27" s="532"/>
      <c r="Z27" s="1" cm="1">
        <f t="array" ref="Z27">IF(OR(ISERROR(B27:V27)),1,0)</f>
        <v>0</v>
      </c>
      <c r="AA27" s="1">
        <f t="shared" si="1"/>
        <v>0</v>
      </c>
      <c r="AB27" s="83"/>
    </row>
    <row r="28" spans="2:28" ht="15" thickBot="1" x14ac:dyDescent="0.4">
      <c r="B28" s="98" t="s">
        <v>90</v>
      </c>
      <c r="C28" s="284">
        <v>15</v>
      </c>
      <c r="D28" s="99" t="s">
        <v>1039</v>
      </c>
      <c r="E28" s="393" t="s">
        <v>134</v>
      </c>
      <c r="F28" s="437">
        <v>0.25</v>
      </c>
      <c r="G28" s="210"/>
      <c r="H28" s="422" t="s">
        <v>1095</v>
      </c>
      <c r="I28" s="423">
        <f>SupplyChainTier1[[#This Row],[Amount spent by product category (£)]]</f>
        <v>0</v>
      </c>
      <c r="J28" s="423" t="s">
        <v>1095</v>
      </c>
      <c r="K28" s="424">
        <v>0.73443478334510204</v>
      </c>
      <c r="L28" s="414" t="str">
        <f t="shared" si="0"/>
        <v/>
      </c>
      <c r="M28" s="201"/>
      <c r="N28" s="199"/>
      <c r="O28" s="255">
        <v>0</v>
      </c>
      <c r="P28" s="255">
        <v>0</v>
      </c>
      <c r="Q2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8" s="255">
        <v>0</v>
      </c>
      <c r="S28" s="255">
        <v>0</v>
      </c>
      <c r="T2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8" s="255">
        <v>0</v>
      </c>
      <c r="W2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8" s="531"/>
      <c r="Y28" s="532"/>
      <c r="Z28" s="1" cm="1">
        <f t="array" ref="Z28">IF(OR(ISERROR(B28:V28)),1,0)</f>
        <v>0</v>
      </c>
      <c r="AA28" s="1">
        <f t="shared" si="1"/>
        <v>0</v>
      </c>
      <c r="AB28" s="82"/>
    </row>
    <row r="29" spans="2:28" ht="26.5" thickBot="1" x14ac:dyDescent="0.4">
      <c r="B29" s="98" t="s">
        <v>90</v>
      </c>
      <c r="C29" s="284">
        <v>16</v>
      </c>
      <c r="D29" s="99" t="s">
        <v>1040</v>
      </c>
      <c r="E29" s="393" t="s">
        <v>134</v>
      </c>
      <c r="F29" s="437">
        <v>0.25</v>
      </c>
      <c r="G29" s="210"/>
      <c r="H29" s="422" t="s">
        <v>1095</v>
      </c>
      <c r="I29" s="423">
        <f>SupplyChainTier1[[#This Row],[Amount spent by product category (£)]]</f>
        <v>0</v>
      </c>
      <c r="J29" s="423" t="s">
        <v>1095</v>
      </c>
      <c r="K29" s="424">
        <v>0.47464506998431383</v>
      </c>
      <c r="L29" s="414" t="str">
        <f t="shared" si="0"/>
        <v/>
      </c>
      <c r="M29" s="201"/>
      <c r="N29" s="199"/>
      <c r="O29" s="255">
        <v>0</v>
      </c>
      <c r="P29" s="255">
        <v>0</v>
      </c>
      <c r="Q2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9" s="255">
        <v>0</v>
      </c>
      <c r="S29" s="255">
        <v>0</v>
      </c>
      <c r="T2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9" s="255">
        <v>0</v>
      </c>
      <c r="W2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9" s="531"/>
      <c r="Y29" s="532"/>
      <c r="Z29" s="1" cm="1">
        <f t="array" ref="Z29">IF(OR(ISERROR(B29:V29)),1,0)</f>
        <v>0</v>
      </c>
      <c r="AA29" s="1">
        <f t="shared" si="1"/>
        <v>0</v>
      </c>
    </row>
    <row r="30" spans="2:28" ht="15" thickBot="1" x14ac:dyDescent="0.4">
      <c r="B30" s="98" t="s">
        <v>90</v>
      </c>
      <c r="C30" s="284">
        <v>17</v>
      </c>
      <c r="D30" s="99" t="s">
        <v>231</v>
      </c>
      <c r="E30" s="393" t="s">
        <v>134</v>
      </c>
      <c r="F30" s="437">
        <v>0.25</v>
      </c>
      <c r="G30" s="210"/>
      <c r="H30" s="422" t="s">
        <v>1095</v>
      </c>
      <c r="I30" s="423">
        <f>SupplyChainTier1[[#This Row],[Amount spent by product category (£)]]</f>
        <v>0</v>
      </c>
      <c r="J30" s="423" t="s">
        <v>1095</v>
      </c>
      <c r="K30" s="424">
        <v>0.70687696279521584</v>
      </c>
      <c r="L30" s="414" t="str">
        <f t="shared" si="0"/>
        <v/>
      </c>
      <c r="M30" s="201"/>
      <c r="N30" s="199"/>
      <c r="O30" s="255">
        <v>0</v>
      </c>
      <c r="P30" s="255">
        <v>0</v>
      </c>
      <c r="Q3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0" s="255">
        <v>0</v>
      </c>
      <c r="S30" s="255">
        <v>0</v>
      </c>
      <c r="T3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0" s="255">
        <v>0</v>
      </c>
      <c r="W3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0" s="531"/>
      <c r="Y30" s="532"/>
      <c r="Z30" s="1" cm="1">
        <f t="array" ref="Z30">IF(OR(ISERROR(B30:V30)),1,0)</f>
        <v>0</v>
      </c>
      <c r="AA30" s="1">
        <f t="shared" si="1"/>
        <v>0</v>
      </c>
    </row>
    <row r="31" spans="2:28" ht="15" thickBot="1" x14ac:dyDescent="0.4">
      <c r="B31" s="98" t="s">
        <v>90</v>
      </c>
      <c r="C31" s="284">
        <v>18</v>
      </c>
      <c r="D31" s="464" t="s">
        <v>232</v>
      </c>
      <c r="E31" s="393" t="s">
        <v>134</v>
      </c>
      <c r="F31" s="437">
        <v>0.25</v>
      </c>
      <c r="G31" s="465"/>
      <c r="H31" s="422" t="s">
        <v>1095</v>
      </c>
      <c r="I31" s="423">
        <f>SupplyChainTier1[[#This Row],[Amount spent by product category (£)]]</f>
        <v>0</v>
      </c>
      <c r="J31" s="423" t="s">
        <v>1095</v>
      </c>
      <c r="K31" s="424">
        <v>0.38173396113307168</v>
      </c>
      <c r="L31" s="414" t="str">
        <f t="shared" si="0"/>
        <v/>
      </c>
      <c r="M31" s="201"/>
      <c r="N31" s="199"/>
      <c r="O31" s="255">
        <v>0</v>
      </c>
      <c r="P31" s="255">
        <v>0</v>
      </c>
      <c r="Q3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1" s="255">
        <v>0</v>
      </c>
      <c r="S31" s="255">
        <v>0</v>
      </c>
      <c r="T3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1" s="255">
        <v>0</v>
      </c>
      <c r="W3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1" s="531"/>
      <c r="Y31" s="532"/>
      <c r="Z31" s="1" cm="1">
        <f t="array" ref="Z31">IF(OR(ISERROR(B31:V31)),1,0)</f>
        <v>0</v>
      </c>
      <c r="AA31" s="1">
        <f t="shared" si="1"/>
        <v>0</v>
      </c>
    </row>
    <row r="32" spans="2:28" ht="15" thickBot="1" x14ac:dyDescent="0.4">
      <c r="B32" s="98" t="s">
        <v>90</v>
      </c>
      <c r="C32" s="469">
        <v>19</v>
      </c>
      <c r="D32" s="470" t="s">
        <v>233</v>
      </c>
      <c r="E32" s="393" t="s">
        <v>134</v>
      </c>
      <c r="F32" s="467">
        <v>0.25</v>
      </c>
      <c r="G32" s="468"/>
      <c r="H32" s="422" t="s">
        <v>1095</v>
      </c>
      <c r="I32" s="423">
        <f>SupplyChainTier1[[#This Row],[Amount spent by product category (£)]]</f>
        <v>0</v>
      </c>
      <c r="J32" s="423" t="s">
        <v>1095</v>
      </c>
      <c r="K32" s="424">
        <v>1.9295131243284269</v>
      </c>
      <c r="L32" s="414" t="str">
        <f t="shared" si="0"/>
        <v/>
      </c>
      <c r="M32" s="201"/>
      <c r="N32" s="199"/>
      <c r="O32" s="255">
        <v>0</v>
      </c>
      <c r="P32" s="255">
        <v>0</v>
      </c>
      <c r="Q3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2" s="255">
        <v>0</v>
      </c>
      <c r="S32" s="255">
        <v>0</v>
      </c>
      <c r="T3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2" s="255">
        <v>0</v>
      </c>
      <c r="W3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2" s="531"/>
      <c r="Y32" s="532"/>
      <c r="Z32" s="1" cm="1">
        <f t="array" ref="Z32">IF(OR(ISERROR(B32:V32)),1,0)</f>
        <v>0</v>
      </c>
      <c r="AA32" s="1">
        <f t="shared" si="1"/>
        <v>0</v>
      </c>
    </row>
    <row r="33" spans="2:27" ht="26.5" thickBot="1" x14ac:dyDescent="0.4">
      <c r="B33" s="98" t="s">
        <v>90</v>
      </c>
      <c r="C33" s="284">
        <v>20.3</v>
      </c>
      <c r="D33" s="99" t="s">
        <v>237</v>
      </c>
      <c r="E33" s="393" t="s">
        <v>134</v>
      </c>
      <c r="F33" s="437">
        <v>0.25</v>
      </c>
      <c r="G33" s="466"/>
      <c r="H33" s="422" t="s">
        <v>1095</v>
      </c>
      <c r="I33" s="423">
        <f>SupplyChainTier1[[#This Row],[Amount spent by product category (£)]]</f>
        <v>0</v>
      </c>
      <c r="J33" s="423" t="s">
        <v>1095</v>
      </c>
      <c r="K33" s="424">
        <v>1.330508762948823</v>
      </c>
      <c r="L33" s="414" t="str">
        <f t="shared" si="0"/>
        <v/>
      </c>
      <c r="M33" s="201"/>
      <c r="N33" s="199"/>
      <c r="O33" s="255">
        <v>0</v>
      </c>
      <c r="P33" s="255">
        <v>0</v>
      </c>
      <c r="Q3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3" s="255">
        <v>0</v>
      </c>
      <c r="S33" s="255">
        <v>0</v>
      </c>
      <c r="T3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3" s="255">
        <v>0</v>
      </c>
      <c r="W3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3" s="531"/>
      <c r="Y33" s="532"/>
      <c r="Z33" s="1" cm="1">
        <f t="array" ref="Z33">IF(OR(ISERROR(B33:V33)),1,0)</f>
        <v>0</v>
      </c>
      <c r="AA33" s="1">
        <f t="shared" si="1"/>
        <v>0</v>
      </c>
    </row>
    <row r="34" spans="2:27" ht="26.5" thickBot="1" x14ac:dyDescent="0.4">
      <c r="B34" s="98" t="s">
        <v>90</v>
      </c>
      <c r="C34" s="284">
        <v>20.399999999999999</v>
      </c>
      <c r="D34" s="99" t="s">
        <v>238</v>
      </c>
      <c r="E34" s="393" t="s">
        <v>134</v>
      </c>
      <c r="F34" s="437">
        <v>0.25</v>
      </c>
      <c r="G34" s="210"/>
      <c r="H34" s="422" t="s">
        <v>1095</v>
      </c>
      <c r="I34" s="423">
        <f>SupplyChainTier1[[#This Row],[Amount spent by product category (£)]]</f>
        <v>0</v>
      </c>
      <c r="J34" s="423" t="s">
        <v>1095</v>
      </c>
      <c r="K34" s="424">
        <v>0.71887260581861478</v>
      </c>
      <c r="L34" s="414" t="str">
        <f t="shared" si="0"/>
        <v/>
      </c>
      <c r="M34" s="201"/>
      <c r="N34" s="199"/>
      <c r="O34" s="255">
        <v>0</v>
      </c>
      <c r="P34" s="255">
        <v>0</v>
      </c>
      <c r="Q3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4" s="255">
        <v>0</v>
      </c>
      <c r="S34" s="255">
        <v>0</v>
      </c>
      <c r="T3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4" s="255">
        <v>0</v>
      </c>
      <c r="W3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4" s="531"/>
      <c r="Y34" s="532"/>
      <c r="Z34" s="1" cm="1">
        <f t="array" ref="Z34">IF(OR(ISERROR(B34:V34)),1,0)</f>
        <v>0</v>
      </c>
      <c r="AA34" s="1">
        <f t="shared" si="1"/>
        <v>0</v>
      </c>
    </row>
    <row r="35" spans="2:27" ht="15" thickBot="1" x14ac:dyDescent="0.4">
      <c r="B35" s="98" t="s">
        <v>90</v>
      </c>
      <c r="C35" s="284">
        <v>20.5</v>
      </c>
      <c r="D35" s="99" t="s">
        <v>1041</v>
      </c>
      <c r="E35" s="393" t="s">
        <v>134</v>
      </c>
      <c r="F35" s="437">
        <v>0.25</v>
      </c>
      <c r="G35" s="210"/>
      <c r="H35" s="422" t="s">
        <v>1095</v>
      </c>
      <c r="I35" s="423">
        <f>SupplyChainTier1[[#This Row],[Amount spent by product category (£)]]</f>
        <v>0</v>
      </c>
      <c r="J35" s="423" t="s">
        <v>1095</v>
      </c>
      <c r="K35" s="424">
        <v>1.3810539127369941</v>
      </c>
      <c r="L35" s="414" t="str">
        <f t="shared" si="0"/>
        <v/>
      </c>
      <c r="M35" s="201"/>
      <c r="N35" s="199"/>
      <c r="O35" s="255">
        <v>0</v>
      </c>
      <c r="P35" s="255">
        <v>0</v>
      </c>
      <c r="Q3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5" s="255">
        <v>0</v>
      </c>
      <c r="S35" s="255">
        <v>0</v>
      </c>
      <c r="T3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5" s="255">
        <v>0</v>
      </c>
      <c r="W3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5" s="531"/>
      <c r="Y35" s="532"/>
      <c r="Z35" s="1" cm="1">
        <f t="array" ref="Z35">IF(OR(ISERROR(B35:V35)),1,0)</f>
        <v>0</v>
      </c>
      <c r="AA35" s="1">
        <f t="shared" si="1"/>
        <v>0</v>
      </c>
    </row>
    <row r="36" spans="2:27" ht="26.5" thickBot="1" x14ac:dyDescent="0.4">
      <c r="B36" s="98" t="s">
        <v>90</v>
      </c>
      <c r="C36" s="284" t="s">
        <v>234</v>
      </c>
      <c r="D36" s="99" t="s">
        <v>647</v>
      </c>
      <c r="E36" s="393" t="s">
        <v>134</v>
      </c>
      <c r="F36" s="437">
        <v>0.25</v>
      </c>
      <c r="G36" s="210"/>
      <c r="H36" s="422" t="s">
        <v>1095</v>
      </c>
      <c r="I36" s="423">
        <f>SupplyChainTier1[[#This Row],[Amount spent by product category (£)]]</f>
        <v>0</v>
      </c>
      <c r="J36" s="423" t="s">
        <v>1095</v>
      </c>
      <c r="K36" s="424">
        <v>1.3574925126149819</v>
      </c>
      <c r="L36" s="414" t="str">
        <f t="shared" si="0"/>
        <v/>
      </c>
      <c r="M36" s="201"/>
      <c r="N36" s="199"/>
      <c r="O36" s="255">
        <v>0</v>
      </c>
      <c r="P36" s="255">
        <v>0</v>
      </c>
      <c r="Q3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6" s="255">
        <v>0</v>
      </c>
      <c r="S36" s="255">
        <v>0</v>
      </c>
      <c r="T3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6" s="255">
        <v>0</v>
      </c>
      <c r="W3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6" s="531"/>
      <c r="Y36" s="532"/>
      <c r="Z36" s="1" cm="1">
        <f t="array" ref="Z36">IF(OR(ISERROR(B36:V36)),1,0)</f>
        <v>0</v>
      </c>
      <c r="AA36" s="1">
        <f t="shared" si="1"/>
        <v>0</v>
      </c>
    </row>
    <row r="37" spans="2:27" ht="15" thickBot="1" x14ac:dyDescent="0.4">
      <c r="B37" s="98" t="s">
        <v>90</v>
      </c>
      <c r="C37" s="284" t="s">
        <v>235</v>
      </c>
      <c r="D37" s="99" t="s">
        <v>649</v>
      </c>
      <c r="E37" s="393" t="s">
        <v>134</v>
      </c>
      <c r="F37" s="437">
        <v>0.25</v>
      </c>
      <c r="G37" s="210"/>
      <c r="H37" s="422" t="s">
        <v>1095</v>
      </c>
      <c r="I37" s="423">
        <f>SupplyChainTier1[[#This Row],[Amount spent by product category (£)]]</f>
        <v>0</v>
      </c>
      <c r="J37" s="423" t="s">
        <v>1095</v>
      </c>
      <c r="K37" s="424">
        <v>0.8202113547751525</v>
      </c>
      <c r="L37" s="414" t="str">
        <f t="shared" si="0"/>
        <v/>
      </c>
      <c r="M37" s="201"/>
      <c r="N37" s="199"/>
      <c r="O37" s="255">
        <v>0</v>
      </c>
      <c r="P37" s="255">
        <v>0</v>
      </c>
      <c r="Q3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7" s="255">
        <v>0</v>
      </c>
      <c r="S37" s="255">
        <v>0</v>
      </c>
      <c r="T3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7" s="255">
        <v>0</v>
      </c>
      <c r="W3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7" s="531"/>
      <c r="Y37" s="532"/>
      <c r="Z37" s="1" cm="1">
        <f t="array" ref="Z37">IF(OR(ISERROR(B37:V37)),1,0)</f>
        <v>0</v>
      </c>
      <c r="AA37" s="1">
        <f t="shared" si="1"/>
        <v>0</v>
      </c>
    </row>
    <row r="38" spans="2:27" ht="15" thickBot="1" x14ac:dyDescent="0.4">
      <c r="B38" s="98" t="s">
        <v>90</v>
      </c>
      <c r="C38" s="284" t="s">
        <v>236</v>
      </c>
      <c r="D38" s="99" t="s">
        <v>651</v>
      </c>
      <c r="E38" s="393" t="s">
        <v>134</v>
      </c>
      <c r="F38" s="437">
        <v>0.25</v>
      </c>
      <c r="G38" s="210"/>
      <c r="H38" s="422" t="s">
        <v>1095</v>
      </c>
      <c r="I38" s="423">
        <f>SupplyChainTier1[[#This Row],[Amount spent by product category (£)]]</f>
        <v>0</v>
      </c>
      <c r="J38" s="423" t="s">
        <v>1095</v>
      </c>
      <c r="K38" s="424">
        <v>1.07642184282876</v>
      </c>
      <c r="L38" s="414" t="str">
        <f t="shared" si="0"/>
        <v/>
      </c>
      <c r="M38" s="201"/>
      <c r="N38" s="199"/>
      <c r="O38" s="255">
        <v>0</v>
      </c>
      <c r="P38" s="255">
        <v>0</v>
      </c>
      <c r="Q3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8" s="255">
        <v>0</v>
      </c>
      <c r="S38" s="255">
        <v>0</v>
      </c>
      <c r="T3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8" s="255">
        <v>0</v>
      </c>
      <c r="W3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8" s="531"/>
      <c r="Y38" s="532"/>
      <c r="Z38" s="1" cm="1">
        <f t="array" ref="Z38">IF(OR(ISERROR(B38:V38)),1,0)</f>
        <v>0</v>
      </c>
      <c r="AA38" s="1">
        <f t="shared" si="1"/>
        <v>0</v>
      </c>
    </row>
    <row r="39" spans="2:27" ht="26.5" thickBot="1" x14ac:dyDescent="0.4">
      <c r="B39" s="98" t="s">
        <v>90</v>
      </c>
      <c r="C39" s="284">
        <v>21</v>
      </c>
      <c r="D39" s="99" t="s">
        <v>239</v>
      </c>
      <c r="E39" s="393" t="s">
        <v>134</v>
      </c>
      <c r="F39" s="437">
        <v>0.25</v>
      </c>
      <c r="G39" s="210"/>
      <c r="H39" s="422" t="s">
        <v>1095</v>
      </c>
      <c r="I39" s="423">
        <f>SupplyChainTier1[[#This Row],[Amount spent by product category (£)]]</f>
        <v>0</v>
      </c>
      <c r="J39" s="423" t="s">
        <v>1095</v>
      </c>
      <c r="K39" s="424">
        <v>0.62099518156965727</v>
      </c>
      <c r="L39" s="414" t="str">
        <f t="shared" si="0"/>
        <v/>
      </c>
      <c r="M39" s="201"/>
      <c r="N39" s="199"/>
      <c r="O39" s="255">
        <v>0</v>
      </c>
      <c r="P39" s="255">
        <v>0</v>
      </c>
      <c r="Q3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9" s="255">
        <v>0</v>
      </c>
      <c r="S39" s="255">
        <v>0</v>
      </c>
      <c r="T3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9" s="255">
        <v>0</v>
      </c>
      <c r="W3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9" s="531"/>
      <c r="Y39" s="532"/>
      <c r="Z39" s="1" cm="1">
        <f t="array" ref="Z39">IF(OR(ISERROR(B39:V39)),1,0)</f>
        <v>0</v>
      </c>
      <c r="AA39" s="1">
        <f t="shared" si="1"/>
        <v>0</v>
      </c>
    </row>
    <row r="40" spans="2:27" ht="15" thickBot="1" x14ac:dyDescent="0.4">
      <c r="B40" s="98" t="s">
        <v>90</v>
      </c>
      <c r="C40" s="284">
        <v>22</v>
      </c>
      <c r="D40" s="99" t="s">
        <v>240</v>
      </c>
      <c r="E40" s="393" t="s">
        <v>134</v>
      </c>
      <c r="F40" s="437">
        <v>0.25</v>
      </c>
      <c r="G40" s="210"/>
      <c r="H40" s="422" t="s">
        <v>1095</v>
      </c>
      <c r="I40" s="423">
        <f>SupplyChainTier1[[#This Row],[Amount spent by product category (£)]]</f>
        <v>0</v>
      </c>
      <c r="J40" s="423" t="s">
        <v>1095</v>
      </c>
      <c r="K40" s="424">
        <v>0.57621788964022036</v>
      </c>
      <c r="L40" s="414" t="str">
        <f t="shared" ref="L40:L71" si="2">IF(ISBLANK(G40),"",G40*K40)</f>
        <v/>
      </c>
      <c r="M40" s="201"/>
      <c r="N40" s="199"/>
      <c r="O40" s="255">
        <v>0</v>
      </c>
      <c r="P40" s="255">
        <v>0</v>
      </c>
      <c r="Q4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0" s="255">
        <v>0</v>
      </c>
      <c r="S40" s="255">
        <v>0</v>
      </c>
      <c r="T4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0" s="255">
        <v>0</v>
      </c>
      <c r="W4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0" s="531"/>
      <c r="Y40" s="532"/>
      <c r="Z40" s="1" cm="1">
        <f t="array" ref="Z40">IF(OR(ISERROR(B40:V40)),1,0)</f>
        <v>0</v>
      </c>
      <c r="AA40" s="1">
        <f t="shared" si="1"/>
        <v>0</v>
      </c>
    </row>
    <row r="41" spans="2:27" ht="26.5" thickBot="1" x14ac:dyDescent="0.4">
      <c r="B41" s="98" t="s">
        <v>90</v>
      </c>
      <c r="C41" s="284" t="s">
        <v>242</v>
      </c>
      <c r="D41" s="99" t="s">
        <v>1042</v>
      </c>
      <c r="E41" s="393" t="s">
        <v>134</v>
      </c>
      <c r="F41" s="437">
        <v>0.25</v>
      </c>
      <c r="G41" s="210"/>
      <c r="H41" s="422" t="s">
        <v>1095</v>
      </c>
      <c r="I41" s="423">
        <f>SupplyChainTier1[[#This Row],[Amount spent by product category (£)]]</f>
        <v>0</v>
      </c>
      <c r="J41" s="423" t="s">
        <v>1095</v>
      </c>
      <c r="K41" s="424">
        <v>1.088232931909098</v>
      </c>
      <c r="L41" s="414" t="str">
        <f t="shared" si="2"/>
        <v/>
      </c>
      <c r="M41" s="201"/>
      <c r="N41" s="199"/>
      <c r="O41" s="255">
        <v>0</v>
      </c>
      <c r="P41" s="255">
        <v>0</v>
      </c>
      <c r="Q4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1" s="255">
        <v>0</v>
      </c>
      <c r="S41" s="255">
        <v>0</v>
      </c>
      <c r="T4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1" s="255">
        <v>0</v>
      </c>
      <c r="W4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1" s="531"/>
      <c r="Y41" s="532"/>
      <c r="Z41" s="1" cm="1">
        <f t="array" ref="Z41">IF(OR(ISERROR(B41:V41)),1,0)</f>
        <v>0</v>
      </c>
      <c r="AA41" s="1">
        <f t="shared" si="1"/>
        <v>0</v>
      </c>
    </row>
    <row r="42" spans="2:27" ht="26.5" thickBot="1" x14ac:dyDescent="0.4">
      <c r="B42" s="98" t="s">
        <v>90</v>
      </c>
      <c r="C42" s="284" t="s">
        <v>241</v>
      </c>
      <c r="D42" s="99" t="s">
        <v>671</v>
      </c>
      <c r="E42" s="393" t="s">
        <v>134</v>
      </c>
      <c r="F42" s="437">
        <v>0.25</v>
      </c>
      <c r="G42" s="210"/>
      <c r="H42" s="422" t="s">
        <v>1095</v>
      </c>
      <c r="I42" s="423">
        <f>SupplyChainTier1[[#This Row],[Amount spent by product category (£)]]</f>
        <v>0</v>
      </c>
      <c r="J42" s="423" t="s">
        <v>1095</v>
      </c>
      <c r="K42" s="424">
        <v>1.202877205736401</v>
      </c>
      <c r="L42" s="414" t="str">
        <f t="shared" si="2"/>
        <v/>
      </c>
      <c r="M42" s="201"/>
      <c r="N42" s="199"/>
      <c r="O42" s="255">
        <v>0</v>
      </c>
      <c r="P42" s="255">
        <v>0</v>
      </c>
      <c r="Q4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2" s="255">
        <v>0</v>
      </c>
      <c r="S42" s="255">
        <v>0</v>
      </c>
      <c r="T4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2" s="255">
        <v>0</v>
      </c>
      <c r="W4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2" s="531"/>
      <c r="Y42" s="532"/>
      <c r="Z42" s="1" cm="1">
        <f t="array" ref="Z42">IF(OR(ISERROR(B42:V42)),1,0)</f>
        <v>0</v>
      </c>
      <c r="AA42" s="1">
        <f t="shared" si="1"/>
        <v>0</v>
      </c>
    </row>
    <row r="43" spans="2:27" ht="15" thickBot="1" x14ac:dyDescent="0.4">
      <c r="B43" s="98" t="s">
        <v>90</v>
      </c>
      <c r="C43" s="284" t="s">
        <v>243</v>
      </c>
      <c r="D43" s="99" t="s">
        <v>244</v>
      </c>
      <c r="E43" s="393" t="s">
        <v>134</v>
      </c>
      <c r="F43" s="437">
        <v>0.25</v>
      </c>
      <c r="G43" s="210"/>
      <c r="H43" s="422" t="s">
        <v>1095</v>
      </c>
      <c r="I43" s="423">
        <f>SupplyChainTier1[[#This Row],[Amount spent by product category (£)]]</f>
        <v>0</v>
      </c>
      <c r="J43" s="423" t="s">
        <v>1095</v>
      </c>
      <c r="K43" s="424">
        <v>1.409849740055845</v>
      </c>
      <c r="L43" s="414" t="str">
        <f t="shared" si="2"/>
        <v/>
      </c>
      <c r="M43" s="201"/>
      <c r="N43" s="199"/>
      <c r="O43" s="255">
        <v>0</v>
      </c>
      <c r="P43" s="255">
        <v>0</v>
      </c>
      <c r="Q4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3" s="255">
        <v>0</v>
      </c>
      <c r="S43" s="255">
        <v>0</v>
      </c>
      <c r="T4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3" s="255">
        <v>0</v>
      </c>
      <c r="W4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3" s="531"/>
      <c r="Y43" s="532"/>
      <c r="Z43" s="1" cm="1">
        <f t="array" ref="Z43">IF(OR(ISERROR(B43:V43)),1,0)</f>
        <v>0</v>
      </c>
      <c r="AA43" s="1">
        <f t="shared" si="1"/>
        <v>0</v>
      </c>
    </row>
    <row r="44" spans="2:27" ht="15" thickBot="1" x14ac:dyDescent="0.4">
      <c r="B44" s="98" t="s">
        <v>90</v>
      </c>
      <c r="C44" s="284" t="s">
        <v>245</v>
      </c>
      <c r="D44" s="99" t="s">
        <v>246</v>
      </c>
      <c r="E44" s="393" t="s">
        <v>134</v>
      </c>
      <c r="F44" s="437">
        <v>0.25</v>
      </c>
      <c r="G44" s="210"/>
      <c r="H44" s="422" t="s">
        <v>1095</v>
      </c>
      <c r="I44" s="423">
        <f>SupplyChainTier1[[#This Row],[Amount spent by product category (£)]]</f>
        <v>0</v>
      </c>
      <c r="J44" s="423" t="s">
        <v>1095</v>
      </c>
      <c r="K44" s="424">
        <v>0.99697428708353653</v>
      </c>
      <c r="L44" s="414" t="str">
        <f t="shared" si="2"/>
        <v/>
      </c>
      <c r="M44" s="201"/>
      <c r="N44" s="199"/>
      <c r="O44" s="255">
        <v>0</v>
      </c>
      <c r="P44" s="255">
        <v>0</v>
      </c>
      <c r="Q4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4" s="255">
        <v>0</v>
      </c>
      <c r="S44" s="255">
        <v>0</v>
      </c>
      <c r="T4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4" s="255">
        <v>0</v>
      </c>
      <c r="W4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4" s="531"/>
      <c r="Y44" s="532"/>
      <c r="Z44" s="1" cm="1">
        <f t="array" ref="Z44">IF(OR(ISERROR(B44:V44)),1,0)</f>
        <v>0</v>
      </c>
      <c r="AA44" s="1">
        <f t="shared" si="1"/>
        <v>0</v>
      </c>
    </row>
    <row r="45" spans="2:27" ht="15" thickBot="1" x14ac:dyDescent="0.4">
      <c r="B45" s="98" t="s">
        <v>90</v>
      </c>
      <c r="C45" s="284">
        <v>25.4</v>
      </c>
      <c r="D45" s="99" t="s">
        <v>248</v>
      </c>
      <c r="E45" s="393" t="s">
        <v>134</v>
      </c>
      <c r="F45" s="437">
        <v>0.25</v>
      </c>
      <c r="G45" s="210"/>
      <c r="H45" s="422" t="s">
        <v>1095</v>
      </c>
      <c r="I45" s="423">
        <f>SupplyChainTier1[[#This Row],[Amount spent by product category (£)]]</f>
        <v>0</v>
      </c>
      <c r="J45" s="423" t="s">
        <v>1095</v>
      </c>
      <c r="K45" s="424">
        <v>0.39176343776144262</v>
      </c>
      <c r="L45" s="414" t="str">
        <f t="shared" si="2"/>
        <v/>
      </c>
      <c r="M45" s="201"/>
      <c r="N45" s="199"/>
      <c r="O45" s="255">
        <v>0</v>
      </c>
      <c r="P45" s="255">
        <v>0</v>
      </c>
      <c r="Q4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5" s="255">
        <v>0</v>
      </c>
      <c r="S45" s="255">
        <v>0</v>
      </c>
      <c r="T4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5" s="255">
        <v>0</v>
      </c>
      <c r="W4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5" s="531"/>
      <c r="Y45" s="532"/>
      <c r="Z45" s="1" cm="1">
        <f t="array" ref="Z45">IF(OR(ISERROR(B45:V45)),1,0)</f>
        <v>0</v>
      </c>
      <c r="AA45" s="1">
        <f t="shared" si="1"/>
        <v>0</v>
      </c>
    </row>
    <row r="46" spans="2:27" ht="39.5" thickBot="1" x14ac:dyDescent="0.4">
      <c r="B46" s="98" t="s">
        <v>90</v>
      </c>
      <c r="C46" s="284" t="s">
        <v>247</v>
      </c>
      <c r="D46" s="99" t="s">
        <v>676</v>
      </c>
      <c r="E46" s="393" t="s">
        <v>134</v>
      </c>
      <c r="F46" s="437">
        <v>0.25</v>
      </c>
      <c r="G46" s="210"/>
      <c r="H46" s="422" t="s">
        <v>1095</v>
      </c>
      <c r="I46" s="423">
        <f>SupplyChainTier1[[#This Row],[Amount spent by product category (£)]]</f>
        <v>0</v>
      </c>
      <c r="J46" s="423" t="s">
        <v>1095</v>
      </c>
      <c r="K46" s="424">
        <v>0.45904169551503349</v>
      </c>
      <c r="L46" s="414" t="str">
        <f t="shared" si="2"/>
        <v/>
      </c>
      <c r="M46" s="201"/>
      <c r="N46" s="199"/>
      <c r="O46" s="255">
        <v>0</v>
      </c>
      <c r="P46" s="255">
        <v>0</v>
      </c>
      <c r="Q4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6" s="255">
        <v>0</v>
      </c>
      <c r="S46" s="255">
        <v>0</v>
      </c>
      <c r="T4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6" s="255">
        <v>0</v>
      </c>
      <c r="W4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6" s="531"/>
      <c r="Y46" s="532"/>
      <c r="Z46" s="1" cm="1">
        <f t="array" ref="Z46">IF(OR(ISERROR(B46:V46)),1,0)</f>
        <v>0</v>
      </c>
      <c r="AA46" s="1">
        <f t="shared" si="1"/>
        <v>0</v>
      </c>
    </row>
    <row r="47" spans="2:27" ht="15" thickBot="1" x14ac:dyDescent="0.4">
      <c r="B47" s="98" t="s">
        <v>90</v>
      </c>
      <c r="C47" s="284">
        <v>26</v>
      </c>
      <c r="D47" s="99" t="s">
        <v>249</v>
      </c>
      <c r="E47" s="393" t="s">
        <v>134</v>
      </c>
      <c r="F47" s="437">
        <v>0.25</v>
      </c>
      <c r="G47" s="210"/>
      <c r="H47" s="422" t="s">
        <v>1095</v>
      </c>
      <c r="I47" s="423">
        <f>SupplyChainTier1[[#This Row],[Amount spent by product category (£)]]</f>
        <v>0</v>
      </c>
      <c r="J47" s="423" t="s">
        <v>1095</v>
      </c>
      <c r="K47" s="424">
        <v>0.38174938765811312</v>
      </c>
      <c r="L47" s="414" t="str">
        <f t="shared" si="2"/>
        <v/>
      </c>
      <c r="M47" s="201"/>
      <c r="N47" s="199"/>
      <c r="O47" s="255">
        <v>0</v>
      </c>
      <c r="P47" s="255">
        <v>0</v>
      </c>
      <c r="Q4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7" s="255">
        <v>0</v>
      </c>
      <c r="S47" s="255">
        <v>0</v>
      </c>
      <c r="T4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7" s="255">
        <v>0</v>
      </c>
      <c r="W4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7" s="531"/>
      <c r="Y47" s="532"/>
      <c r="Z47" s="1" cm="1">
        <f t="array" ref="Z47">IF(OR(ISERROR(B47:V47)),1,0)</f>
        <v>0</v>
      </c>
      <c r="AA47" s="1">
        <f t="shared" si="1"/>
        <v>0</v>
      </c>
    </row>
    <row r="48" spans="2:27" ht="15" thickBot="1" x14ac:dyDescent="0.4">
      <c r="B48" s="98" t="s">
        <v>90</v>
      </c>
      <c r="C48" s="284">
        <v>27</v>
      </c>
      <c r="D48" s="99" t="s">
        <v>250</v>
      </c>
      <c r="E48" s="393" t="s">
        <v>134</v>
      </c>
      <c r="F48" s="437">
        <v>0.25</v>
      </c>
      <c r="G48" s="210"/>
      <c r="H48" s="422" t="s">
        <v>1095</v>
      </c>
      <c r="I48" s="423">
        <f>SupplyChainTier1[[#This Row],[Amount spent by product category (£)]]</f>
        <v>0</v>
      </c>
      <c r="J48" s="423" t="s">
        <v>1095</v>
      </c>
      <c r="K48" s="424">
        <v>0.49523640333923419</v>
      </c>
      <c r="L48" s="414" t="str">
        <f t="shared" si="2"/>
        <v/>
      </c>
      <c r="M48" s="201"/>
      <c r="N48" s="199"/>
      <c r="O48" s="255">
        <v>0</v>
      </c>
      <c r="P48" s="255">
        <v>0</v>
      </c>
      <c r="Q4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8" s="255">
        <v>0</v>
      </c>
      <c r="S48" s="255">
        <v>0</v>
      </c>
      <c r="T4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8" s="255">
        <v>0</v>
      </c>
      <c r="W4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8" s="531"/>
      <c r="Y48" s="532"/>
      <c r="Z48" s="1" cm="1">
        <f t="array" ref="Z48">IF(OR(ISERROR(B48:V48)),1,0)</f>
        <v>0</v>
      </c>
      <c r="AA48" s="1">
        <f t="shared" si="1"/>
        <v>0</v>
      </c>
    </row>
    <row r="49" spans="2:27" ht="15" thickBot="1" x14ac:dyDescent="0.4">
      <c r="B49" s="98" t="s">
        <v>90</v>
      </c>
      <c r="C49" s="284">
        <v>28</v>
      </c>
      <c r="D49" s="99" t="s">
        <v>251</v>
      </c>
      <c r="E49" s="393" t="s">
        <v>134</v>
      </c>
      <c r="F49" s="437">
        <v>0.25</v>
      </c>
      <c r="G49" s="210"/>
      <c r="H49" s="422" t="s">
        <v>1095</v>
      </c>
      <c r="I49" s="423">
        <f>SupplyChainTier1[[#This Row],[Amount spent by product category (£)]]</f>
        <v>0</v>
      </c>
      <c r="J49" s="423" t="s">
        <v>1095</v>
      </c>
      <c r="K49" s="424">
        <v>0.33561667817643598</v>
      </c>
      <c r="L49" s="414" t="str">
        <f t="shared" si="2"/>
        <v/>
      </c>
      <c r="M49" s="201"/>
      <c r="N49" s="199"/>
      <c r="O49" s="255">
        <v>0</v>
      </c>
      <c r="P49" s="255">
        <v>0</v>
      </c>
      <c r="Q4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9" s="255">
        <v>0</v>
      </c>
      <c r="S49" s="255">
        <v>0</v>
      </c>
      <c r="T4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9" s="255">
        <v>0</v>
      </c>
      <c r="W4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9" s="531"/>
      <c r="Y49" s="532"/>
      <c r="Z49" s="1" cm="1">
        <f t="array" ref="Z49">IF(OR(ISERROR(B49:V49)),1,0)</f>
        <v>0</v>
      </c>
      <c r="AA49" s="1">
        <f t="shared" si="1"/>
        <v>0</v>
      </c>
    </row>
    <row r="50" spans="2:27" ht="15" thickBot="1" x14ac:dyDescent="0.4">
      <c r="B50" s="98" t="s">
        <v>90</v>
      </c>
      <c r="C50" s="284">
        <v>29</v>
      </c>
      <c r="D50" s="99" t="s">
        <v>252</v>
      </c>
      <c r="E50" s="393" t="s">
        <v>134</v>
      </c>
      <c r="F50" s="437">
        <v>0.25</v>
      </c>
      <c r="G50" s="210"/>
      <c r="H50" s="422" t="s">
        <v>1095</v>
      </c>
      <c r="I50" s="423">
        <f>SupplyChainTier1[[#This Row],[Amount spent by product category (£)]]</f>
        <v>0</v>
      </c>
      <c r="J50" s="423" t="s">
        <v>1095</v>
      </c>
      <c r="K50" s="424">
        <v>0.35851447470468079</v>
      </c>
      <c r="L50" s="414" t="str">
        <f t="shared" si="2"/>
        <v/>
      </c>
      <c r="M50" s="201"/>
      <c r="N50" s="199"/>
      <c r="O50" s="255">
        <v>0</v>
      </c>
      <c r="P50" s="255">
        <v>0</v>
      </c>
      <c r="Q5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0" s="255">
        <v>0</v>
      </c>
      <c r="S50" s="255">
        <v>0</v>
      </c>
      <c r="T5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0" s="255">
        <v>0</v>
      </c>
      <c r="W5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0" s="531"/>
      <c r="Y50" s="532"/>
      <c r="Z50" s="1" cm="1">
        <f t="array" ref="Z50">IF(OR(ISERROR(B50:V50)),1,0)</f>
        <v>0</v>
      </c>
      <c r="AA50" s="1">
        <f t="shared" si="1"/>
        <v>0</v>
      </c>
    </row>
    <row r="51" spans="2:27" ht="15" thickBot="1" x14ac:dyDescent="0.4">
      <c r="B51" s="98" t="s">
        <v>90</v>
      </c>
      <c r="C51" s="284">
        <v>30.1</v>
      </c>
      <c r="D51" s="99" t="s">
        <v>253</v>
      </c>
      <c r="E51" s="393" t="s">
        <v>134</v>
      </c>
      <c r="F51" s="437">
        <v>0.25</v>
      </c>
      <c r="G51" s="210"/>
      <c r="H51" s="422" t="s">
        <v>1095</v>
      </c>
      <c r="I51" s="423">
        <f>SupplyChainTier1[[#This Row],[Amount spent by product category (£)]]</f>
        <v>0</v>
      </c>
      <c r="J51" s="423" t="s">
        <v>1095</v>
      </c>
      <c r="K51" s="424">
        <v>0.1324048866352083</v>
      </c>
      <c r="L51" s="414" t="str">
        <f t="shared" si="2"/>
        <v/>
      </c>
      <c r="M51" s="201"/>
      <c r="N51" s="199"/>
      <c r="O51" s="255">
        <v>0</v>
      </c>
      <c r="P51" s="255">
        <v>0</v>
      </c>
      <c r="Q5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1" s="255">
        <v>0</v>
      </c>
      <c r="S51" s="255">
        <v>0</v>
      </c>
      <c r="T5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1" s="255">
        <v>0</v>
      </c>
      <c r="W5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1" s="531"/>
      <c r="Y51" s="532"/>
      <c r="Z51" s="1" cm="1">
        <f t="array" ref="Z51">IF(OR(ISERROR(B51:V51)),1,0)</f>
        <v>0</v>
      </c>
      <c r="AA51" s="1">
        <f t="shared" si="1"/>
        <v>0</v>
      </c>
    </row>
    <row r="52" spans="2:27" ht="15" thickBot="1" x14ac:dyDescent="0.4">
      <c r="B52" s="98" t="s">
        <v>90</v>
      </c>
      <c r="C52" s="284">
        <v>30.3</v>
      </c>
      <c r="D52" s="99" t="s">
        <v>254</v>
      </c>
      <c r="E52" s="393" t="s">
        <v>134</v>
      </c>
      <c r="F52" s="437">
        <v>0.25</v>
      </c>
      <c r="G52" s="210"/>
      <c r="H52" s="422" t="s">
        <v>1095</v>
      </c>
      <c r="I52" s="423">
        <f>SupplyChainTier1[[#This Row],[Amount spent by product category (£)]]</f>
        <v>0</v>
      </c>
      <c r="J52" s="423" t="s">
        <v>1095</v>
      </c>
      <c r="K52" s="424">
        <v>0.35920745090353567</v>
      </c>
      <c r="L52" s="414" t="str">
        <f t="shared" si="2"/>
        <v/>
      </c>
      <c r="M52" s="201"/>
      <c r="N52" s="199"/>
      <c r="O52" s="255">
        <v>0</v>
      </c>
      <c r="P52" s="255">
        <v>0</v>
      </c>
      <c r="Q5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2" s="255">
        <v>0</v>
      </c>
      <c r="S52" s="255">
        <v>0</v>
      </c>
      <c r="T5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2" s="255">
        <v>0</v>
      </c>
      <c r="W5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2" s="531"/>
      <c r="Y52" s="532"/>
      <c r="Z52" s="1" cm="1">
        <f t="array" ref="Z52">IF(OR(ISERROR(B52:V52)),1,0)</f>
        <v>0</v>
      </c>
      <c r="AA52" s="1">
        <f t="shared" si="1"/>
        <v>0</v>
      </c>
    </row>
    <row r="53" spans="2:27" ht="15" thickBot="1" x14ac:dyDescent="0.4">
      <c r="B53" s="98" t="s">
        <v>90</v>
      </c>
      <c r="C53" s="284" t="s">
        <v>255</v>
      </c>
      <c r="D53" s="99" t="s">
        <v>256</v>
      </c>
      <c r="E53" s="393" t="s">
        <v>134</v>
      </c>
      <c r="F53" s="437">
        <v>0.25</v>
      </c>
      <c r="G53" s="210"/>
      <c r="H53" s="422" t="s">
        <v>1095</v>
      </c>
      <c r="I53" s="423">
        <f>SupplyChainTier1[[#This Row],[Amount spent by product category (£)]]</f>
        <v>0</v>
      </c>
      <c r="J53" s="423" t="s">
        <v>1095</v>
      </c>
      <c r="K53" s="424">
        <v>0.1896917059859729</v>
      </c>
      <c r="L53" s="414" t="str">
        <f t="shared" si="2"/>
        <v/>
      </c>
      <c r="M53" s="201"/>
      <c r="N53" s="199"/>
      <c r="O53" s="255">
        <v>0</v>
      </c>
      <c r="P53" s="255">
        <v>0</v>
      </c>
      <c r="Q5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3" s="255">
        <v>0</v>
      </c>
      <c r="S53" s="255">
        <v>0</v>
      </c>
      <c r="T5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3" s="255">
        <v>0</v>
      </c>
      <c r="W5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3" s="531"/>
      <c r="Y53" s="532"/>
      <c r="Z53" s="1" cm="1">
        <f t="array" ref="Z53">IF(OR(ISERROR(B53:V53)),1,0)</f>
        <v>0</v>
      </c>
      <c r="AA53" s="1">
        <f t="shared" si="1"/>
        <v>0</v>
      </c>
    </row>
    <row r="54" spans="2:27" ht="15" thickBot="1" x14ac:dyDescent="0.4">
      <c r="B54" s="98" t="s">
        <v>90</v>
      </c>
      <c r="C54" s="284">
        <v>31</v>
      </c>
      <c r="D54" s="99" t="s">
        <v>257</v>
      </c>
      <c r="E54" s="393" t="s">
        <v>134</v>
      </c>
      <c r="F54" s="437">
        <v>0.25</v>
      </c>
      <c r="G54" s="210"/>
      <c r="H54" s="422" t="s">
        <v>1095</v>
      </c>
      <c r="I54" s="423">
        <f>SupplyChainTier1[[#This Row],[Amount spent by product category (£)]]</f>
        <v>0</v>
      </c>
      <c r="J54" s="423" t="s">
        <v>1095</v>
      </c>
      <c r="K54" s="424">
        <v>0.37636837674684959</v>
      </c>
      <c r="L54" s="414" t="str">
        <f t="shared" si="2"/>
        <v/>
      </c>
      <c r="M54" s="201"/>
      <c r="N54" s="199"/>
      <c r="O54" s="255">
        <v>0</v>
      </c>
      <c r="P54" s="255">
        <v>0</v>
      </c>
      <c r="Q5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4" s="255">
        <v>0</v>
      </c>
      <c r="S54" s="255">
        <v>0</v>
      </c>
      <c r="T5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4" s="255">
        <v>0</v>
      </c>
      <c r="W5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4" s="531"/>
      <c r="Y54" s="532"/>
      <c r="Z54" s="1" cm="1">
        <f t="array" ref="Z54">IF(OR(ISERROR(B54:V54)),1,0)</f>
        <v>0</v>
      </c>
      <c r="AA54" s="1">
        <f t="shared" si="1"/>
        <v>0</v>
      </c>
    </row>
    <row r="55" spans="2:27" ht="15" thickBot="1" x14ac:dyDescent="0.4">
      <c r="B55" s="98" t="s">
        <v>90</v>
      </c>
      <c r="C55" s="284">
        <v>32</v>
      </c>
      <c r="D55" s="99" t="s">
        <v>258</v>
      </c>
      <c r="E55" s="393" t="s">
        <v>134</v>
      </c>
      <c r="F55" s="437">
        <v>0.25</v>
      </c>
      <c r="G55" s="210"/>
      <c r="H55" s="422" t="s">
        <v>1095</v>
      </c>
      <c r="I55" s="423">
        <f>SupplyChainTier1[[#This Row],[Amount spent by product category (£)]]</f>
        <v>0</v>
      </c>
      <c r="J55" s="423" t="s">
        <v>1095</v>
      </c>
      <c r="K55" s="424">
        <v>0.67238249414981133</v>
      </c>
      <c r="L55" s="414" t="str">
        <f t="shared" si="2"/>
        <v/>
      </c>
      <c r="M55" s="201"/>
      <c r="N55" s="199"/>
      <c r="O55" s="255">
        <v>0</v>
      </c>
      <c r="P55" s="255">
        <v>0</v>
      </c>
      <c r="Q5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5" s="255">
        <v>0</v>
      </c>
      <c r="S55" s="255">
        <v>0</v>
      </c>
      <c r="T5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5" s="255">
        <v>0</v>
      </c>
      <c r="W5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5" s="531"/>
      <c r="Y55" s="532"/>
      <c r="Z55" s="1" cm="1">
        <f t="array" ref="Z55">IF(OR(ISERROR(B55:V55)),1,0)</f>
        <v>0</v>
      </c>
      <c r="AA55" s="1">
        <f t="shared" si="1"/>
        <v>0</v>
      </c>
    </row>
    <row r="56" spans="2:27" ht="15" thickBot="1" x14ac:dyDescent="0.4">
      <c r="B56" s="98" t="s">
        <v>90</v>
      </c>
      <c r="C56" s="284">
        <v>33.15</v>
      </c>
      <c r="D56" s="99" t="s">
        <v>259</v>
      </c>
      <c r="E56" s="393" t="s">
        <v>134</v>
      </c>
      <c r="F56" s="437">
        <v>0.25</v>
      </c>
      <c r="G56" s="210"/>
      <c r="H56" s="422" t="s">
        <v>1095</v>
      </c>
      <c r="I56" s="423">
        <f>SupplyChainTier1[[#This Row],[Amount spent by product category (£)]]</f>
        <v>0</v>
      </c>
      <c r="J56" s="423" t="s">
        <v>1095</v>
      </c>
      <c r="K56" s="424">
        <v>0.21806839002664369</v>
      </c>
      <c r="L56" s="414" t="str">
        <f t="shared" si="2"/>
        <v/>
      </c>
      <c r="M56" s="201"/>
      <c r="N56" s="199"/>
      <c r="O56" s="255">
        <v>0</v>
      </c>
      <c r="P56" s="255">
        <v>0</v>
      </c>
      <c r="Q5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6" s="255">
        <v>0</v>
      </c>
      <c r="S56" s="255">
        <v>0</v>
      </c>
      <c r="T5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6" s="255">
        <v>0</v>
      </c>
      <c r="W5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6" s="531"/>
      <c r="Y56" s="532"/>
      <c r="Z56" s="1" cm="1">
        <f t="array" ref="Z56">IF(OR(ISERROR(B56:V56)),1,0)</f>
        <v>0</v>
      </c>
      <c r="AA56" s="1">
        <f t="shared" si="1"/>
        <v>0</v>
      </c>
    </row>
    <row r="57" spans="2:27" ht="15" thickBot="1" x14ac:dyDescent="0.4">
      <c r="B57" s="98" t="s">
        <v>90</v>
      </c>
      <c r="C57" s="284">
        <v>33.159999999999997</v>
      </c>
      <c r="D57" s="99" t="s">
        <v>260</v>
      </c>
      <c r="E57" s="393" t="s">
        <v>134</v>
      </c>
      <c r="F57" s="437">
        <v>0.25</v>
      </c>
      <c r="G57" s="210"/>
      <c r="H57" s="422" t="s">
        <v>1095</v>
      </c>
      <c r="I57" s="423">
        <f>SupplyChainTier1[[#This Row],[Amount spent by product category (£)]]</f>
        <v>0</v>
      </c>
      <c r="J57" s="423" t="s">
        <v>1095</v>
      </c>
      <c r="K57" s="424">
        <v>0.42931062732464192</v>
      </c>
      <c r="L57" s="414" t="str">
        <f t="shared" si="2"/>
        <v/>
      </c>
      <c r="M57" s="201"/>
      <c r="N57" s="199"/>
      <c r="O57" s="255">
        <v>0</v>
      </c>
      <c r="P57" s="255">
        <v>0</v>
      </c>
      <c r="Q5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7" s="255">
        <v>0</v>
      </c>
      <c r="S57" s="255">
        <v>0</v>
      </c>
      <c r="T5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7" s="255">
        <v>0</v>
      </c>
      <c r="W5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7" s="531"/>
      <c r="Y57" s="532"/>
      <c r="Z57" s="1" cm="1">
        <f t="array" ref="Z57">IF(OR(ISERROR(B57:V57)),1,0)</f>
        <v>0</v>
      </c>
      <c r="AA57" s="1">
        <f t="shared" si="1"/>
        <v>0</v>
      </c>
    </row>
    <row r="58" spans="2:27" ht="15" thickBot="1" x14ac:dyDescent="0.4">
      <c r="B58" s="98" t="s">
        <v>90</v>
      </c>
      <c r="C58" s="284" t="s">
        <v>261</v>
      </c>
      <c r="D58" s="464" t="s">
        <v>262</v>
      </c>
      <c r="E58" s="393" t="s">
        <v>134</v>
      </c>
      <c r="F58" s="437">
        <v>0.25</v>
      </c>
      <c r="G58" s="465"/>
      <c r="H58" s="422" t="s">
        <v>1095</v>
      </c>
      <c r="I58" s="423">
        <f>SupplyChainTier1[[#This Row],[Amount spent by product category (£)]]</f>
        <v>0</v>
      </c>
      <c r="J58" s="423" t="s">
        <v>1095</v>
      </c>
      <c r="K58" s="424">
        <v>0.18696882687485539</v>
      </c>
      <c r="L58" s="414" t="str">
        <f t="shared" si="2"/>
        <v/>
      </c>
      <c r="M58" s="201"/>
      <c r="N58" s="199"/>
      <c r="O58" s="255">
        <v>0</v>
      </c>
      <c r="P58" s="255">
        <v>0</v>
      </c>
      <c r="Q5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8" s="255">
        <v>0</v>
      </c>
      <c r="S58" s="255">
        <v>0</v>
      </c>
      <c r="T5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8" s="255">
        <v>0</v>
      </c>
      <c r="W5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8" s="531"/>
      <c r="Y58" s="532"/>
      <c r="Z58" s="1" cm="1">
        <f t="array" ref="Z58">IF(OR(ISERROR(B58:V58)),1,0)</f>
        <v>0</v>
      </c>
      <c r="AA58" s="1">
        <f t="shared" si="1"/>
        <v>0</v>
      </c>
    </row>
    <row r="59" spans="2:27" ht="26.5" thickBot="1" x14ac:dyDescent="0.4">
      <c r="B59" s="98" t="s">
        <v>91</v>
      </c>
      <c r="C59" s="469">
        <v>35.1</v>
      </c>
      <c r="D59" s="470" t="s">
        <v>263</v>
      </c>
      <c r="E59" s="393" t="s">
        <v>134</v>
      </c>
      <c r="F59" s="467">
        <v>0.25</v>
      </c>
      <c r="G59" s="468"/>
      <c r="H59" s="422" t="s">
        <v>1095</v>
      </c>
      <c r="I59" s="423">
        <f>SupplyChainTier1[[#This Row],[Amount spent by product category (£)]]</f>
        <v>0</v>
      </c>
      <c r="J59" s="423" t="s">
        <v>1095</v>
      </c>
      <c r="K59" s="424">
        <v>1.8815371821710341</v>
      </c>
      <c r="L59" s="414" t="str">
        <f t="shared" si="2"/>
        <v/>
      </c>
      <c r="M59" s="201"/>
      <c r="N59" s="199"/>
      <c r="O59" s="255">
        <v>0</v>
      </c>
      <c r="P59" s="255">
        <v>0</v>
      </c>
      <c r="Q5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9" s="255">
        <v>0</v>
      </c>
      <c r="S59" s="255">
        <v>0</v>
      </c>
      <c r="T5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9" s="255">
        <v>0</v>
      </c>
      <c r="W5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9" s="531"/>
      <c r="Y59" s="532"/>
      <c r="Z59" s="1" cm="1">
        <f t="array" ref="Z59">IF(OR(ISERROR(B59:V59)),1,0)</f>
        <v>0</v>
      </c>
      <c r="AA59" s="1">
        <f t="shared" si="1"/>
        <v>0</v>
      </c>
    </row>
    <row r="60" spans="2:27" ht="26.5" thickBot="1" x14ac:dyDescent="0.4">
      <c r="B60" s="98" t="s">
        <v>91</v>
      </c>
      <c r="C60" s="469" t="s">
        <v>264</v>
      </c>
      <c r="D60" s="470" t="s">
        <v>1043</v>
      </c>
      <c r="E60" s="393" t="s">
        <v>134</v>
      </c>
      <c r="F60" s="467">
        <v>0.25</v>
      </c>
      <c r="G60" s="468"/>
      <c r="H60" s="422" t="s">
        <v>1095</v>
      </c>
      <c r="I60" s="423">
        <f>SupplyChainTier1[[#This Row],[Amount spent by product category (£)]]</f>
        <v>0</v>
      </c>
      <c r="J60" s="423" t="s">
        <v>1095</v>
      </c>
      <c r="K60" s="424">
        <v>1.5426173808963051</v>
      </c>
      <c r="L60" s="414" t="str">
        <f t="shared" si="2"/>
        <v/>
      </c>
      <c r="M60" s="201"/>
      <c r="N60" s="199"/>
      <c r="O60" s="255">
        <v>0</v>
      </c>
      <c r="P60" s="255">
        <v>0</v>
      </c>
      <c r="Q6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0" s="255">
        <v>0</v>
      </c>
      <c r="S60" s="255">
        <v>0</v>
      </c>
      <c r="T6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0" s="255">
        <v>0</v>
      </c>
      <c r="W6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0" s="531"/>
      <c r="Y60" s="532"/>
      <c r="Z60" s="1" cm="1">
        <f t="array" ref="Z60">IF(OR(ISERROR(B60:V60)),1,0)</f>
        <v>0</v>
      </c>
      <c r="AA60" s="1">
        <f t="shared" si="1"/>
        <v>0</v>
      </c>
    </row>
    <row r="61" spans="2:27" ht="39.5" thickBot="1" x14ac:dyDescent="0.4">
      <c r="B61" s="98" t="s">
        <v>92</v>
      </c>
      <c r="C61" s="469">
        <v>36</v>
      </c>
      <c r="D61" s="470" t="s">
        <v>265</v>
      </c>
      <c r="E61" s="393" t="s">
        <v>134</v>
      </c>
      <c r="F61" s="467">
        <v>0.25</v>
      </c>
      <c r="G61" s="468"/>
      <c r="H61" s="422" t="s">
        <v>1095</v>
      </c>
      <c r="I61" s="423">
        <f>SupplyChainTier1[[#This Row],[Amount spent by product category (£)]]</f>
        <v>0</v>
      </c>
      <c r="J61" s="423" t="s">
        <v>1095</v>
      </c>
      <c r="K61" s="424">
        <v>0.2455437385220309</v>
      </c>
      <c r="L61" s="414" t="str">
        <f t="shared" si="2"/>
        <v/>
      </c>
      <c r="M61" s="201"/>
      <c r="N61" s="199"/>
      <c r="O61" s="255">
        <v>0</v>
      </c>
      <c r="P61" s="255">
        <v>0</v>
      </c>
      <c r="Q6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1" s="255">
        <v>0</v>
      </c>
      <c r="S61" s="255">
        <v>0</v>
      </c>
      <c r="T6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1" s="255">
        <v>0</v>
      </c>
      <c r="W6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1" s="531"/>
      <c r="Y61" s="532"/>
      <c r="Z61" s="1" cm="1">
        <f t="array" ref="Z61">IF(OR(ISERROR(B61:V61)),1,0)</f>
        <v>0</v>
      </c>
      <c r="AA61" s="1">
        <f t="shared" si="1"/>
        <v>0</v>
      </c>
    </row>
    <row r="62" spans="2:27" ht="39.5" thickBot="1" x14ac:dyDescent="0.4">
      <c r="B62" s="98" t="s">
        <v>92</v>
      </c>
      <c r="C62" s="469">
        <v>37</v>
      </c>
      <c r="D62" s="470" t="s">
        <v>266</v>
      </c>
      <c r="E62" s="393" t="s">
        <v>134</v>
      </c>
      <c r="F62" s="467">
        <v>0.25</v>
      </c>
      <c r="G62" s="468"/>
      <c r="H62" s="422" t="s">
        <v>1095</v>
      </c>
      <c r="I62" s="423">
        <f>SupplyChainTier1[[#This Row],[Amount spent by product category (£)]]</f>
        <v>0</v>
      </c>
      <c r="J62" s="423" t="s">
        <v>1095</v>
      </c>
      <c r="K62" s="424">
        <v>0.361124966754091</v>
      </c>
      <c r="L62" s="414" t="str">
        <f t="shared" si="2"/>
        <v/>
      </c>
      <c r="M62" s="201"/>
      <c r="N62" s="199"/>
      <c r="O62" s="255">
        <v>0</v>
      </c>
      <c r="P62" s="255">
        <v>0</v>
      </c>
      <c r="Q6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2" s="255">
        <v>0</v>
      </c>
      <c r="S62" s="255">
        <v>0</v>
      </c>
      <c r="T6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2" s="255">
        <v>0</v>
      </c>
      <c r="W6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2" s="531"/>
      <c r="Y62" s="532"/>
      <c r="Z62" s="1" cm="1">
        <f t="array" ref="Z62">IF(OR(ISERROR(B62:V62)),1,0)</f>
        <v>0</v>
      </c>
      <c r="AA62" s="1">
        <f t="shared" si="1"/>
        <v>0</v>
      </c>
    </row>
    <row r="63" spans="2:27" ht="39.5" thickBot="1" x14ac:dyDescent="0.4">
      <c r="B63" s="98" t="s">
        <v>92</v>
      </c>
      <c r="C63" s="469">
        <v>38</v>
      </c>
      <c r="D63" s="470" t="s">
        <v>267</v>
      </c>
      <c r="E63" s="393" t="s">
        <v>134</v>
      </c>
      <c r="F63" s="467">
        <v>0.25</v>
      </c>
      <c r="G63" s="468"/>
      <c r="H63" s="422" t="s">
        <v>1095</v>
      </c>
      <c r="I63" s="423">
        <f>SupplyChainTier1[[#This Row],[Amount spent by product category (£)]]</f>
        <v>0</v>
      </c>
      <c r="J63" s="423" t="s">
        <v>1095</v>
      </c>
      <c r="K63" s="424">
        <v>1.2566528696390891</v>
      </c>
      <c r="L63" s="414" t="str">
        <f t="shared" si="2"/>
        <v/>
      </c>
      <c r="M63" s="201"/>
      <c r="N63" s="199"/>
      <c r="O63" s="255">
        <v>0</v>
      </c>
      <c r="P63" s="255">
        <v>0</v>
      </c>
      <c r="Q6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3" s="255">
        <v>0</v>
      </c>
      <c r="S63" s="255">
        <v>0</v>
      </c>
      <c r="T6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3" s="255">
        <v>0</v>
      </c>
      <c r="W6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3" s="531"/>
      <c r="Y63" s="532"/>
      <c r="Z63" s="1" cm="1">
        <f t="array" ref="Z63">IF(OR(ISERROR(B63:V63)),1,0)</f>
        <v>0</v>
      </c>
      <c r="AA63" s="1">
        <f t="shared" si="1"/>
        <v>0</v>
      </c>
    </row>
    <row r="64" spans="2:27" ht="39.5" thickBot="1" x14ac:dyDescent="0.4">
      <c r="B64" s="98" t="s">
        <v>92</v>
      </c>
      <c r="C64" s="284">
        <v>39</v>
      </c>
      <c r="D64" s="99" t="s">
        <v>268</v>
      </c>
      <c r="E64" s="393" t="s">
        <v>134</v>
      </c>
      <c r="F64" s="437">
        <v>0.25</v>
      </c>
      <c r="G64" s="466"/>
      <c r="H64" s="422" t="s">
        <v>1095</v>
      </c>
      <c r="I64" s="423">
        <f>SupplyChainTier1[[#This Row],[Amount spent by product category (£)]]</f>
        <v>0</v>
      </c>
      <c r="J64" s="423" t="s">
        <v>1095</v>
      </c>
      <c r="K64" s="424">
        <v>3.4574510993680598</v>
      </c>
      <c r="L64" s="414" t="str">
        <f t="shared" si="2"/>
        <v/>
      </c>
      <c r="M64" s="201"/>
      <c r="N64" s="199"/>
      <c r="O64" s="255">
        <v>0</v>
      </c>
      <c r="P64" s="255">
        <v>0</v>
      </c>
      <c r="Q6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4" s="255">
        <v>0</v>
      </c>
      <c r="S64" s="255">
        <v>0</v>
      </c>
      <c r="T6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4" s="255">
        <v>0</v>
      </c>
      <c r="W6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4" s="531"/>
      <c r="Y64" s="532"/>
      <c r="Z64" s="1" cm="1">
        <f t="array" ref="Z64">IF(OR(ISERROR(B64:V64)),1,0)</f>
        <v>0</v>
      </c>
      <c r="AA64" s="1">
        <f t="shared" si="1"/>
        <v>0</v>
      </c>
    </row>
    <row r="65" spans="2:27" ht="15" thickBot="1" x14ac:dyDescent="0.4">
      <c r="B65" s="98" t="s">
        <v>93</v>
      </c>
      <c r="C65" s="284">
        <v>41.2</v>
      </c>
      <c r="D65" s="99" t="s">
        <v>1044</v>
      </c>
      <c r="E65" s="393" t="s">
        <v>134</v>
      </c>
      <c r="F65" s="437">
        <v>0.25</v>
      </c>
      <c r="G65" s="210"/>
      <c r="H65" s="422" t="s">
        <v>1095</v>
      </c>
      <c r="I65" s="423">
        <f>SupplyChainTier1[[#This Row],[Amount spent by product category (£)]]</f>
        <v>0</v>
      </c>
      <c r="J65" s="423" t="s">
        <v>1095</v>
      </c>
      <c r="K65" s="424">
        <v>0.30500636264243469</v>
      </c>
      <c r="L65" s="414" t="str">
        <f t="shared" si="2"/>
        <v/>
      </c>
      <c r="M65" s="201"/>
      <c r="N65" s="199"/>
      <c r="O65" s="255">
        <v>0</v>
      </c>
      <c r="P65" s="255">
        <v>0</v>
      </c>
      <c r="Q6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5" s="255">
        <v>0</v>
      </c>
      <c r="S65" s="255">
        <v>0</v>
      </c>
      <c r="T6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5" s="255">
        <v>0</v>
      </c>
      <c r="W6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5" s="531"/>
      <c r="Y65" s="532"/>
      <c r="Z65" s="1" cm="1">
        <f t="array" ref="Z65">IF(OR(ISERROR(B65:V65)),1,0)</f>
        <v>0</v>
      </c>
      <c r="AA65" s="1">
        <f t="shared" si="1"/>
        <v>0</v>
      </c>
    </row>
    <row r="66" spans="2:27" ht="26.5" thickBot="1" x14ac:dyDescent="0.4">
      <c r="B66" s="98" t="s">
        <v>93</v>
      </c>
      <c r="C66" s="284" t="s">
        <v>1058</v>
      </c>
      <c r="D66" s="99" t="s">
        <v>1045</v>
      </c>
      <c r="E66" s="393" t="s">
        <v>134</v>
      </c>
      <c r="F66" s="437">
        <v>0.25</v>
      </c>
      <c r="G66" s="210"/>
      <c r="H66" s="422" t="s">
        <v>1095</v>
      </c>
      <c r="I66" s="423">
        <f>SupplyChainTier1[[#This Row],[Amount spent by product category (£)]]</f>
        <v>0</v>
      </c>
      <c r="J66" s="423" t="s">
        <v>1095</v>
      </c>
      <c r="K66" s="424">
        <v>0.38802246325570439</v>
      </c>
      <c r="L66" s="414" t="str">
        <f t="shared" si="2"/>
        <v/>
      </c>
      <c r="M66" s="201"/>
      <c r="N66" s="199"/>
      <c r="O66" s="255">
        <v>0</v>
      </c>
      <c r="P66" s="255">
        <v>0</v>
      </c>
      <c r="Q6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6" s="255">
        <v>0</v>
      </c>
      <c r="S66" s="255">
        <v>0</v>
      </c>
      <c r="T6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6" s="255">
        <v>0</v>
      </c>
      <c r="W6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6" s="531"/>
      <c r="Y66" s="532"/>
      <c r="Z66" s="1" cm="1">
        <f t="array" ref="Z66">IF(OR(ISERROR(B66:V66)),1,0)</f>
        <v>0</v>
      </c>
      <c r="AA66" s="1">
        <f t="shared" si="1"/>
        <v>0</v>
      </c>
    </row>
    <row r="67" spans="2:27" ht="15" thickBot="1" x14ac:dyDescent="0.4">
      <c r="B67" s="98" t="s">
        <v>93</v>
      </c>
      <c r="C67" s="284">
        <v>42.99</v>
      </c>
      <c r="D67" s="99" t="s">
        <v>1046</v>
      </c>
      <c r="E67" s="393" t="s">
        <v>134</v>
      </c>
      <c r="F67" s="437">
        <v>0.25</v>
      </c>
      <c r="G67" s="210"/>
      <c r="H67" s="422" t="s">
        <v>1095</v>
      </c>
      <c r="I67" s="423">
        <f>SupplyChainTier1[[#This Row],[Amount spent by product category (£)]]</f>
        <v>0</v>
      </c>
      <c r="J67" s="423" t="s">
        <v>1095</v>
      </c>
      <c r="K67" s="424">
        <v>0.31026786628535008</v>
      </c>
      <c r="L67" s="414" t="str">
        <f t="shared" si="2"/>
        <v/>
      </c>
      <c r="M67" s="201"/>
      <c r="N67" s="199"/>
      <c r="O67" s="255">
        <v>0</v>
      </c>
      <c r="P67" s="255">
        <v>0</v>
      </c>
      <c r="Q6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7" s="255">
        <v>0</v>
      </c>
      <c r="S67" s="255">
        <v>0</v>
      </c>
      <c r="T6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7" s="255">
        <v>0</v>
      </c>
      <c r="W6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7" s="531"/>
      <c r="Y67" s="532"/>
      <c r="Z67" s="1" cm="1">
        <f t="array" ref="Z67">IF(OR(ISERROR(B67:V67)),1,0)</f>
        <v>0</v>
      </c>
      <c r="AA67" s="1">
        <f t="shared" si="1"/>
        <v>0</v>
      </c>
    </row>
    <row r="68" spans="2:27" ht="26.5" thickBot="1" x14ac:dyDescent="0.4">
      <c r="B68" s="279" t="s">
        <v>94</v>
      </c>
      <c r="C68" s="284">
        <v>45</v>
      </c>
      <c r="D68" s="99" t="s">
        <v>269</v>
      </c>
      <c r="E68" s="393" t="s">
        <v>134</v>
      </c>
      <c r="F68" s="437">
        <v>0.25</v>
      </c>
      <c r="G68" s="210"/>
      <c r="H68" s="422" t="s">
        <v>1095</v>
      </c>
      <c r="I68" s="423">
        <f>SupplyChainTier1[[#This Row],[Amount spent by product category (£)]]</f>
        <v>0</v>
      </c>
      <c r="J68" s="423" t="s">
        <v>1095</v>
      </c>
      <c r="K68" s="424">
        <v>0.21034629699726889</v>
      </c>
      <c r="L68" s="414" t="str">
        <f t="shared" si="2"/>
        <v/>
      </c>
      <c r="M68" s="201"/>
      <c r="N68" s="199"/>
      <c r="O68" s="255">
        <v>0</v>
      </c>
      <c r="P68" s="255">
        <v>0</v>
      </c>
      <c r="Q6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8" s="255">
        <v>0</v>
      </c>
      <c r="S68" s="255">
        <v>0</v>
      </c>
      <c r="T6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8" s="255">
        <v>0</v>
      </c>
      <c r="W6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8" s="531"/>
      <c r="Y68" s="532"/>
      <c r="Z68" s="1" cm="1">
        <f t="array" ref="Z68">IF(OR(ISERROR(B68:V68)),1,0)</f>
        <v>0</v>
      </c>
      <c r="AA68" s="1">
        <f t="shared" si="1"/>
        <v>0</v>
      </c>
    </row>
    <row r="69" spans="2:27" ht="26.5" thickBot="1" x14ac:dyDescent="0.4">
      <c r="B69" s="279" t="s">
        <v>94</v>
      </c>
      <c r="C69" s="284">
        <v>46</v>
      </c>
      <c r="D69" s="99" t="s">
        <v>270</v>
      </c>
      <c r="E69" s="393" t="s">
        <v>134</v>
      </c>
      <c r="F69" s="437">
        <v>0.25</v>
      </c>
      <c r="G69" s="210"/>
      <c r="H69" s="422" t="s">
        <v>1095</v>
      </c>
      <c r="I69" s="423">
        <f>SupplyChainTier1[[#This Row],[Amount spent by product category (£)]]</f>
        <v>0</v>
      </c>
      <c r="J69" s="423" t="s">
        <v>1095</v>
      </c>
      <c r="K69" s="424">
        <v>2.0310031510736858E-2</v>
      </c>
      <c r="L69" s="414" t="str">
        <f t="shared" si="2"/>
        <v/>
      </c>
      <c r="M69" s="201"/>
      <c r="N69" s="199"/>
      <c r="O69" s="255">
        <v>0</v>
      </c>
      <c r="P69" s="255">
        <v>0</v>
      </c>
      <c r="Q6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9" s="255">
        <v>0</v>
      </c>
      <c r="S69" s="255">
        <v>0</v>
      </c>
      <c r="T6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9" s="255">
        <v>0</v>
      </c>
      <c r="W6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9" s="531"/>
      <c r="Y69" s="532"/>
      <c r="Z69" s="1" cm="1">
        <f t="array" ref="Z69">IF(OR(ISERROR(B69:V69)),1,0)</f>
        <v>0</v>
      </c>
      <c r="AA69" s="1">
        <f t="shared" si="1"/>
        <v>0</v>
      </c>
    </row>
    <row r="70" spans="2:27" ht="26.5" thickBot="1" x14ac:dyDescent="0.4">
      <c r="B70" s="279" t="s">
        <v>94</v>
      </c>
      <c r="C70" s="284">
        <v>47</v>
      </c>
      <c r="D70" s="464" t="s">
        <v>271</v>
      </c>
      <c r="E70" s="393" t="s">
        <v>134</v>
      </c>
      <c r="F70" s="437">
        <v>0.25</v>
      </c>
      <c r="G70" s="465"/>
      <c r="H70" s="422" t="s">
        <v>1095</v>
      </c>
      <c r="I70" s="423">
        <f>SupplyChainTier1[[#This Row],[Amount spent by product category (£)]]</f>
        <v>0</v>
      </c>
      <c r="J70" s="423" t="s">
        <v>1095</v>
      </c>
      <c r="K70" s="424">
        <v>0.17404287306456559</v>
      </c>
      <c r="L70" s="414" t="str">
        <f t="shared" si="2"/>
        <v/>
      </c>
      <c r="M70" s="201"/>
      <c r="N70" s="199"/>
      <c r="O70" s="255">
        <v>0</v>
      </c>
      <c r="P70" s="255">
        <v>0</v>
      </c>
      <c r="Q7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0" s="255">
        <v>0</v>
      </c>
      <c r="S70" s="255">
        <v>0</v>
      </c>
      <c r="T7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0" s="255">
        <v>0</v>
      </c>
      <c r="W7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0" s="531"/>
      <c r="Y70" s="532"/>
      <c r="Z70" s="1" cm="1">
        <f t="array" ref="Z70">IF(OR(ISERROR(B70:V70)),1,0)</f>
        <v>0</v>
      </c>
      <c r="AA70" s="1">
        <f t="shared" si="1"/>
        <v>0</v>
      </c>
    </row>
    <row r="71" spans="2:27" ht="15" thickBot="1" x14ac:dyDescent="0.4">
      <c r="B71" s="279" t="s">
        <v>95</v>
      </c>
      <c r="C71" s="469" t="s">
        <v>272</v>
      </c>
      <c r="D71" s="470" t="s">
        <v>1047</v>
      </c>
      <c r="E71" s="393" t="s">
        <v>134</v>
      </c>
      <c r="F71" s="467">
        <v>0.25</v>
      </c>
      <c r="G71" s="468"/>
      <c r="H71" s="422" t="s">
        <v>1095</v>
      </c>
      <c r="I71" s="423">
        <f>SupplyChainTier1[[#This Row],[Amount spent by product category (£)]]</f>
        <v>0</v>
      </c>
      <c r="J71" s="423" t="s">
        <v>1095</v>
      </c>
      <c r="K71" s="424">
        <v>0.74604366861634519</v>
      </c>
      <c r="L71" s="414" t="str">
        <f t="shared" si="2"/>
        <v/>
      </c>
      <c r="M71" s="201"/>
      <c r="N71" s="199"/>
      <c r="O71" s="255">
        <v>0</v>
      </c>
      <c r="P71" s="255">
        <v>0</v>
      </c>
      <c r="Q7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1" s="255">
        <v>0</v>
      </c>
      <c r="S71" s="255">
        <v>0</v>
      </c>
      <c r="T7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1" s="255">
        <v>0</v>
      </c>
      <c r="W7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1" s="531"/>
      <c r="Y71" s="532"/>
      <c r="Z71" s="1" cm="1">
        <f t="array" ref="Z71">IF(OR(ISERROR(B71:V71)),1,0)</f>
        <v>0</v>
      </c>
      <c r="AA71" s="1">
        <f t="shared" si="1"/>
        <v>0</v>
      </c>
    </row>
    <row r="72" spans="2:27" ht="26.5" thickBot="1" x14ac:dyDescent="0.4">
      <c r="B72" s="279" t="s">
        <v>95</v>
      </c>
      <c r="C72" s="469" t="s">
        <v>273</v>
      </c>
      <c r="D72" s="470" t="s">
        <v>1048</v>
      </c>
      <c r="E72" s="393" t="s">
        <v>134</v>
      </c>
      <c r="F72" s="467">
        <v>0.25</v>
      </c>
      <c r="G72" s="468"/>
      <c r="H72" s="422" t="s">
        <v>1095</v>
      </c>
      <c r="I72" s="423">
        <f>SupplyChainTier1[[#This Row],[Amount spent by product category (£)]]</f>
        <v>0</v>
      </c>
      <c r="J72" s="423" t="s">
        <v>1095</v>
      </c>
      <c r="K72" s="424">
        <v>0.60315703544097854</v>
      </c>
      <c r="L72" s="414" t="str">
        <f t="shared" ref="L72:L103" si="3">IF(ISBLANK(G72),"",G72*K72)</f>
        <v/>
      </c>
      <c r="M72" s="201"/>
      <c r="N72" s="199"/>
      <c r="O72" s="255">
        <v>0</v>
      </c>
      <c r="P72" s="255">
        <v>0</v>
      </c>
      <c r="Q7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2" s="255">
        <v>0</v>
      </c>
      <c r="S72" s="255">
        <v>0</v>
      </c>
      <c r="T7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2" s="255">
        <v>0</v>
      </c>
      <c r="W7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2" s="531"/>
      <c r="Y72" s="532"/>
      <c r="Z72" s="1" cm="1">
        <f t="array" ref="Z72">IF(OR(ISERROR(B72:V72)),1,0)</f>
        <v>0</v>
      </c>
      <c r="AA72" s="1">
        <f t="shared" si="1"/>
        <v>0</v>
      </c>
    </row>
    <row r="73" spans="2:27" ht="15" thickBot="1" x14ac:dyDescent="0.4">
      <c r="B73" s="279" t="s">
        <v>95</v>
      </c>
      <c r="C73" s="469">
        <v>50</v>
      </c>
      <c r="D73" s="470" t="s">
        <v>1049</v>
      </c>
      <c r="E73" s="393" t="s">
        <v>134</v>
      </c>
      <c r="F73" s="467">
        <v>0.25</v>
      </c>
      <c r="G73" s="468"/>
      <c r="H73" s="422" t="s">
        <v>1095</v>
      </c>
      <c r="I73" s="423">
        <f>SupplyChainTier1[[#This Row],[Amount spent by product category (£)]]</f>
        <v>0</v>
      </c>
      <c r="J73" s="423" t="s">
        <v>1095</v>
      </c>
      <c r="K73" s="424">
        <v>2.3546065430913399</v>
      </c>
      <c r="L73" s="414" t="str">
        <f t="shared" si="3"/>
        <v/>
      </c>
      <c r="M73" s="201"/>
      <c r="N73" s="199"/>
      <c r="O73" s="255">
        <v>0</v>
      </c>
      <c r="P73" s="255">
        <v>0</v>
      </c>
      <c r="Q7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3" s="255">
        <v>0</v>
      </c>
      <c r="S73" s="255">
        <v>0</v>
      </c>
      <c r="T7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3" s="255">
        <v>0</v>
      </c>
      <c r="W7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3" s="531"/>
      <c r="Y73" s="532"/>
      <c r="Z73" s="1" cm="1">
        <f t="array" ref="Z73">IF(OR(ISERROR(B73:V73)),1,0)</f>
        <v>0</v>
      </c>
      <c r="AA73" s="1">
        <f t="shared" ref="AA73:AA117" si="4">IF(AND(G73=""),0,1)</f>
        <v>0</v>
      </c>
    </row>
    <row r="74" spans="2:27" ht="15" thickBot="1" x14ac:dyDescent="0.4">
      <c r="B74" s="279" t="s">
        <v>95</v>
      </c>
      <c r="C74" s="469">
        <v>51</v>
      </c>
      <c r="D74" s="470" t="s">
        <v>1050</v>
      </c>
      <c r="E74" s="393" t="s">
        <v>134</v>
      </c>
      <c r="F74" s="467">
        <v>0.25</v>
      </c>
      <c r="G74" s="468"/>
      <c r="H74" s="422" t="s">
        <v>1095</v>
      </c>
      <c r="I74" s="423">
        <f>SupplyChainTier1[[#This Row],[Amount spent by product category (£)]]</f>
        <v>0</v>
      </c>
      <c r="J74" s="423" t="s">
        <v>1095</v>
      </c>
      <c r="K74" s="424">
        <v>1.5221593560185971</v>
      </c>
      <c r="L74" s="414" t="str">
        <f t="shared" si="3"/>
        <v/>
      </c>
      <c r="M74" s="201"/>
      <c r="N74" s="199"/>
      <c r="O74" s="255">
        <v>0</v>
      </c>
      <c r="P74" s="255">
        <v>0</v>
      </c>
      <c r="Q7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4" s="255">
        <v>0</v>
      </c>
      <c r="S74" s="255">
        <v>0</v>
      </c>
      <c r="T7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4" s="255">
        <v>0</v>
      </c>
      <c r="W7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4" s="531"/>
      <c r="Y74" s="532"/>
      <c r="Z74" s="1" cm="1">
        <f t="array" ref="Z74">IF(OR(ISERROR(B74:V74)),1,0)</f>
        <v>0</v>
      </c>
      <c r="AA74" s="1">
        <f t="shared" si="4"/>
        <v>0</v>
      </c>
    </row>
    <row r="75" spans="2:27" ht="26.5" thickBot="1" x14ac:dyDescent="0.4">
      <c r="B75" s="279" t="s">
        <v>95</v>
      </c>
      <c r="C75" s="284">
        <v>52</v>
      </c>
      <c r="D75" s="99" t="s">
        <v>274</v>
      </c>
      <c r="E75" s="393" t="s">
        <v>134</v>
      </c>
      <c r="F75" s="437">
        <v>0.25</v>
      </c>
      <c r="G75" s="466"/>
      <c r="H75" s="422" t="s">
        <v>1095</v>
      </c>
      <c r="I75" s="423">
        <f>SupplyChainTier1[[#This Row],[Amount spent by product category (£)]]</f>
        <v>0</v>
      </c>
      <c r="J75" s="423" t="s">
        <v>1095</v>
      </c>
      <c r="K75" s="424">
        <v>0.24376795453982661</v>
      </c>
      <c r="L75" s="414" t="str">
        <f t="shared" si="3"/>
        <v/>
      </c>
      <c r="M75" s="201"/>
      <c r="N75" s="199"/>
      <c r="O75" s="255">
        <v>0</v>
      </c>
      <c r="P75" s="255">
        <v>0</v>
      </c>
      <c r="Q7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5" s="255">
        <v>0</v>
      </c>
      <c r="S75" s="255">
        <v>0</v>
      </c>
      <c r="T7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5" s="255">
        <v>0</v>
      </c>
      <c r="W7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5" s="531"/>
      <c r="Y75" s="532"/>
      <c r="Z75" s="1" cm="1">
        <f t="array" ref="Z75">IF(OR(ISERROR(B75:V75)),1,0)</f>
        <v>0</v>
      </c>
      <c r="AA75" s="1">
        <f t="shared" si="4"/>
        <v>0</v>
      </c>
    </row>
    <row r="76" spans="2:27" ht="15" thickBot="1" x14ac:dyDescent="0.4">
      <c r="B76" s="279" t="s">
        <v>95</v>
      </c>
      <c r="C76" s="284">
        <v>53</v>
      </c>
      <c r="D76" s="99" t="s">
        <v>275</v>
      </c>
      <c r="E76" s="393" t="s">
        <v>134</v>
      </c>
      <c r="F76" s="437">
        <v>0.25</v>
      </c>
      <c r="G76" s="210"/>
      <c r="H76" s="422" t="s">
        <v>1095</v>
      </c>
      <c r="I76" s="423">
        <f>SupplyChainTier1[[#This Row],[Amount spent by product category (£)]]</f>
        <v>0</v>
      </c>
      <c r="J76" s="423" t="s">
        <v>1095</v>
      </c>
      <c r="K76" s="424">
        <v>0.24937981289031211</v>
      </c>
      <c r="L76" s="414" t="str">
        <f t="shared" si="3"/>
        <v/>
      </c>
      <c r="M76" s="201"/>
      <c r="N76" s="199"/>
      <c r="O76" s="255">
        <v>0</v>
      </c>
      <c r="P76" s="255">
        <v>0</v>
      </c>
      <c r="Q7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6" s="255">
        <v>0</v>
      </c>
      <c r="S76" s="255">
        <v>0</v>
      </c>
      <c r="T7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6" s="255">
        <v>0</v>
      </c>
      <c r="W7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6" s="531"/>
      <c r="Y76" s="532"/>
      <c r="Z76" s="1" cm="1">
        <f t="array" ref="Z76">IF(OR(ISERROR(B76:V76)),1,0)</f>
        <v>0</v>
      </c>
      <c r="AA76" s="1">
        <f t="shared" si="4"/>
        <v>0</v>
      </c>
    </row>
    <row r="77" spans="2:27" ht="26.5" thickBot="1" x14ac:dyDescent="0.4">
      <c r="B77" s="279" t="s">
        <v>96</v>
      </c>
      <c r="C77" s="284">
        <v>55</v>
      </c>
      <c r="D77" s="99" t="s">
        <v>276</v>
      </c>
      <c r="E77" s="393" t="s">
        <v>134</v>
      </c>
      <c r="F77" s="437">
        <v>0.25</v>
      </c>
      <c r="G77" s="210"/>
      <c r="H77" s="422" t="s">
        <v>1095</v>
      </c>
      <c r="I77" s="423">
        <f>SupplyChainTier1[[#This Row],[Amount spent by product category (£)]]</f>
        <v>0</v>
      </c>
      <c r="J77" s="423" t="s">
        <v>1095</v>
      </c>
      <c r="K77" s="424">
        <v>0.32444602703376968</v>
      </c>
      <c r="L77" s="414" t="str">
        <f t="shared" si="3"/>
        <v/>
      </c>
      <c r="M77" s="201"/>
      <c r="N77" s="199"/>
      <c r="O77" s="255">
        <v>0</v>
      </c>
      <c r="P77" s="255">
        <v>0</v>
      </c>
      <c r="Q7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7" s="255">
        <v>0</v>
      </c>
      <c r="S77" s="255">
        <v>0</v>
      </c>
      <c r="T7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7" s="255">
        <v>0</v>
      </c>
      <c r="W7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7" s="531"/>
      <c r="Y77" s="532"/>
      <c r="Z77" s="1" cm="1">
        <f t="array" ref="Z77">IF(OR(ISERROR(B77:V77)),1,0)</f>
        <v>0</v>
      </c>
      <c r="AA77" s="1">
        <f t="shared" si="4"/>
        <v>0</v>
      </c>
    </row>
    <row r="78" spans="2:27" ht="26.5" thickBot="1" x14ac:dyDescent="0.4">
      <c r="B78" s="279" t="s">
        <v>96</v>
      </c>
      <c r="C78" s="284">
        <v>56</v>
      </c>
      <c r="D78" s="99" t="s">
        <v>277</v>
      </c>
      <c r="E78" s="393" t="s">
        <v>134</v>
      </c>
      <c r="F78" s="437">
        <v>0.25</v>
      </c>
      <c r="G78" s="210"/>
      <c r="H78" s="422" t="s">
        <v>1095</v>
      </c>
      <c r="I78" s="423">
        <f>SupplyChainTier1[[#This Row],[Amount spent by product category (£)]]</f>
        <v>0</v>
      </c>
      <c r="J78" s="423" t="s">
        <v>1095</v>
      </c>
      <c r="K78" s="424">
        <v>0.28886167518608219</v>
      </c>
      <c r="L78" s="414" t="str">
        <f t="shared" si="3"/>
        <v/>
      </c>
      <c r="M78" s="201"/>
      <c r="N78" s="199"/>
      <c r="O78" s="255">
        <v>0</v>
      </c>
      <c r="P78" s="255">
        <v>0</v>
      </c>
      <c r="Q7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8" s="255">
        <v>0</v>
      </c>
      <c r="S78" s="255">
        <v>0</v>
      </c>
      <c r="T7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8" s="255">
        <v>0</v>
      </c>
      <c r="W7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8" s="531"/>
      <c r="Y78" s="532"/>
      <c r="Z78" s="1" cm="1">
        <f t="array" ref="Z78">IF(OR(ISERROR(B78:V78)),1,0)</f>
        <v>0</v>
      </c>
      <c r="AA78" s="1">
        <f t="shared" si="4"/>
        <v>0</v>
      </c>
    </row>
    <row r="79" spans="2:27" ht="15" thickBot="1" x14ac:dyDescent="0.4">
      <c r="B79" s="279" t="s">
        <v>97</v>
      </c>
      <c r="C79" s="284">
        <v>58</v>
      </c>
      <c r="D79" s="99" t="s">
        <v>278</v>
      </c>
      <c r="E79" s="393" t="s">
        <v>134</v>
      </c>
      <c r="F79" s="437">
        <v>0.25</v>
      </c>
      <c r="G79" s="210"/>
      <c r="H79" s="422" t="s">
        <v>1095</v>
      </c>
      <c r="I79" s="423">
        <f>SupplyChainTier1[[#This Row],[Amount spent by product category (£)]]</f>
        <v>0</v>
      </c>
      <c r="J79" s="423" t="s">
        <v>1095</v>
      </c>
      <c r="K79" s="424">
        <v>8.0219457227851232E-2</v>
      </c>
      <c r="L79" s="414" t="str">
        <f t="shared" si="3"/>
        <v/>
      </c>
      <c r="M79" s="201"/>
      <c r="N79" s="199"/>
      <c r="O79" s="255">
        <v>0</v>
      </c>
      <c r="P79" s="255">
        <v>0</v>
      </c>
      <c r="Q7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9" s="255">
        <v>0</v>
      </c>
      <c r="S79" s="255">
        <v>0</v>
      </c>
      <c r="T7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9" s="255">
        <v>0</v>
      </c>
      <c r="W7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9" s="531"/>
      <c r="Y79" s="532"/>
      <c r="Z79" s="1" cm="1">
        <f t="array" ref="Z79">IF(OR(ISERROR(B79:V79)),1,0)</f>
        <v>0</v>
      </c>
      <c r="AA79" s="1">
        <f t="shared" si="4"/>
        <v>0</v>
      </c>
    </row>
    <row r="80" spans="2:27" ht="39.5" thickBot="1" x14ac:dyDescent="0.4">
      <c r="B80" s="279" t="s">
        <v>97</v>
      </c>
      <c r="C80" s="284">
        <v>59</v>
      </c>
      <c r="D80" s="99" t="s">
        <v>1051</v>
      </c>
      <c r="E80" s="393" t="s">
        <v>134</v>
      </c>
      <c r="F80" s="437">
        <v>0.25</v>
      </c>
      <c r="G80" s="210"/>
      <c r="H80" s="422" t="s">
        <v>1095</v>
      </c>
      <c r="I80" s="423">
        <f>SupplyChainTier1[[#This Row],[Amount spent by product category (£)]]</f>
        <v>0</v>
      </c>
      <c r="J80" s="423" t="s">
        <v>1095</v>
      </c>
      <c r="K80" s="424">
        <v>0.1101389562964399</v>
      </c>
      <c r="L80" s="414" t="str">
        <f t="shared" si="3"/>
        <v/>
      </c>
      <c r="M80" s="201"/>
      <c r="N80" s="199"/>
      <c r="O80" s="255">
        <v>0</v>
      </c>
      <c r="P80" s="255">
        <v>0</v>
      </c>
      <c r="Q8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0" s="255">
        <v>0</v>
      </c>
      <c r="S80" s="255">
        <v>0</v>
      </c>
      <c r="T8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0" s="255">
        <v>0</v>
      </c>
      <c r="W8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0" s="531"/>
      <c r="Y80" s="532"/>
      <c r="Z80" s="1" cm="1">
        <f t="array" ref="Z80">IF(OR(ISERROR(B80:V80)),1,0)</f>
        <v>0</v>
      </c>
      <c r="AA80" s="1">
        <f t="shared" si="4"/>
        <v>0</v>
      </c>
    </row>
    <row r="81" spans="2:27" ht="15" thickBot="1" x14ac:dyDescent="0.4">
      <c r="B81" s="279" t="s">
        <v>97</v>
      </c>
      <c r="C81" s="284">
        <v>60</v>
      </c>
      <c r="D81" s="99" t="s">
        <v>1052</v>
      </c>
      <c r="E81" s="393" t="s">
        <v>134</v>
      </c>
      <c r="F81" s="437">
        <v>0.25</v>
      </c>
      <c r="G81" s="210"/>
      <c r="H81" s="422" t="s">
        <v>1095</v>
      </c>
      <c r="I81" s="423">
        <f>SupplyChainTier1[[#This Row],[Amount spent by product category (£)]]</f>
        <v>0</v>
      </c>
      <c r="J81" s="423" t="s">
        <v>1095</v>
      </c>
      <c r="K81" s="424">
        <v>0.11919581648223911</v>
      </c>
      <c r="L81" s="414" t="str">
        <f t="shared" si="3"/>
        <v/>
      </c>
      <c r="M81" s="201"/>
      <c r="N81" s="199"/>
      <c r="O81" s="255">
        <v>0</v>
      </c>
      <c r="P81" s="255">
        <v>0</v>
      </c>
      <c r="Q8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1" s="255">
        <v>0</v>
      </c>
      <c r="S81" s="255">
        <v>0</v>
      </c>
      <c r="T8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1" s="255">
        <v>0</v>
      </c>
      <c r="W8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1" s="531"/>
      <c r="Y81" s="532"/>
      <c r="Z81" s="1" cm="1">
        <f t="array" ref="Z81">IF(OR(ISERROR(B81:V81)),1,0)</f>
        <v>0</v>
      </c>
      <c r="AA81" s="1">
        <f t="shared" si="4"/>
        <v>0</v>
      </c>
    </row>
    <row r="82" spans="2:27" ht="15" thickBot="1" x14ac:dyDescent="0.4">
      <c r="B82" s="279" t="s">
        <v>97</v>
      </c>
      <c r="C82" s="284">
        <v>61</v>
      </c>
      <c r="D82" s="99" t="s">
        <v>279</v>
      </c>
      <c r="E82" s="393" t="s">
        <v>134</v>
      </c>
      <c r="F82" s="437">
        <v>0.25</v>
      </c>
      <c r="G82" s="210"/>
      <c r="H82" s="422" t="s">
        <v>1095</v>
      </c>
      <c r="I82" s="423">
        <f>SupplyChainTier1[[#This Row],[Amount spent by product category (£)]]</f>
        <v>0</v>
      </c>
      <c r="J82" s="423" t="s">
        <v>1095</v>
      </c>
      <c r="K82" s="424">
        <v>0.10520703191029331</v>
      </c>
      <c r="L82" s="414" t="str">
        <f t="shared" si="3"/>
        <v/>
      </c>
      <c r="M82" s="201"/>
      <c r="N82" s="199"/>
      <c r="O82" s="255">
        <v>0</v>
      </c>
      <c r="P82" s="255">
        <v>0</v>
      </c>
      <c r="Q8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2" s="255">
        <v>0</v>
      </c>
      <c r="S82" s="255">
        <v>0</v>
      </c>
      <c r="T8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2" s="255">
        <v>0</v>
      </c>
      <c r="W8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2" s="531"/>
      <c r="Y82" s="532"/>
      <c r="Z82" s="1" cm="1">
        <f t="array" ref="Z82">IF(OR(ISERROR(B82:V82)),1,0)</f>
        <v>0</v>
      </c>
      <c r="AA82" s="1">
        <f t="shared" si="4"/>
        <v>0</v>
      </c>
    </row>
    <row r="83" spans="2:27" ht="26.5" thickBot="1" x14ac:dyDescent="0.4">
      <c r="B83" s="279" t="s">
        <v>97</v>
      </c>
      <c r="C83" s="284">
        <v>62</v>
      </c>
      <c r="D83" s="99" t="s">
        <v>280</v>
      </c>
      <c r="E83" s="393" t="s">
        <v>134</v>
      </c>
      <c r="F83" s="437">
        <v>0.25</v>
      </c>
      <c r="G83" s="210"/>
      <c r="H83" s="422" t="s">
        <v>1095</v>
      </c>
      <c r="I83" s="423">
        <f>SupplyChainTier1[[#This Row],[Amount spent by product category (£)]]</f>
        <v>0</v>
      </c>
      <c r="J83" s="423" t="s">
        <v>1095</v>
      </c>
      <c r="K83" s="424">
        <v>0.13144659704407699</v>
      </c>
      <c r="L83" s="414" t="str">
        <f t="shared" si="3"/>
        <v/>
      </c>
      <c r="M83" s="201"/>
      <c r="N83" s="199"/>
      <c r="O83" s="255">
        <v>0</v>
      </c>
      <c r="P83" s="255">
        <v>0</v>
      </c>
      <c r="Q8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3" s="255">
        <v>0</v>
      </c>
      <c r="S83" s="255">
        <v>0</v>
      </c>
      <c r="T8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3" s="255">
        <v>0</v>
      </c>
      <c r="W8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3" s="531"/>
      <c r="Y83" s="532"/>
      <c r="Z83" s="1" cm="1">
        <f t="array" ref="Z83">IF(OR(ISERROR(B83:V83)),1,0)</f>
        <v>0</v>
      </c>
      <c r="AA83" s="1">
        <f t="shared" si="4"/>
        <v>0</v>
      </c>
    </row>
    <row r="84" spans="2:27" ht="15" thickBot="1" x14ac:dyDescent="0.4">
      <c r="B84" s="279" t="s">
        <v>97</v>
      </c>
      <c r="C84" s="284">
        <v>63</v>
      </c>
      <c r="D84" s="99" t="s">
        <v>281</v>
      </c>
      <c r="E84" s="393" t="s">
        <v>134</v>
      </c>
      <c r="F84" s="437">
        <v>0.25</v>
      </c>
      <c r="G84" s="210"/>
      <c r="H84" s="422" t="s">
        <v>1095</v>
      </c>
      <c r="I84" s="423">
        <f>SupplyChainTier1[[#This Row],[Amount spent by product category (£)]]</f>
        <v>0</v>
      </c>
      <c r="J84" s="423" t="s">
        <v>1095</v>
      </c>
      <c r="K84" s="424">
        <v>0.16934169875693919</v>
      </c>
      <c r="L84" s="414" t="str">
        <f t="shared" si="3"/>
        <v/>
      </c>
      <c r="M84" s="201"/>
      <c r="N84" s="199"/>
      <c r="O84" s="255">
        <v>0</v>
      </c>
      <c r="P84" s="255">
        <v>0</v>
      </c>
      <c r="Q8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4" s="255">
        <v>0</v>
      </c>
      <c r="S84" s="255">
        <v>0</v>
      </c>
      <c r="T8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4" s="255">
        <v>0</v>
      </c>
      <c r="W8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4" s="531"/>
      <c r="Y84" s="532"/>
      <c r="Z84" s="1" cm="1">
        <f t="array" ref="Z84">IF(OR(ISERROR(B84:V84)),1,0)</f>
        <v>0</v>
      </c>
      <c r="AA84" s="1">
        <f t="shared" si="4"/>
        <v>0</v>
      </c>
    </row>
    <row r="85" spans="2:27" ht="26.5" thickBot="1" x14ac:dyDescent="0.4">
      <c r="B85" s="279" t="s">
        <v>98</v>
      </c>
      <c r="C85" s="284">
        <v>64</v>
      </c>
      <c r="D85" s="99" t="s">
        <v>282</v>
      </c>
      <c r="E85" s="393" t="s">
        <v>134</v>
      </c>
      <c r="F85" s="437">
        <v>0.25</v>
      </c>
      <c r="G85" s="210"/>
      <c r="H85" s="422" t="s">
        <v>1095</v>
      </c>
      <c r="I85" s="423">
        <f>SupplyChainTier1[[#This Row],[Amount spent by product category (£)]]</f>
        <v>0</v>
      </c>
      <c r="J85" s="423" t="s">
        <v>1095</v>
      </c>
      <c r="K85" s="424">
        <v>0.1103075939416239</v>
      </c>
      <c r="L85" s="414" t="str">
        <f t="shared" si="3"/>
        <v/>
      </c>
      <c r="M85" s="201"/>
      <c r="N85" s="199"/>
      <c r="O85" s="255">
        <v>0</v>
      </c>
      <c r="P85" s="255">
        <v>0</v>
      </c>
      <c r="Q8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5" s="255">
        <v>0</v>
      </c>
      <c r="S85" s="255">
        <v>0</v>
      </c>
      <c r="T8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5" s="255">
        <v>0</v>
      </c>
      <c r="W8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5" s="531"/>
      <c r="Y85" s="532"/>
      <c r="Z85" s="1" cm="1">
        <f t="array" ref="Z85">IF(OR(ISERROR(B85:V85)),1,0)</f>
        <v>0</v>
      </c>
      <c r="AA85" s="1">
        <f t="shared" si="4"/>
        <v>0</v>
      </c>
    </row>
    <row r="86" spans="2:27" ht="26.5" thickBot="1" x14ac:dyDescent="0.4">
      <c r="B86" s="279" t="s">
        <v>98</v>
      </c>
      <c r="C86" s="284" t="s">
        <v>1059</v>
      </c>
      <c r="D86" s="99" t="s">
        <v>1053</v>
      </c>
      <c r="E86" s="393" t="s">
        <v>134</v>
      </c>
      <c r="F86" s="437">
        <v>0.25</v>
      </c>
      <c r="G86" s="210"/>
      <c r="H86" s="422" t="s">
        <v>1095</v>
      </c>
      <c r="I86" s="423">
        <f>SupplyChainTier1[[#This Row],[Amount spent by product category (£)]]</f>
        <v>0</v>
      </c>
      <c r="J86" s="423" t="s">
        <v>1095</v>
      </c>
      <c r="K86" s="424">
        <v>7.5671294490098365E-2</v>
      </c>
      <c r="L86" s="414" t="str">
        <f t="shared" si="3"/>
        <v/>
      </c>
      <c r="M86" s="201"/>
      <c r="N86" s="199"/>
      <c r="O86" s="255">
        <v>0</v>
      </c>
      <c r="P86" s="255">
        <v>0</v>
      </c>
      <c r="Q8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6" s="255">
        <v>0</v>
      </c>
      <c r="S86" s="255">
        <v>0</v>
      </c>
      <c r="T8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6" s="255">
        <v>0</v>
      </c>
      <c r="W8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6" s="531"/>
      <c r="Y86" s="532"/>
      <c r="Z86" s="1" cm="1">
        <f t="array" ref="Z86">IF(OR(ISERROR(B86:V86)),1,0)</f>
        <v>0</v>
      </c>
      <c r="AA86" s="1">
        <f t="shared" si="4"/>
        <v>0</v>
      </c>
    </row>
    <row r="87" spans="2:27" ht="26.5" thickBot="1" x14ac:dyDescent="0.4">
      <c r="B87" s="279" t="s">
        <v>98</v>
      </c>
      <c r="C87" s="284">
        <v>66</v>
      </c>
      <c r="D87" s="99" t="s">
        <v>283</v>
      </c>
      <c r="E87" s="393" t="s">
        <v>134</v>
      </c>
      <c r="F87" s="437">
        <v>0.25</v>
      </c>
      <c r="G87" s="210"/>
      <c r="H87" s="422" t="s">
        <v>1095</v>
      </c>
      <c r="I87" s="423">
        <f>SupplyChainTier1[[#This Row],[Amount spent by product category (£)]]</f>
        <v>0</v>
      </c>
      <c r="J87" s="423" t="s">
        <v>1095</v>
      </c>
      <c r="K87" s="424">
        <v>0.1004552623620299</v>
      </c>
      <c r="L87" s="414" t="str">
        <f t="shared" si="3"/>
        <v/>
      </c>
      <c r="M87" s="201"/>
      <c r="N87" s="199"/>
      <c r="O87" s="255">
        <v>0</v>
      </c>
      <c r="P87" s="255">
        <v>0</v>
      </c>
      <c r="Q8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7" s="255">
        <v>0</v>
      </c>
      <c r="S87" s="255">
        <v>0</v>
      </c>
      <c r="T8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7" s="255">
        <v>0</v>
      </c>
      <c r="W8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7" s="531"/>
      <c r="Y87" s="532"/>
      <c r="Z87" s="1" cm="1">
        <f t="array" ref="Z87">IF(OR(ISERROR(B87:V87)),1,0)</f>
        <v>0</v>
      </c>
      <c r="AA87" s="1">
        <f t="shared" si="4"/>
        <v>0</v>
      </c>
    </row>
    <row r="88" spans="2:27" ht="26.5" thickBot="1" x14ac:dyDescent="0.4">
      <c r="B88" s="279" t="s">
        <v>99</v>
      </c>
      <c r="C88" s="284">
        <v>68.12</v>
      </c>
      <c r="D88" s="99" t="s">
        <v>284</v>
      </c>
      <c r="E88" s="393" t="s">
        <v>134</v>
      </c>
      <c r="F88" s="437">
        <v>0.25</v>
      </c>
      <c r="G88" s="210"/>
      <c r="H88" s="422" t="s">
        <v>1095</v>
      </c>
      <c r="I88" s="423">
        <f>SupplyChainTier1[[#This Row],[Amount spent by product category (£)]]</f>
        <v>0</v>
      </c>
      <c r="J88" s="423" t="s">
        <v>1095</v>
      </c>
      <c r="K88" s="424">
        <v>0.1113515958311013</v>
      </c>
      <c r="L88" s="414" t="str">
        <f t="shared" si="3"/>
        <v/>
      </c>
      <c r="M88" s="201"/>
      <c r="N88" s="199"/>
      <c r="O88" s="255">
        <v>0</v>
      </c>
      <c r="P88" s="255">
        <v>0</v>
      </c>
      <c r="Q8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8" s="255">
        <v>0</v>
      </c>
      <c r="S88" s="255">
        <v>0</v>
      </c>
      <c r="T8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8" s="255">
        <v>0</v>
      </c>
      <c r="W8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8" s="531"/>
      <c r="Y88" s="532"/>
      <c r="Z88" s="1" cm="1">
        <f t="array" ref="Z88">IF(OR(ISERROR(B88:V88)),1,0)</f>
        <v>0</v>
      </c>
      <c r="AA88" s="1">
        <f t="shared" si="4"/>
        <v>0</v>
      </c>
    </row>
    <row r="89" spans="2:27" ht="15" thickBot="1" x14ac:dyDescent="0.4">
      <c r="B89" s="279" t="s">
        <v>99</v>
      </c>
      <c r="C89" s="284" t="s">
        <v>285</v>
      </c>
      <c r="D89" s="99" t="s">
        <v>286</v>
      </c>
      <c r="E89" s="393" t="s">
        <v>134</v>
      </c>
      <c r="F89" s="437">
        <v>0.25</v>
      </c>
      <c r="G89" s="210"/>
      <c r="H89" s="422" t="s">
        <v>1095</v>
      </c>
      <c r="I89" s="423">
        <f>SupplyChainTier1[[#This Row],[Amount spent by product category (£)]]</f>
        <v>0</v>
      </c>
      <c r="J89" s="423" t="s">
        <v>1095</v>
      </c>
      <c r="K89" s="424">
        <v>3.9621368125994462E-2</v>
      </c>
      <c r="L89" s="414" t="str">
        <f t="shared" si="3"/>
        <v/>
      </c>
      <c r="M89" s="201"/>
      <c r="N89" s="199"/>
      <c r="O89" s="255">
        <v>0</v>
      </c>
      <c r="P89" s="255">
        <v>0</v>
      </c>
      <c r="Q8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9" s="255">
        <v>0</v>
      </c>
      <c r="S89" s="255">
        <v>0</v>
      </c>
      <c r="T8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9" s="255">
        <v>0</v>
      </c>
      <c r="W8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9" s="531"/>
      <c r="Y89" s="532"/>
      <c r="Z89" s="1" cm="1">
        <f t="array" ref="Z89">IF(OR(ISERROR(B89:V89)),1,0)</f>
        <v>0</v>
      </c>
      <c r="AA89" s="1">
        <f t="shared" si="4"/>
        <v>0</v>
      </c>
    </row>
    <row r="90" spans="2:27" ht="15" thickBot="1" x14ac:dyDescent="0.4">
      <c r="B90" s="279" t="s">
        <v>99</v>
      </c>
      <c r="C90" s="284">
        <v>68.3</v>
      </c>
      <c r="D90" s="99" t="s">
        <v>287</v>
      </c>
      <c r="E90" s="393" t="s">
        <v>134</v>
      </c>
      <c r="F90" s="437">
        <v>0.25</v>
      </c>
      <c r="G90" s="210"/>
      <c r="H90" s="422" t="s">
        <v>1095</v>
      </c>
      <c r="I90" s="423">
        <f>SupplyChainTier1[[#This Row],[Amount spent by product category (£)]]</f>
        <v>0</v>
      </c>
      <c r="J90" s="423" t="s">
        <v>1095</v>
      </c>
      <c r="K90" s="424">
        <v>8.4914337844308282E-2</v>
      </c>
      <c r="L90" s="414" t="str">
        <f t="shared" si="3"/>
        <v/>
      </c>
      <c r="M90" s="201"/>
      <c r="N90" s="199"/>
      <c r="O90" s="255">
        <v>0</v>
      </c>
      <c r="P90" s="255">
        <v>0</v>
      </c>
      <c r="Q9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0" s="255">
        <v>0</v>
      </c>
      <c r="S90" s="255">
        <v>0</v>
      </c>
      <c r="T9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0" s="255">
        <v>0</v>
      </c>
      <c r="W9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0" s="531"/>
      <c r="Y90" s="532"/>
      <c r="Z90" s="1" cm="1">
        <f t="array" ref="Z90">IF(OR(ISERROR(B90:V90)),1,0)</f>
        <v>0</v>
      </c>
      <c r="AA90" s="1">
        <f t="shared" si="4"/>
        <v>0</v>
      </c>
    </row>
    <row r="91" spans="2:27" ht="26.5" thickBot="1" x14ac:dyDescent="0.4">
      <c r="B91" s="279" t="s">
        <v>100</v>
      </c>
      <c r="C91" s="284">
        <v>69.099999999999994</v>
      </c>
      <c r="D91" s="99" t="s">
        <v>288</v>
      </c>
      <c r="E91" s="393" t="s">
        <v>134</v>
      </c>
      <c r="F91" s="437">
        <v>0.25</v>
      </c>
      <c r="G91" s="210"/>
      <c r="H91" s="422" t="s">
        <v>1095</v>
      </c>
      <c r="I91" s="423">
        <f>SupplyChainTier1[[#This Row],[Amount spent by product category (£)]]</f>
        <v>0</v>
      </c>
      <c r="J91" s="423" t="s">
        <v>1095</v>
      </c>
      <c r="K91" s="424">
        <v>5.7877621976311508E-2</v>
      </c>
      <c r="L91" s="414" t="str">
        <f t="shared" si="3"/>
        <v/>
      </c>
      <c r="M91" s="201"/>
      <c r="N91" s="199"/>
      <c r="O91" s="255">
        <v>0</v>
      </c>
      <c r="P91" s="255">
        <v>0</v>
      </c>
      <c r="Q9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1" s="255">
        <v>0</v>
      </c>
      <c r="S91" s="255">
        <v>0</v>
      </c>
      <c r="T9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1" s="255">
        <v>0</v>
      </c>
      <c r="W9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1" s="531"/>
      <c r="Y91" s="532"/>
      <c r="Z91" s="1" cm="1">
        <f t="array" ref="Z91">IF(OR(ISERROR(B91:V91)),1,0)</f>
        <v>0</v>
      </c>
      <c r="AA91" s="1">
        <f t="shared" si="4"/>
        <v>0</v>
      </c>
    </row>
    <row r="92" spans="2:27" ht="26.5" thickBot="1" x14ac:dyDescent="0.4">
      <c r="B92" s="279" t="s">
        <v>100</v>
      </c>
      <c r="C92" s="284">
        <v>69.2</v>
      </c>
      <c r="D92" s="99" t="s">
        <v>289</v>
      </c>
      <c r="E92" s="393" t="s">
        <v>134</v>
      </c>
      <c r="F92" s="437">
        <v>0.25</v>
      </c>
      <c r="G92" s="210"/>
      <c r="H92" s="422" t="s">
        <v>1095</v>
      </c>
      <c r="I92" s="423">
        <f>SupplyChainTier1[[#This Row],[Amount spent by product category (£)]]</f>
        <v>0</v>
      </c>
      <c r="J92" s="423" t="s">
        <v>1095</v>
      </c>
      <c r="K92" s="424">
        <v>0.12824709898745029</v>
      </c>
      <c r="L92" s="414" t="str">
        <f t="shared" si="3"/>
        <v/>
      </c>
      <c r="M92" s="201"/>
      <c r="N92" s="199"/>
      <c r="O92" s="255">
        <v>0</v>
      </c>
      <c r="P92" s="255">
        <v>0</v>
      </c>
      <c r="Q9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2" s="255">
        <v>0</v>
      </c>
      <c r="S92" s="255">
        <v>0</v>
      </c>
      <c r="T9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2" s="255">
        <v>0</v>
      </c>
      <c r="W9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2" s="531"/>
      <c r="Y92" s="532"/>
      <c r="Z92" s="1" cm="1">
        <f t="array" ref="Z92">IF(OR(ISERROR(B92:V92)),1,0)</f>
        <v>0</v>
      </c>
      <c r="AA92" s="1">
        <f t="shared" si="4"/>
        <v>0</v>
      </c>
    </row>
    <row r="93" spans="2:27" ht="26.5" thickBot="1" x14ac:dyDescent="0.4">
      <c r="B93" s="279" t="s">
        <v>100</v>
      </c>
      <c r="C93" s="284">
        <v>70</v>
      </c>
      <c r="D93" s="99" t="s">
        <v>290</v>
      </c>
      <c r="E93" s="393" t="s">
        <v>134</v>
      </c>
      <c r="F93" s="437">
        <v>0.25</v>
      </c>
      <c r="G93" s="210"/>
      <c r="H93" s="422" t="s">
        <v>1095</v>
      </c>
      <c r="I93" s="423">
        <f>SupplyChainTier1[[#This Row],[Amount spent by product category (£)]]</f>
        <v>0</v>
      </c>
      <c r="J93" s="423" t="s">
        <v>1095</v>
      </c>
      <c r="K93" s="424">
        <v>9.3681183759862049E-2</v>
      </c>
      <c r="L93" s="414" t="str">
        <f t="shared" si="3"/>
        <v/>
      </c>
      <c r="M93" s="201"/>
      <c r="N93" s="199"/>
      <c r="O93" s="255">
        <v>0</v>
      </c>
      <c r="P93" s="255">
        <v>0</v>
      </c>
      <c r="Q9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3" s="255">
        <v>0</v>
      </c>
      <c r="S93" s="255">
        <v>0</v>
      </c>
      <c r="T9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3" s="255">
        <v>0</v>
      </c>
      <c r="W9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3" s="531"/>
      <c r="Y93" s="532"/>
      <c r="Z93" s="1" cm="1">
        <f t="array" ref="Z93">IF(OR(ISERROR(B93:V93)),1,0)</f>
        <v>0</v>
      </c>
      <c r="AA93" s="1">
        <f t="shared" si="4"/>
        <v>0</v>
      </c>
    </row>
    <row r="94" spans="2:27" ht="26.5" thickBot="1" x14ac:dyDescent="0.4">
      <c r="B94" s="279" t="s">
        <v>100</v>
      </c>
      <c r="C94" s="284">
        <v>71</v>
      </c>
      <c r="D94" s="99" t="s">
        <v>291</v>
      </c>
      <c r="E94" s="393" t="s">
        <v>134</v>
      </c>
      <c r="F94" s="437">
        <v>0.25</v>
      </c>
      <c r="G94" s="280"/>
      <c r="H94" s="422" t="s">
        <v>1095</v>
      </c>
      <c r="I94" s="423">
        <f>SupplyChainTier1[[#This Row],[Amount spent by product category (£)]]</f>
        <v>0</v>
      </c>
      <c r="J94" s="423" t="s">
        <v>1095</v>
      </c>
      <c r="K94" s="424">
        <v>0.1560575201743172</v>
      </c>
      <c r="L94" s="414" t="str">
        <f t="shared" si="3"/>
        <v/>
      </c>
      <c r="M94" s="201"/>
      <c r="N94" s="199"/>
      <c r="O94" s="255">
        <v>0</v>
      </c>
      <c r="P94" s="255">
        <v>0</v>
      </c>
      <c r="Q9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4" s="255">
        <v>0</v>
      </c>
      <c r="S94" s="255">
        <v>0</v>
      </c>
      <c r="T9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4" s="255">
        <v>0</v>
      </c>
      <c r="W9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4" s="531"/>
      <c r="Y94" s="532"/>
      <c r="Z94" s="1" cm="1">
        <f t="array" ref="Z94">IF(OR(ISERROR(B94:V94)),1,0)</f>
        <v>0</v>
      </c>
      <c r="AA94" s="1">
        <f t="shared" si="4"/>
        <v>0</v>
      </c>
    </row>
    <row r="95" spans="2:27" ht="26.5" thickBot="1" x14ac:dyDescent="0.4">
      <c r="B95" s="279" t="s">
        <v>100</v>
      </c>
      <c r="C95" s="284">
        <v>72</v>
      </c>
      <c r="D95" s="99" t="s">
        <v>292</v>
      </c>
      <c r="E95" s="393" t="s">
        <v>134</v>
      </c>
      <c r="F95" s="437">
        <v>0.25</v>
      </c>
      <c r="G95" s="280"/>
      <c r="H95" s="422" t="s">
        <v>1095</v>
      </c>
      <c r="I95" s="423">
        <f>SupplyChainTier1[[#This Row],[Amount spent by product category (£)]]</f>
        <v>0</v>
      </c>
      <c r="J95" s="423" t="s">
        <v>1095</v>
      </c>
      <c r="K95" s="424">
        <v>0.18562764998368861</v>
      </c>
      <c r="L95" s="414" t="str">
        <f t="shared" si="3"/>
        <v/>
      </c>
      <c r="M95" s="201"/>
      <c r="N95" s="199"/>
      <c r="O95" s="255">
        <v>0</v>
      </c>
      <c r="P95" s="255">
        <v>0</v>
      </c>
      <c r="Q9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5" s="255">
        <v>0</v>
      </c>
      <c r="S95" s="255">
        <v>0</v>
      </c>
      <c r="T9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5" s="255">
        <v>0</v>
      </c>
      <c r="W9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5" s="531"/>
      <c r="Y95" s="532"/>
      <c r="Z95" s="1" cm="1">
        <f t="array" ref="Z95">IF(OR(ISERROR(B95:V95)),1,0)</f>
        <v>0</v>
      </c>
      <c r="AA95" s="1">
        <f t="shared" si="4"/>
        <v>0</v>
      </c>
    </row>
    <row r="96" spans="2:27" ht="26.5" thickBot="1" x14ac:dyDescent="0.4">
      <c r="B96" s="279" t="s">
        <v>100</v>
      </c>
      <c r="C96" s="284">
        <v>73</v>
      </c>
      <c r="D96" s="99" t="s">
        <v>293</v>
      </c>
      <c r="E96" s="393" t="s">
        <v>134</v>
      </c>
      <c r="F96" s="437">
        <v>0.25</v>
      </c>
      <c r="G96" s="280"/>
      <c r="H96" s="422" t="s">
        <v>1095</v>
      </c>
      <c r="I96" s="423">
        <f>SupplyChainTier1[[#This Row],[Amount spent by product category (£)]]</f>
        <v>0</v>
      </c>
      <c r="J96" s="423" t="s">
        <v>1095</v>
      </c>
      <c r="K96" s="424">
        <v>0.1101924211553026</v>
      </c>
      <c r="L96" s="414" t="str">
        <f t="shared" si="3"/>
        <v/>
      </c>
      <c r="M96" s="201"/>
      <c r="N96" s="199"/>
      <c r="O96" s="255">
        <v>0</v>
      </c>
      <c r="P96" s="255">
        <v>0</v>
      </c>
      <c r="Q9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6" s="255">
        <v>0</v>
      </c>
      <c r="S96" s="255">
        <v>0</v>
      </c>
      <c r="T9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6" s="255">
        <v>0</v>
      </c>
      <c r="W9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6" s="531"/>
      <c r="Y96" s="532"/>
      <c r="Z96" s="1" cm="1">
        <f t="array" ref="Z96">IF(OR(ISERROR(B96:V96)),1,0)</f>
        <v>0</v>
      </c>
      <c r="AA96" s="1">
        <f t="shared" si="4"/>
        <v>0</v>
      </c>
    </row>
    <row r="97" spans="2:27" ht="26.5" thickBot="1" x14ac:dyDescent="0.4">
      <c r="B97" s="279" t="s">
        <v>100</v>
      </c>
      <c r="C97" s="284">
        <v>74</v>
      </c>
      <c r="D97" s="99" t="s">
        <v>294</v>
      </c>
      <c r="E97" s="393" t="s">
        <v>134</v>
      </c>
      <c r="F97" s="437">
        <v>0.25</v>
      </c>
      <c r="G97" s="280"/>
      <c r="H97" s="422" t="s">
        <v>1095</v>
      </c>
      <c r="I97" s="423">
        <f>SupplyChainTier1[[#This Row],[Amount spent by product category (£)]]</f>
        <v>0</v>
      </c>
      <c r="J97" s="423" t="s">
        <v>1095</v>
      </c>
      <c r="K97" s="424">
        <v>0.19142587698446711</v>
      </c>
      <c r="L97" s="414" t="str">
        <f t="shared" si="3"/>
        <v/>
      </c>
      <c r="M97" s="201"/>
      <c r="N97" s="199"/>
      <c r="O97" s="255">
        <v>0</v>
      </c>
      <c r="P97" s="255">
        <v>0</v>
      </c>
      <c r="Q9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7" s="255">
        <v>0</v>
      </c>
      <c r="S97" s="255">
        <v>0</v>
      </c>
      <c r="T9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7" s="255">
        <v>0</v>
      </c>
      <c r="W9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7" s="531"/>
      <c r="Y97" s="532"/>
      <c r="Z97" s="1" cm="1">
        <f t="array" ref="Z97">IF(OR(ISERROR(B97:V97)),1,0)</f>
        <v>0</v>
      </c>
      <c r="AA97" s="1">
        <f t="shared" si="4"/>
        <v>0</v>
      </c>
    </row>
    <row r="98" spans="2:27" ht="26.5" thickBot="1" x14ac:dyDescent="0.4">
      <c r="B98" s="279" t="s">
        <v>100</v>
      </c>
      <c r="C98" s="284">
        <v>75</v>
      </c>
      <c r="D98" s="99" t="s">
        <v>295</v>
      </c>
      <c r="E98" s="393" t="s">
        <v>134</v>
      </c>
      <c r="F98" s="437">
        <v>0.25</v>
      </c>
      <c r="G98" s="210"/>
      <c r="H98" s="422" t="s">
        <v>1095</v>
      </c>
      <c r="I98" s="423">
        <f>SupplyChainTier1[[#This Row],[Amount spent by product category (£)]]</f>
        <v>0</v>
      </c>
      <c r="J98" s="423" t="s">
        <v>1095</v>
      </c>
      <c r="K98" s="424">
        <v>8.692953516743758E-2</v>
      </c>
      <c r="L98" s="414" t="str">
        <f t="shared" si="3"/>
        <v/>
      </c>
      <c r="M98" s="201"/>
      <c r="N98" s="199"/>
      <c r="O98" s="255">
        <v>0</v>
      </c>
      <c r="P98" s="255">
        <v>0</v>
      </c>
      <c r="Q9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8" s="255">
        <v>0</v>
      </c>
      <c r="S98" s="255">
        <v>0</v>
      </c>
      <c r="T9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8" s="255">
        <v>0</v>
      </c>
      <c r="W9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8" s="531"/>
      <c r="Y98" s="532"/>
      <c r="Z98" s="1" cm="1">
        <f t="array" ref="Z98">IF(OR(ISERROR(B98:V98)),1,0)</f>
        <v>0</v>
      </c>
      <c r="AA98" s="1">
        <f t="shared" si="4"/>
        <v>0</v>
      </c>
    </row>
    <row r="99" spans="2:27" ht="26.5" thickBot="1" x14ac:dyDescent="0.4">
      <c r="B99" s="279" t="s">
        <v>101</v>
      </c>
      <c r="C99" s="284">
        <v>77</v>
      </c>
      <c r="D99" s="99" t="s">
        <v>296</v>
      </c>
      <c r="E99" s="393" t="s">
        <v>134</v>
      </c>
      <c r="F99" s="437">
        <v>0.25</v>
      </c>
      <c r="G99" s="210"/>
      <c r="H99" s="422" t="s">
        <v>1095</v>
      </c>
      <c r="I99" s="423">
        <f>SupplyChainTier1[[#This Row],[Amount spent by product category (£)]]</f>
        <v>0</v>
      </c>
      <c r="J99" s="423" t="s">
        <v>1095</v>
      </c>
      <c r="K99" s="424">
        <v>0.13477794599811871</v>
      </c>
      <c r="L99" s="414" t="str">
        <f t="shared" si="3"/>
        <v/>
      </c>
      <c r="M99" s="201"/>
      <c r="N99" s="199"/>
      <c r="O99" s="255">
        <v>0</v>
      </c>
      <c r="P99" s="255">
        <v>0</v>
      </c>
      <c r="Q9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9" s="255">
        <v>0</v>
      </c>
      <c r="S99" s="255">
        <v>0</v>
      </c>
      <c r="T9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9" s="255">
        <v>0</v>
      </c>
      <c r="W9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9" s="531"/>
      <c r="Y99" s="532"/>
      <c r="Z99" s="1" cm="1">
        <f t="array" ref="Z99">IF(OR(ISERROR(B99:V99)),1,0)</f>
        <v>0</v>
      </c>
      <c r="AA99" s="1">
        <f t="shared" si="4"/>
        <v>0</v>
      </c>
    </row>
    <row r="100" spans="2:27" ht="26.5" thickBot="1" x14ac:dyDescent="0.4">
      <c r="B100" s="279" t="s">
        <v>101</v>
      </c>
      <c r="C100" s="284">
        <v>78</v>
      </c>
      <c r="D100" s="99" t="s">
        <v>297</v>
      </c>
      <c r="E100" s="393" t="s">
        <v>134</v>
      </c>
      <c r="F100" s="437">
        <v>0.25</v>
      </c>
      <c r="G100" s="210"/>
      <c r="H100" s="422" t="s">
        <v>1095</v>
      </c>
      <c r="I100" s="423">
        <f>SupplyChainTier1[[#This Row],[Amount spent by product category (£)]]</f>
        <v>0</v>
      </c>
      <c r="J100" s="423" t="s">
        <v>1095</v>
      </c>
      <c r="K100" s="424">
        <v>0.1176282196328419</v>
      </c>
      <c r="L100" s="414" t="str">
        <f t="shared" si="3"/>
        <v/>
      </c>
      <c r="M100" s="201"/>
      <c r="N100" s="199"/>
      <c r="O100" s="255">
        <v>0</v>
      </c>
      <c r="P100" s="255">
        <v>0</v>
      </c>
      <c r="Q10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0" s="255">
        <v>0</v>
      </c>
      <c r="S100" s="255">
        <v>0</v>
      </c>
      <c r="T10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0" s="255">
        <v>0</v>
      </c>
      <c r="W10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0" s="531"/>
      <c r="Y100" s="532"/>
      <c r="Z100" s="1" cm="1">
        <f t="array" ref="Z100">IF(OR(ISERROR(B100:V100)),1,0)</f>
        <v>0</v>
      </c>
      <c r="AA100" s="1">
        <f t="shared" si="4"/>
        <v>0</v>
      </c>
    </row>
    <row r="101" spans="2:27" ht="26.5" thickBot="1" x14ac:dyDescent="0.4">
      <c r="B101" s="279" t="s">
        <v>101</v>
      </c>
      <c r="C101" s="284">
        <v>79</v>
      </c>
      <c r="D101" s="99" t="s">
        <v>298</v>
      </c>
      <c r="E101" s="393" t="s">
        <v>134</v>
      </c>
      <c r="F101" s="437">
        <v>0.25</v>
      </c>
      <c r="G101" s="210"/>
      <c r="H101" s="422" t="s">
        <v>1095</v>
      </c>
      <c r="I101" s="423">
        <f>SupplyChainTier1[[#This Row],[Amount spent by product category (£)]]</f>
        <v>0</v>
      </c>
      <c r="J101" s="423" t="s">
        <v>1095</v>
      </c>
      <c r="K101" s="424">
        <v>0.14046399701908621</v>
      </c>
      <c r="L101" s="414" t="str">
        <f t="shared" si="3"/>
        <v/>
      </c>
      <c r="M101" s="201"/>
      <c r="N101" s="199"/>
      <c r="O101" s="255">
        <v>0</v>
      </c>
      <c r="P101" s="255">
        <v>0</v>
      </c>
      <c r="Q10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1" s="255">
        <v>0</v>
      </c>
      <c r="S101" s="255">
        <v>0</v>
      </c>
      <c r="T10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1" s="255">
        <v>0</v>
      </c>
      <c r="W10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1" s="531"/>
      <c r="Y101" s="532"/>
      <c r="Z101" s="1" cm="1">
        <f t="array" ref="Z101">IF(OR(ISERROR(B101:V101)),1,0)</f>
        <v>0</v>
      </c>
      <c r="AA101" s="1">
        <f t="shared" si="4"/>
        <v>0</v>
      </c>
    </row>
    <row r="102" spans="2:27" ht="26.5" thickBot="1" x14ac:dyDescent="0.4">
      <c r="B102" s="279" t="s">
        <v>101</v>
      </c>
      <c r="C102" s="284">
        <v>80</v>
      </c>
      <c r="D102" s="99" t="s">
        <v>299</v>
      </c>
      <c r="E102" s="393" t="s">
        <v>134</v>
      </c>
      <c r="F102" s="437">
        <v>0.25</v>
      </c>
      <c r="G102" s="210"/>
      <c r="H102" s="422" t="s">
        <v>1095</v>
      </c>
      <c r="I102" s="423">
        <f>SupplyChainTier1[[#This Row],[Amount spent by product category (£)]]</f>
        <v>0</v>
      </c>
      <c r="J102" s="423" t="s">
        <v>1095</v>
      </c>
      <c r="K102" s="424">
        <v>9.5408278947996958E-2</v>
      </c>
      <c r="L102" s="414" t="str">
        <f t="shared" si="3"/>
        <v/>
      </c>
      <c r="M102" s="201"/>
      <c r="N102" s="199"/>
      <c r="O102" s="255">
        <v>0</v>
      </c>
      <c r="P102" s="255">
        <v>0</v>
      </c>
      <c r="Q10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2" s="255">
        <v>0</v>
      </c>
      <c r="S102" s="255">
        <v>0</v>
      </c>
      <c r="T10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2" s="255">
        <v>0</v>
      </c>
      <c r="W10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2" s="531"/>
      <c r="Y102" s="532"/>
      <c r="Z102" s="1" cm="1">
        <f t="array" ref="Z102">IF(OR(ISERROR(B102:V102)),1,0)</f>
        <v>0</v>
      </c>
      <c r="AA102" s="1">
        <f t="shared" si="4"/>
        <v>0</v>
      </c>
    </row>
    <row r="103" spans="2:27" ht="26.5" thickBot="1" x14ac:dyDescent="0.4">
      <c r="B103" s="279" t="s">
        <v>101</v>
      </c>
      <c r="C103" s="284">
        <v>81</v>
      </c>
      <c r="D103" s="99" t="s">
        <v>300</v>
      </c>
      <c r="E103" s="393" t="s">
        <v>134</v>
      </c>
      <c r="F103" s="437">
        <v>0.25</v>
      </c>
      <c r="G103" s="210"/>
      <c r="H103" s="422" t="s">
        <v>1095</v>
      </c>
      <c r="I103" s="423">
        <f>SupplyChainTier1[[#This Row],[Amount spent by product category (£)]]</f>
        <v>0</v>
      </c>
      <c r="J103" s="423" t="s">
        <v>1095</v>
      </c>
      <c r="K103" s="424">
        <v>0.1712664478524781</v>
      </c>
      <c r="L103" s="414" t="str">
        <f t="shared" si="3"/>
        <v/>
      </c>
      <c r="M103" s="201"/>
      <c r="N103" s="199"/>
      <c r="O103" s="255">
        <v>0</v>
      </c>
      <c r="P103" s="255">
        <v>0</v>
      </c>
      <c r="Q10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3" s="255">
        <v>0</v>
      </c>
      <c r="S103" s="255">
        <v>0</v>
      </c>
      <c r="T10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3" s="255">
        <v>0</v>
      </c>
      <c r="W10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3" s="531"/>
      <c r="Y103" s="532"/>
      <c r="Z103" s="1" cm="1">
        <f t="array" ref="Z103">IF(OR(ISERROR(B103:V103)),1,0)</f>
        <v>0</v>
      </c>
      <c r="AA103" s="1">
        <f t="shared" si="4"/>
        <v>0</v>
      </c>
    </row>
    <row r="104" spans="2:27" ht="26.5" thickBot="1" x14ac:dyDescent="0.4">
      <c r="B104" s="279" t="s">
        <v>101</v>
      </c>
      <c r="C104" s="284">
        <v>82</v>
      </c>
      <c r="D104" s="99" t="s">
        <v>301</v>
      </c>
      <c r="E104" s="393" t="s">
        <v>134</v>
      </c>
      <c r="F104" s="437">
        <v>0.25</v>
      </c>
      <c r="G104" s="210"/>
      <c r="H104" s="422" t="s">
        <v>1095</v>
      </c>
      <c r="I104" s="423">
        <f>SupplyChainTier1[[#This Row],[Amount spent by product category (£)]]</f>
        <v>0</v>
      </c>
      <c r="J104" s="423" t="s">
        <v>1095</v>
      </c>
      <c r="K104" s="424">
        <v>0.1180504360352973</v>
      </c>
      <c r="L104" s="414" t="str">
        <f t="shared" ref="L104:L117" si="5">IF(ISBLANK(G104),"",G104*K104)</f>
        <v/>
      </c>
      <c r="M104" s="201"/>
      <c r="N104" s="199"/>
      <c r="O104" s="255">
        <v>0</v>
      </c>
      <c r="P104" s="255">
        <v>0</v>
      </c>
      <c r="Q10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4" s="255">
        <v>0</v>
      </c>
      <c r="S104" s="255">
        <v>0</v>
      </c>
      <c r="T10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4" s="255">
        <v>0</v>
      </c>
      <c r="W10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4" s="531"/>
      <c r="Y104" s="532"/>
      <c r="Z104" s="1" cm="1">
        <f t="array" ref="Z104">IF(OR(ISERROR(B104:V104)),1,0)</f>
        <v>0</v>
      </c>
      <c r="AA104" s="1">
        <f t="shared" si="4"/>
        <v>0</v>
      </c>
    </row>
    <row r="105" spans="2:27" ht="26.5" thickBot="1" x14ac:dyDescent="0.4">
      <c r="B105" s="98" t="s">
        <v>102</v>
      </c>
      <c r="C105" s="284">
        <v>84</v>
      </c>
      <c r="D105" s="99" t="s">
        <v>302</v>
      </c>
      <c r="E105" s="393" t="s">
        <v>134</v>
      </c>
      <c r="F105" s="437">
        <v>0.25</v>
      </c>
      <c r="G105" s="210"/>
      <c r="H105" s="422" t="s">
        <v>1095</v>
      </c>
      <c r="I105" s="423">
        <f>SupplyChainTier1[[#This Row],[Amount spent by product category (£)]]</f>
        <v>0</v>
      </c>
      <c r="J105" s="423" t="s">
        <v>1095</v>
      </c>
      <c r="K105" s="424">
        <v>0.1703405261372164</v>
      </c>
      <c r="L105" s="414" t="str">
        <f t="shared" si="5"/>
        <v/>
      </c>
      <c r="M105" s="201"/>
      <c r="N105" s="199"/>
      <c r="O105" s="255">
        <v>0</v>
      </c>
      <c r="P105" s="255">
        <v>0</v>
      </c>
      <c r="Q10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5" s="255">
        <v>0</v>
      </c>
      <c r="S105" s="255">
        <v>0</v>
      </c>
      <c r="T10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5" s="255">
        <v>0</v>
      </c>
      <c r="W10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5" s="531"/>
      <c r="Y105" s="532"/>
      <c r="Z105" s="1" cm="1">
        <f t="array" ref="Z105">IF(OR(ISERROR(B105:V105)),1,0)</f>
        <v>0</v>
      </c>
      <c r="AA105" s="1">
        <f t="shared" si="4"/>
        <v>0</v>
      </c>
    </row>
    <row r="106" spans="2:27" ht="15" thickBot="1" x14ac:dyDescent="0.4">
      <c r="B106" s="98" t="s">
        <v>103</v>
      </c>
      <c r="C106" s="284">
        <v>85</v>
      </c>
      <c r="D106" s="99" t="s">
        <v>303</v>
      </c>
      <c r="E106" s="393" t="s">
        <v>134</v>
      </c>
      <c r="F106" s="437">
        <v>0.25</v>
      </c>
      <c r="G106" s="210"/>
      <c r="H106" s="422" t="s">
        <v>1095</v>
      </c>
      <c r="I106" s="423">
        <f>SupplyChainTier1[[#This Row],[Amount spent by product category (£)]]</f>
        <v>0</v>
      </c>
      <c r="J106" s="423" t="s">
        <v>1095</v>
      </c>
      <c r="K106" s="424">
        <v>0.10257966678326461</v>
      </c>
      <c r="L106" s="414" t="str">
        <f t="shared" si="5"/>
        <v/>
      </c>
      <c r="M106" s="201"/>
      <c r="N106" s="199"/>
      <c r="O106" s="255">
        <v>0</v>
      </c>
      <c r="P106" s="255">
        <v>0</v>
      </c>
      <c r="Q10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6" s="255">
        <v>0</v>
      </c>
      <c r="S106" s="255">
        <v>0</v>
      </c>
      <c r="T10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6" s="255">
        <v>0</v>
      </c>
      <c r="W10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6" s="531"/>
      <c r="Y106" s="532"/>
      <c r="Z106" s="1" cm="1">
        <f t="array" ref="Z106">IF(OR(ISERROR(B106:V106)),1,0)</f>
        <v>0</v>
      </c>
      <c r="AA106" s="1">
        <f t="shared" si="4"/>
        <v>0</v>
      </c>
    </row>
    <row r="107" spans="2:27" ht="26.5" thickBot="1" x14ac:dyDescent="0.4">
      <c r="B107" s="98" t="s">
        <v>104</v>
      </c>
      <c r="C107" s="284">
        <v>86</v>
      </c>
      <c r="D107" s="99" t="s">
        <v>304</v>
      </c>
      <c r="E107" s="393" t="s">
        <v>134</v>
      </c>
      <c r="F107" s="437">
        <v>0.25</v>
      </c>
      <c r="G107" s="210"/>
      <c r="H107" s="422" t="s">
        <v>1095</v>
      </c>
      <c r="I107" s="423">
        <f>SupplyChainTier1[[#This Row],[Amount spent by product category (£)]]</f>
        <v>0</v>
      </c>
      <c r="J107" s="423" t="s">
        <v>1095</v>
      </c>
      <c r="K107" s="424">
        <v>0.29193168620018201</v>
      </c>
      <c r="L107" s="414" t="str">
        <f t="shared" si="5"/>
        <v/>
      </c>
      <c r="M107" s="201"/>
      <c r="N107" s="199"/>
      <c r="O107" s="255">
        <v>0</v>
      </c>
      <c r="P107" s="255">
        <v>0</v>
      </c>
      <c r="Q10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7" s="255">
        <v>0</v>
      </c>
      <c r="S107" s="255">
        <v>0</v>
      </c>
      <c r="T10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7" s="255">
        <v>0</v>
      </c>
      <c r="W10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7" s="531"/>
      <c r="Y107" s="532"/>
      <c r="Z107" s="1" cm="1">
        <f t="array" ref="Z107">IF(OR(ISERROR(B107:V107)),1,0)</f>
        <v>0</v>
      </c>
      <c r="AA107" s="1">
        <f t="shared" si="4"/>
        <v>0</v>
      </c>
    </row>
    <row r="108" spans="2:27" ht="26.5" thickBot="1" x14ac:dyDescent="0.4">
      <c r="B108" s="98" t="s">
        <v>104</v>
      </c>
      <c r="C108" s="284">
        <v>87</v>
      </c>
      <c r="D108" s="99" t="s">
        <v>1054</v>
      </c>
      <c r="E108" s="393" t="s">
        <v>134</v>
      </c>
      <c r="F108" s="437">
        <v>0.25</v>
      </c>
      <c r="G108" s="210"/>
      <c r="H108" s="422" t="s">
        <v>1095</v>
      </c>
      <c r="I108" s="423">
        <f>SupplyChainTier1[[#This Row],[Amount spent by product category (£)]]</f>
        <v>0</v>
      </c>
      <c r="J108" s="423" t="s">
        <v>1095</v>
      </c>
      <c r="K108" s="424">
        <v>0.16514437058930551</v>
      </c>
      <c r="L108" s="414" t="str">
        <f t="shared" si="5"/>
        <v/>
      </c>
      <c r="M108" s="201"/>
      <c r="N108" s="199"/>
      <c r="O108" s="255">
        <v>0</v>
      </c>
      <c r="P108" s="255">
        <v>0</v>
      </c>
      <c r="Q108"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8" s="255">
        <v>0</v>
      </c>
      <c r="S108" s="255">
        <v>0</v>
      </c>
      <c r="T10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8"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8" s="255">
        <v>0</v>
      </c>
      <c r="W108"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8" s="531"/>
      <c r="Y108" s="532"/>
      <c r="Z108" s="1" cm="1">
        <f t="array" ref="Z108">IF(OR(ISERROR(B108:V108)),1,0)</f>
        <v>0</v>
      </c>
      <c r="AA108" s="1">
        <f t="shared" si="4"/>
        <v>0</v>
      </c>
    </row>
    <row r="109" spans="2:27" ht="26.5" thickBot="1" x14ac:dyDescent="0.4">
      <c r="B109" s="98" t="s">
        <v>104</v>
      </c>
      <c r="C109" s="284">
        <v>88</v>
      </c>
      <c r="D109" s="99" t="s">
        <v>1055</v>
      </c>
      <c r="E109" s="393" t="s">
        <v>134</v>
      </c>
      <c r="F109" s="437">
        <v>0.25</v>
      </c>
      <c r="G109" s="210"/>
      <c r="H109" s="422" t="s">
        <v>1095</v>
      </c>
      <c r="I109" s="423">
        <f>SupplyChainTier1[[#This Row],[Amount spent by product category (£)]]</f>
        <v>0</v>
      </c>
      <c r="J109" s="423" t="s">
        <v>1095</v>
      </c>
      <c r="K109" s="424">
        <v>0.12926092802643949</v>
      </c>
      <c r="L109" s="414" t="str">
        <f t="shared" si="5"/>
        <v/>
      </c>
      <c r="M109" s="201"/>
      <c r="N109" s="199"/>
      <c r="O109" s="255">
        <v>0</v>
      </c>
      <c r="P109" s="255">
        <v>0</v>
      </c>
      <c r="Q109"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9" s="255">
        <v>0</v>
      </c>
      <c r="S109" s="255">
        <v>0</v>
      </c>
      <c r="T10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9"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9" s="255">
        <v>0</v>
      </c>
      <c r="W109"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9" s="531"/>
      <c r="Y109" s="532"/>
      <c r="Z109" s="1" cm="1">
        <f t="array" ref="Z109">IF(OR(ISERROR(B109:V109)),1,0)</f>
        <v>0</v>
      </c>
      <c r="AA109" s="1">
        <f t="shared" si="4"/>
        <v>0</v>
      </c>
    </row>
    <row r="110" spans="2:27" ht="15" thickBot="1" x14ac:dyDescent="0.4">
      <c r="B110" s="98" t="s">
        <v>105</v>
      </c>
      <c r="C110" s="284">
        <v>90</v>
      </c>
      <c r="D110" s="99" t="s">
        <v>305</v>
      </c>
      <c r="E110" s="393" t="s">
        <v>134</v>
      </c>
      <c r="F110" s="437">
        <v>0.25</v>
      </c>
      <c r="G110" s="210"/>
      <c r="H110" s="422" t="s">
        <v>1095</v>
      </c>
      <c r="I110" s="423">
        <f>SupplyChainTier1[[#This Row],[Amount spent by product category (£)]]</f>
        <v>0</v>
      </c>
      <c r="J110" s="423" t="s">
        <v>1095</v>
      </c>
      <c r="K110" s="424">
        <v>0.2018836157509922</v>
      </c>
      <c r="L110" s="414" t="str">
        <f t="shared" si="5"/>
        <v/>
      </c>
      <c r="M110" s="201"/>
      <c r="N110" s="199"/>
      <c r="O110" s="255">
        <v>0</v>
      </c>
      <c r="P110" s="255">
        <v>0</v>
      </c>
      <c r="Q110"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0" s="255">
        <v>0</v>
      </c>
      <c r="S110" s="255">
        <v>0</v>
      </c>
      <c r="T11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0"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0" s="255">
        <v>0</v>
      </c>
      <c r="W110"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0" s="531"/>
      <c r="Y110" s="532"/>
      <c r="Z110" s="1" cm="1">
        <f t="array" ref="Z110">IF(OR(ISERROR(B110:V110)),1,0)</f>
        <v>0</v>
      </c>
      <c r="AA110" s="1">
        <f t="shared" si="4"/>
        <v>0</v>
      </c>
    </row>
    <row r="111" spans="2:27" ht="26.5" thickBot="1" x14ac:dyDescent="0.4">
      <c r="B111" s="98" t="s">
        <v>105</v>
      </c>
      <c r="C111" s="284">
        <v>91</v>
      </c>
      <c r="D111" s="99" t="s">
        <v>306</v>
      </c>
      <c r="E111" s="393" t="s">
        <v>134</v>
      </c>
      <c r="F111" s="437">
        <v>0.25</v>
      </c>
      <c r="G111" s="210"/>
      <c r="H111" s="422" t="s">
        <v>1095</v>
      </c>
      <c r="I111" s="423">
        <f>SupplyChainTier1[[#This Row],[Amount spent by product category (£)]]</f>
        <v>0</v>
      </c>
      <c r="J111" s="423" t="s">
        <v>1095</v>
      </c>
      <c r="K111" s="424">
        <v>0.1638049098676421</v>
      </c>
      <c r="L111" s="414" t="str">
        <f t="shared" si="5"/>
        <v/>
      </c>
      <c r="M111" s="201"/>
      <c r="N111" s="199"/>
      <c r="O111" s="255">
        <v>0</v>
      </c>
      <c r="P111" s="255">
        <v>0</v>
      </c>
      <c r="Q111"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1" s="255">
        <v>0</v>
      </c>
      <c r="S111" s="255">
        <v>0</v>
      </c>
      <c r="T11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1"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1" s="255">
        <v>0</v>
      </c>
      <c r="W111"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1" s="531"/>
      <c r="Y111" s="532"/>
      <c r="Z111" s="1" cm="1">
        <f t="array" ref="Z111">IF(OR(ISERROR(B111:V111)),1,0)</f>
        <v>0</v>
      </c>
      <c r="AA111" s="1">
        <f t="shared" si="4"/>
        <v>0</v>
      </c>
    </row>
    <row r="112" spans="2:27" ht="15" thickBot="1" x14ac:dyDescent="0.4">
      <c r="B112" s="98" t="s">
        <v>105</v>
      </c>
      <c r="C112" s="284">
        <v>92</v>
      </c>
      <c r="D112" s="99" t="s">
        <v>307</v>
      </c>
      <c r="E112" s="393" t="s">
        <v>134</v>
      </c>
      <c r="F112" s="437">
        <v>0.25</v>
      </c>
      <c r="G112" s="210"/>
      <c r="H112" s="422" t="s">
        <v>1095</v>
      </c>
      <c r="I112" s="423">
        <f>SupplyChainTier1[[#This Row],[Amount spent by product category (£)]]</f>
        <v>0</v>
      </c>
      <c r="J112" s="423" t="s">
        <v>1095</v>
      </c>
      <c r="K112" s="424">
        <v>9.4972651851191595E-2</v>
      </c>
      <c r="L112" s="414" t="str">
        <f t="shared" si="5"/>
        <v/>
      </c>
      <c r="M112" s="201"/>
      <c r="N112" s="199"/>
      <c r="O112" s="255">
        <v>0</v>
      </c>
      <c r="P112" s="255">
        <v>0</v>
      </c>
      <c r="Q112"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2" s="255">
        <v>0</v>
      </c>
      <c r="S112" s="255">
        <v>0</v>
      </c>
      <c r="T11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2"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2" s="255">
        <v>0</v>
      </c>
      <c r="W112"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2" s="531"/>
      <c r="Y112" s="532"/>
      <c r="Z112" s="1" cm="1">
        <f t="array" ref="Z112">IF(OR(ISERROR(B112:V112)),1,0)</f>
        <v>0</v>
      </c>
      <c r="AA112" s="1">
        <f t="shared" si="4"/>
        <v>0</v>
      </c>
    </row>
    <row r="113" spans="1:27" ht="26.5" thickBot="1" x14ac:dyDescent="0.4">
      <c r="B113" s="98" t="s">
        <v>105</v>
      </c>
      <c r="C113" s="284">
        <v>93</v>
      </c>
      <c r="D113" s="99" t="s">
        <v>308</v>
      </c>
      <c r="E113" s="393" t="s">
        <v>134</v>
      </c>
      <c r="F113" s="437">
        <v>0.25</v>
      </c>
      <c r="G113" s="210"/>
      <c r="H113" s="422" t="s">
        <v>1095</v>
      </c>
      <c r="I113" s="423">
        <f>SupplyChainTier1[[#This Row],[Amount spent by product category (£)]]</f>
        <v>0</v>
      </c>
      <c r="J113" s="423" t="s">
        <v>1095</v>
      </c>
      <c r="K113" s="424">
        <v>0.22280360830166321</v>
      </c>
      <c r="L113" s="414" t="str">
        <f t="shared" si="5"/>
        <v/>
      </c>
      <c r="M113" s="201"/>
      <c r="N113" s="199"/>
      <c r="O113" s="255">
        <v>0</v>
      </c>
      <c r="P113" s="255">
        <v>0</v>
      </c>
      <c r="Q113"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3" s="255">
        <v>0</v>
      </c>
      <c r="S113" s="255">
        <v>0</v>
      </c>
      <c r="T11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3"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3" s="255">
        <v>0</v>
      </c>
      <c r="W113"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3" s="531"/>
      <c r="Y113" s="532"/>
      <c r="Z113" s="1" cm="1">
        <f t="array" ref="Z113">IF(OR(ISERROR(B113:V113)),1,0)</f>
        <v>0</v>
      </c>
      <c r="AA113" s="1">
        <f t="shared" si="4"/>
        <v>0</v>
      </c>
    </row>
    <row r="114" spans="1:27" ht="15" thickBot="1" x14ac:dyDescent="0.4">
      <c r="B114" s="98" t="s">
        <v>106</v>
      </c>
      <c r="C114" s="284">
        <v>94</v>
      </c>
      <c r="D114" s="99" t="s">
        <v>309</v>
      </c>
      <c r="E114" s="393" t="s">
        <v>134</v>
      </c>
      <c r="F114" s="437">
        <v>0.25</v>
      </c>
      <c r="G114" s="210"/>
      <c r="H114" s="422" t="s">
        <v>1095</v>
      </c>
      <c r="I114" s="423">
        <f>SupplyChainTier1[[#This Row],[Amount spent by product category (£)]]</f>
        <v>0</v>
      </c>
      <c r="J114" s="423" t="s">
        <v>1095</v>
      </c>
      <c r="K114" s="424">
        <v>0.1210358880635142</v>
      </c>
      <c r="L114" s="414" t="str">
        <f t="shared" si="5"/>
        <v/>
      </c>
      <c r="M114" s="201"/>
      <c r="N114" s="199"/>
      <c r="O114" s="255">
        <v>0</v>
      </c>
      <c r="P114" s="255">
        <v>0</v>
      </c>
      <c r="Q114"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4" s="255">
        <v>0</v>
      </c>
      <c r="S114" s="255">
        <v>0</v>
      </c>
      <c r="T11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4"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4" s="255">
        <v>0</v>
      </c>
      <c r="W114"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4" s="531"/>
      <c r="Y114" s="532"/>
      <c r="Z114" s="1" cm="1">
        <f t="array" ref="Z114">IF(OR(ISERROR(B114:V114)),1,0)</f>
        <v>0</v>
      </c>
      <c r="AA114" s="1">
        <f t="shared" si="4"/>
        <v>0</v>
      </c>
    </row>
    <row r="115" spans="1:27" ht="26.5" thickBot="1" x14ac:dyDescent="0.4">
      <c r="B115" s="98" t="s">
        <v>106</v>
      </c>
      <c r="C115" s="284">
        <v>95</v>
      </c>
      <c r="D115" s="99" t="s">
        <v>310</v>
      </c>
      <c r="E115" s="393" t="s">
        <v>134</v>
      </c>
      <c r="F115" s="437">
        <v>0.25</v>
      </c>
      <c r="G115" s="210"/>
      <c r="H115" s="422" t="s">
        <v>1095</v>
      </c>
      <c r="I115" s="423">
        <f>SupplyChainTier1[[#This Row],[Amount spent by product category (£)]]</f>
        <v>0</v>
      </c>
      <c r="J115" s="423" t="s">
        <v>1095</v>
      </c>
      <c r="K115" s="424">
        <v>0.109537934139032</v>
      </c>
      <c r="L115" s="414" t="str">
        <f t="shared" si="5"/>
        <v/>
      </c>
      <c r="M115" s="201"/>
      <c r="N115" s="199"/>
      <c r="O115" s="255">
        <v>0</v>
      </c>
      <c r="P115" s="255">
        <v>0</v>
      </c>
      <c r="Q115"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5" s="255">
        <v>0</v>
      </c>
      <c r="S115" s="255">
        <v>0</v>
      </c>
      <c r="T11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5"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5" s="255">
        <v>0</v>
      </c>
      <c r="W115"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5" s="531"/>
      <c r="Y115" s="532"/>
      <c r="Z115" s="1" cm="1">
        <f t="array" ref="Z115">IF(OR(ISERROR(B115:V115)),1,0)</f>
        <v>0</v>
      </c>
      <c r="AA115" s="1">
        <f t="shared" si="4"/>
        <v>0</v>
      </c>
    </row>
    <row r="116" spans="1:27" ht="15" thickBot="1" x14ac:dyDescent="0.4">
      <c r="B116" s="98" t="s">
        <v>106</v>
      </c>
      <c r="C116" s="284">
        <v>96</v>
      </c>
      <c r="D116" s="99" t="s">
        <v>311</v>
      </c>
      <c r="E116" s="393" t="s">
        <v>134</v>
      </c>
      <c r="F116" s="437">
        <v>0.25</v>
      </c>
      <c r="G116" s="210"/>
      <c r="H116" s="422" t="s">
        <v>1095</v>
      </c>
      <c r="I116" s="423">
        <f>SupplyChainTier1[[#This Row],[Amount spent by product category (£)]]</f>
        <v>0</v>
      </c>
      <c r="J116" s="423" t="s">
        <v>1095</v>
      </c>
      <c r="K116" s="424">
        <v>7.6712791957121843E-2</v>
      </c>
      <c r="L116" s="414" t="str">
        <f t="shared" si="5"/>
        <v/>
      </c>
      <c r="M116" s="201"/>
      <c r="N116" s="199"/>
      <c r="O116" s="255">
        <v>0</v>
      </c>
      <c r="P116" s="255">
        <v>0</v>
      </c>
      <c r="Q116"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6" s="255">
        <v>0</v>
      </c>
      <c r="S116" s="255">
        <v>0</v>
      </c>
      <c r="T11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6"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6" s="255">
        <v>0</v>
      </c>
      <c r="W116"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6" s="531"/>
      <c r="Y116" s="532"/>
      <c r="Z116" s="1" cm="1">
        <f t="array" ref="Z116">IF(OR(ISERROR(B116:V116)),1,0)</f>
        <v>0</v>
      </c>
      <c r="AA116" s="1">
        <f t="shared" si="4"/>
        <v>0</v>
      </c>
    </row>
    <row r="117" spans="1:27" ht="52.5" thickBot="1" x14ac:dyDescent="0.4">
      <c r="B117" s="98" t="s">
        <v>107</v>
      </c>
      <c r="C117" s="284">
        <v>97</v>
      </c>
      <c r="D117" s="99" t="s">
        <v>312</v>
      </c>
      <c r="E117" s="393" t="s">
        <v>134</v>
      </c>
      <c r="F117" s="437">
        <v>0.25</v>
      </c>
      <c r="G117" s="210"/>
      <c r="H117" s="422" t="s">
        <v>1095</v>
      </c>
      <c r="I117" s="423">
        <f>SupplyChainTier1[[#This Row],[Amount spent by product category (£)]]</f>
        <v>0</v>
      </c>
      <c r="J117" s="423" t="s">
        <v>1095</v>
      </c>
      <c r="K117" s="424">
        <v>8.8811726947321118E-3</v>
      </c>
      <c r="L117" s="414" t="str">
        <f t="shared" si="5"/>
        <v/>
      </c>
      <c r="M117" s="201"/>
      <c r="N117" s="199"/>
      <c r="O117" s="255">
        <v>0</v>
      </c>
      <c r="P117" s="255">
        <v>0</v>
      </c>
      <c r="Q117" s="255">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7" s="255">
        <v>0</v>
      </c>
      <c r="S117" s="255">
        <v>0</v>
      </c>
      <c r="T11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7" s="255">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7" s="255">
        <v>0</v>
      </c>
      <c r="W117" s="530"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7" s="531"/>
      <c r="Y117" s="532"/>
      <c r="Z117" s="1" cm="1">
        <f t="array" ref="Z117">IF(OR(ISERROR(B117:V117)),1,0)</f>
        <v>0</v>
      </c>
      <c r="AA117" s="1">
        <f t="shared" si="4"/>
        <v>0</v>
      </c>
    </row>
    <row r="118" spans="1:27" x14ac:dyDescent="0.35">
      <c r="B118" s="33"/>
      <c r="C118" s="33"/>
      <c r="D118" s="33"/>
      <c r="E118" s="33"/>
      <c r="F118" s="33"/>
      <c r="G118" s="33"/>
      <c r="H118" s="33"/>
      <c r="I118" s="33"/>
      <c r="J118" s="33"/>
      <c r="K118" s="33"/>
      <c r="L118" s="33"/>
    </row>
    <row r="119" spans="1:27" ht="30" customHeight="1" x14ac:dyDescent="0.35">
      <c r="B119" s="537" t="s">
        <v>1024</v>
      </c>
      <c r="C119" s="538"/>
      <c r="D119" s="538"/>
      <c r="E119" s="538"/>
      <c r="F119" s="538"/>
      <c r="G119" s="538"/>
      <c r="H119" s="538"/>
      <c r="I119" s="539"/>
    </row>
    <row r="120" spans="1:27" ht="51" customHeight="1" x14ac:dyDescent="0.35">
      <c r="B120" s="540"/>
      <c r="C120" s="541"/>
      <c r="D120" s="541"/>
      <c r="E120" s="541"/>
      <c r="F120" s="541"/>
      <c r="G120" s="541"/>
      <c r="H120" s="541"/>
      <c r="I120" s="542"/>
    </row>
    <row r="121" spans="1:27" ht="7.75" customHeight="1" x14ac:dyDescent="0.35"/>
    <row r="122" spans="1:27" ht="19" thickBot="1" x14ac:dyDescent="0.4">
      <c r="B122" s="37" t="s">
        <v>313</v>
      </c>
      <c r="D122"/>
      <c r="E122" s="18"/>
      <c r="L122" s="441" t="str">
        <f>IF($AA$123=0,"No data entered",IF($Z$123=0,"No errors in this table","There are errors in this table see highlighted row(s)"))</f>
        <v>No data entered</v>
      </c>
      <c r="Z122" s="15" t="s">
        <v>1188</v>
      </c>
      <c r="AA122" s="15" t="s">
        <v>1189</v>
      </c>
    </row>
    <row r="123" spans="1:27" ht="29.15" customHeight="1" thickBot="1" x14ac:dyDescent="0.4">
      <c r="A123" s="32"/>
      <c r="B123" s="2" t="s">
        <v>199</v>
      </c>
      <c r="C123" s="257" t="s">
        <v>200</v>
      </c>
      <c r="D123" s="257" t="s">
        <v>201</v>
      </c>
      <c r="E123" s="191" t="s">
        <v>115</v>
      </c>
      <c r="F123" s="191" t="s">
        <v>116</v>
      </c>
      <c r="G123" s="21" t="s">
        <v>314</v>
      </c>
      <c r="H123" s="256" t="s">
        <v>1098</v>
      </c>
      <c r="I123" s="258" t="s">
        <v>119</v>
      </c>
      <c r="J123" s="256" t="s">
        <v>120</v>
      </c>
      <c r="K123" s="256" t="s">
        <v>121</v>
      </c>
      <c r="L123" s="258" t="s">
        <v>1173</v>
      </c>
      <c r="M123" s="253" t="s">
        <v>315</v>
      </c>
      <c r="N123" s="253" t="s">
        <v>123</v>
      </c>
      <c r="O123" s="254" t="s">
        <v>59</v>
      </c>
      <c r="P123" s="254" t="s">
        <v>124</v>
      </c>
      <c r="Q123" s="254" t="s">
        <v>125</v>
      </c>
      <c r="R123" s="254" t="s">
        <v>126</v>
      </c>
      <c r="S123" s="254" t="s">
        <v>127</v>
      </c>
      <c r="T123" s="254" t="s">
        <v>67</v>
      </c>
      <c r="U123" s="254" t="s">
        <v>68</v>
      </c>
      <c r="V123" s="394" t="s">
        <v>63</v>
      </c>
      <c r="Z123" s="15">
        <f>SUM(Z124:Z155)</f>
        <v>0</v>
      </c>
      <c r="AA123" s="15">
        <f>SUM(AA124:AA155)</f>
        <v>0</v>
      </c>
    </row>
    <row r="124" spans="1:27" ht="15" thickBot="1" x14ac:dyDescent="0.4">
      <c r="A124" s="32"/>
      <c r="B124" s="173" t="str">
        <f t="shared" ref="B124:B155" si="6">IFERROR(VLOOKUP(D124,SICProductCodeLookup,2,FALSE), "")</f>
        <v/>
      </c>
      <c r="C124" s="285" t="str">
        <f t="shared" ref="C124:C155" si="7">IFERROR((VLOOKUP(D124,SICProductCodeLookup,3,FALSE)), "")</f>
        <v/>
      </c>
      <c r="D124" s="211"/>
      <c r="E124" s="420" t="s">
        <v>163</v>
      </c>
      <c r="F124" s="209"/>
      <c r="G124" s="148"/>
      <c r="H124" s="422" t="s">
        <v>1095</v>
      </c>
      <c r="I124" s="423">
        <f>SupplychainTier2[[#This Row],[Spend for which Tier 2 method accounts]]</f>
        <v>0</v>
      </c>
      <c r="J124" s="423" t="s">
        <v>1095</v>
      </c>
      <c r="K124" s="423" t="str">
        <f>IFERROR(SupplychainTier2[[#This Row],[Calculated emissions (kgCO2e) for this spend]]/SupplychainTier2[[#This Row],[Spend for which Tier 2 method accounts]],"")</f>
        <v/>
      </c>
      <c r="L124" s="442"/>
      <c r="M124" s="201"/>
      <c r="N124" s="201"/>
      <c r="O124" s="255">
        <v>0</v>
      </c>
      <c r="P124" s="255">
        <v>0</v>
      </c>
      <c r="Q124" s="255">
        <f>SupplychainTier2[[#This Row],[Calculated emissions (kgCO2e) for this spend]]</f>
        <v>0</v>
      </c>
      <c r="R124" s="255">
        <v>0</v>
      </c>
      <c r="S124" s="255">
        <v>0</v>
      </c>
      <c r="T124" s="387" t="str">
        <f>IF(SupplychainTier2[[#This Row],[Calculated emissions (kgCO2e) for this spend]]="","",(SupplychainTier2[[#This Row],[Calculated emissions (kgCO2e) for this spend]]*(1+SupplychainTier2[[#This Row],[RSD]])))</f>
        <v/>
      </c>
      <c r="U124" s="387" t="str">
        <f>IF(SupplychainTier2[[#This Row],[Calculated emissions (kgCO2e) for this spend]]="","",(SupplychainTier2[[#This Row],[Calculated emissions (kgCO2e) for this spend]]*(1-SupplychainTier2[[#This Row],[RSD]])))</f>
        <v/>
      </c>
      <c r="V124" s="255">
        <v>0</v>
      </c>
      <c r="Z124" s="1" cm="1">
        <f t="array" ref="Z124">IF(OR(ISERROR(B124:V124)),1,0)</f>
        <v>0</v>
      </c>
      <c r="AA124" s="1">
        <f>IF(AND(G124="",L124=""),0,1)</f>
        <v>0</v>
      </c>
    </row>
    <row r="125" spans="1:27" ht="15" thickBot="1" x14ac:dyDescent="0.4">
      <c r="A125" s="32"/>
      <c r="B125" s="173" t="str">
        <f t="shared" si="6"/>
        <v/>
      </c>
      <c r="C125" s="285" t="str">
        <f t="shared" si="7"/>
        <v/>
      </c>
      <c r="D125" s="211"/>
      <c r="E125" s="420" t="s">
        <v>163</v>
      </c>
      <c r="F125" s="209"/>
      <c r="G125" s="148"/>
      <c r="H125" s="422" t="s">
        <v>1095</v>
      </c>
      <c r="I125" s="423">
        <f>SupplychainTier2[[#This Row],[Spend for which Tier 2 method accounts]]</f>
        <v>0</v>
      </c>
      <c r="J125" s="423" t="s">
        <v>1095</v>
      </c>
      <c r="K125" s="423" t="str">
        <f>IFERROR(SupplychainTier2[[#This Row],[Calculated emissions (kgCO2e) for this spend]]/SupplychainTier2[[#This Row],[Spend for which Tier 2 method accounts]],"")</f>
        <v/>
      </c>
      <c r="L125" s="442"/>
      <c r="M125" s="201"/>
      <c r="N125" s="201"/>
      <c r="O125" s="255">
        <v>0</v>
      </c>
      <c r="P125" s="255">
        <v>0</v>
      </c>
      <c r="Q125" s="255">
        <f>SupplychainTier2[[#This Row],[Calculated emissions (kgCO2e) for this spend]]</f>
        <v>0</v>
      </c>
      <c r="R125" s="255">
        <v>0</v>
      </c>
      <c r="S125" s="255">
        <v>0</v>
      </c>
      <c r="T125" s="387" t="str">
        <f>IF(SupplychainTier2[[#This Row],[Calculated emissions (kgCO2e) for this spend]]="","",(SupplychainTier2[[#This Row],[Calculated emissions (kgCO2e) for this spend]]*(1+SupplychainTier2[[#This Row],[RSD]])))</f>
        <v/>
      </c>
      <c r="U125" s="387" t="str">
        <f>IF(SupplychainTier2[[#This Row],[Calculated emissions (kgCO2e) for this spend]]="","",(SupplychainTier2[[#This Row],[Calculated emissions (kgCO2e) for this spend]]*(1-SupplychainTier2[[#This Row],[RSD]])))</f>
        <v/>
      </c>
      <c r="V125" s="255">
        <v>0</v>
      </c>
      <c r="Z125" s="1" cm="1">
        <f t="array" ref="Z125">IF(OR(ISERROR(B125:V125)),1,0)</f>
        <v>0</v>
      </c>
      <c r="AA125" s="1">
        <f t="shared" ref="AA125:AA155" si="8">IF(AND(G125="",L125=""),0,1)</f>
        <v>0</v>
      </c>
    </row>
    <row r="126" spans="1:27" ht="15" thickBot="1" x14ac:dyDescent="0.4">
      <c r="A126" s="32"/>
      <c r="B126" s="173" t="str">
        <f t="shared" si="6"/>
        <v/>
      </c>
      <c r="C126" s="285" t="str">
        <f t="shared" si="7"/>
        <v/>
      </c>
      <c r="D126" s="211"/>
      <c r="E126" s="420" t="s">
        <v>163</v>
      </c>
      <c r="F126" s="209"/>
      <c r="G126" s="207"/>
      <c r="H126" s="422" t="s">
        <v>1095</v>
      </c>
      <c r="I126" s="423">
        <f>SupplychainTier2[[#This Row],[Spend for which Tier 2 method accounts]]</f>
        <v>0</v>
      </c>
      <c r="J126" s="423" t="s">
        <v>1095</v>
      </c>
      <c r="K126" s="423" t="str">
        <f>IFERROR(SupplychainTier2[[#This Row],[Calculated emissions (kgCO2e) for this spend]]/SupplychainTier2[[#This Row],[Spend for which Tier 2 method accounts]],"")</f>
        <v/>
      </c>
      <c r="L126" s="442"/>
      <c r="M126" s="201"/>
      <c r="N126" s="201"/>
      <c r="O126" s="255">
        <v>0</v>
      </c>
      <c r="P126" s="255">
        <v>0</v>
      </c>
      <c r="Q126" s="255">
        <f>SupplychainTier2[[#This Row],[Calculated emissions (kgCO2e) for this spend]]</f>
        <v>0</v>
      </c>
      <c r="R126" s="255">
        <v>0</v>
      </c>
      <c r="S126" s="255">
        <v>0</v>
      </c>
      <c r="T126" s="387" t="str">
        <f>IF(SupplychainTier2[[#This Row],[Calculated emissions (kgCO2e) for this spend]]="","",(SupplychainTier2[[#This Row],[Calculated emissions (kgCO2e) for this spend]]*(1+SupplychainTier2[[#This Row],[RSD]])))</f>
        <v/>
      </c>
      <c r="U126" s="387" t="str">
        <f>IF(SupplychainTier2[[#This Row],[Calculated emissions (kgCO2e) for this spend]]="","",(SupplychainTier2[[#This Row],[Calculated emissions (kgCO2e) for this spend]]*(1-SupplychainTier2[[#This Row],[RSD]])))</f>
        <v/>
      </c>
      <c r="V126" s="255">
        <v>0</v>
      </c>
      <c r="Z126" s="1" cm="1">
        <f t="array" ref="Z126">IF(OR(ISERROR(B126:V126)),1,0)</f>
        <v>0</v>
      </c>
      <c r="AA126" s="1">
        <f t="shared" si="8"/>
        <v>0</v>
      </c>
    </row>
    <row r="127" spans="1:27" ht="15" thickBot="1" x14ac:dyDescent="0.4">
      <c r="A127" s="32"/>
      <c r="B127" s="173" t="str">
        <f t="shared" si="6"/>
        <v/>
      </c>
      <c r="C127" s="285" t="str">
        <f t="shared" si="7"/>
        <v/>
      </c>
      <c r="D127" s="211"/>
      <c r="E127" s="420" t="s">
        <v>163</v>
      </c>
      <c r="F127" s="209"/>
      <c r="G127" s="207"/>
      <c r="H127" s="422" t="s">
        <v>1095</v>
      </c>
      <c r="I127" s="423">
        <f>SupplychainTier2[[#This Row],[Spend for which Tier 2 method accounts]]</f>
        <v>0</v>
      </c>
      <c r="J127" s="423" t="s">
        <v>1095</v>
      </c>
      <c r="K127" s="423" t="str">
        <f>IFERROR(SupplychainTier2[[#This Row],[Calculated emissions (kgCO2e) for this spend]]/SupplychainTier2[[#This Row],[Spend for which Tier 2 method accounts]],"")</f>
        <v/>
      </c>
      <c r="L127" s="442"/>
      <c r="M127" s="201"/>
      <c r="N127" s="201"/>
      <c r="O127" s="255">
        <v>0</v>
      </c>
      <c r="P127" s="255">
        <v>0</v>
      </c>
      <c r="Q127" s="255">
        <f>SupplychainTier2[[#This Row],[Calculated emissions (kgCO2e) for this spend]]</f>
        <v>0</v>
      </c>
      <c r="R127" s="255">
        <v>0</v>
      </c>
      <c r="S127" s="255">
        <v>0</v>
      </c>
      <c r="T127" s="387" t="str">
        <f>IF(SupplychainTier2[[#This Row],[Calculated emissions (kgCO2e) for this spend]]="","",(SupplychainTier2[[#This Row],[Calculated emissions (kgCO2e) for this spend]]*(1+SupplychainTier2[[#This Row],[RSD]])))</f>
        <v/>
      </c>
      <c r="U127" s="387" t="str">
        <f>IF(SupplychainTier2[[#This Row],[Calculated emissions (kgCO2e) for this spend]]="","",(SupplychainTier2[[#This Row],[Calculated emissions (kgCO2e) for this spend]]*(1-SupplychainTier2[[#This Row],[RSD]])))</f>
        <v/>
      </c>
      <c r="V127" s="255">
        <v>0</v>
      </c>
      <c r="Z127" s="1" cm="1">
        <f t="array" ref="Z127">IF(OR(ISERROR(B127:V127)),1,0)</f>
        <v>0</v>
      </c>
      <c r="AA127" s="1">
        <f t="shared" si="8"/>
        <v>0</v>
      </c>
    </row>
    <row r="128" spans="1:27" ht="15" thickBot="1" x14ac:dyDescent="0.4">
      <c r="A128" s="32"/>
      <c r="B128" s="173" t="str">
        <f t="shared" si="6"/>
        <v/>
      </c>
      <c r="C128" s="285" t="str">
        <f t="shared" si="7"/>
        <v/>
      </c>
      <c r="D128" s="211"/>
      <c r="E128" s="420" t="s">
        <v>163</v>
      </c>
      <c r="F128" s="209"/>
      <c r="G128" s="207"/>
      <c r="H128" s="422" t="s">
        <v>1095</v>
      </c>
      <c r="I128" s="423">
        <f>SupplychainTier2[[#This Row],[Spend for which Tier 2 method accounts]]</f>
        <v>0</v>
      </c>
      <c r="J128" s="423" t="s">
        <v>1095</v>
      </c>
      <c r="K128" s="423" t="str">
        <f>IFERROR(SupplychainTier2[[#This Row],[Calculated emissions (kgCO2e) for this spend]]/SupplychainTier2[[#This Row],[Spend for which Tier 2 method accounts]],"")</f>
        <v/>
      </c>
      <c r="L128" s="442"/>
      <c r="M128" s="201"/>
      <c r="N128" s="201"/>
      <c r="O128" s="255">
        <v>0</v>
      </c>
      <c r="P128" s="255">
        <v>0</v>
      </c>
      <c r="Q128" s="255">
        <f>SupplychainTier2[[#This Row],[Calculated emissions (kgCO2e) for this spend]]</f>
        <v>0</v>
      </c>
      <c r="R128" s="255">
        <v>0</v>
      </c>
      <c r="S128" s="255">
        <v>0</v>
      </c>
      <c r="T128" s="387" t="str">
        <f>IF(SupplychainTier2[[#This Row],[Calculated emissions (kgCO2e) for this spend]]="","",(SupplychainTier2[[#This Row],[Calculated emissions (kgCO2e) for this spend]]*(1+SupplychainTier2[[#This Row],[RSD]])))</f>
        <v/>
      </c>
      <c r="U128" s="387" t="str">
        <f>IF(SupplychainTier2[[#This Row],[Calculated emissions (kgCO2e) for this spend]]="","",(SupplychainTier2[[#This Row],[Calculated emissions (kgCO2e) for this spend]]*(1-SupplychainTier2[[#This Row],[RSD]])))</f>
        <v/>
      </c>
      <c r="V128" s="255">
        <v>0</v>
      </c>
      <c r="Z128" s="1" cm="1">
        <f t="array" ref="Z128">IF(OR(ISERROR(B128:V128)),1,0)</f>
        <v>0</v>
      </c>
      <c r="AA128" s="1">
        <f t="shared" si="8"/>
        <v>0</v>
      </c>
    </row>
    <row r="129" spans="1:27" ht="15" thickBot="1" x14ac:dyDescent="0.4">
      <c r="A129" s="32"/>
      <c r="B129" s="173" t="str">
        <f t="shared" si="6"/>
        <v/>
      </c>
      <c r="C129" s="285" t="str">
        <f t="shared" si="7"/>
        <v/>
      </c>
      <c r="D129" s="211"/>
      <c r="E129" s="420" t="s">
        <v>163</v>
      </c>
      <c r="F129" s="209"/>
      <c r="G129" s="207"/>
      <c r="H129" s="422" t="s">
        <v>1095</v>
      </c>
      <c r="I129" s="423">
        <f>SupplychainTier2[[#This Row],[Spend for which Tier 2 method accounts]]</f>
        <v>0</v>
      </c>
      <c r="J129" s="423" t="s">
        <v>1095</v>
      </c>
      <c r="K129" s="423" t="str">
        <f>IFERROR(SupplychainTier2[[#This Row],[Calculated emissions (kgCO2e) for this spend]]/SupplychainTier2[[#This Row],[Spend for which Tier 2 method accounts]],"")</f>
        <v/>
      </c>
      <c r="L129" s="442"/>
      <c r="M129" s="201"/>
      <c r="N129" s="201"/>
      <c r="O129" s="255">
        <v>0</v>
      </c>
      <c r="P129" s="255">
        <v>0</v>
      </c>
      <c r="Q129" s="255">
        <f>SupplychainTier2[[#This Row],[Calculated emissions (kgCO2e) for this spend]]</f>
        <v>0</v>
      </c>
      <c r="R129" s="255">
        <v>0</v>
      </c>
      <c r="S129" s="255">
        <v>0</v>
      </c>
      <c r="T129" s="387" t="str">
        <f>IF(SupplychainTier2[[#This Row],[Calculated emissions (kgCO2e) for this spend]]="","",(SupplychainTier2[[#This Row],[Calculated emissions (kgCO2e) for this spend]]*(1+SupplychainTier2[[#This Row],[RSD]])))</f>
        <v/>
      </c>
      <c r="U129" s="387" t="str">
        <f>IF(SupplychainTier2[[#This Row],[Calculated emissions (kgCO2e) for this spend]]="","",(SupplychainTier2[[#This Row],[Calculated emissions (kgCO2e) for this spend]]*(1-SupplychainTier2[[#This Row],[RSD]])))</f>
        <v/>
      </c>
      <c r="V129" s="255">
        <v>0</v>
      </c>
      <c r="Z129" s="1" cm="1">
        <f t="array" ref="Z129">IF(OR(ISERROR(B129:V129)),1,0)</f>
        <v>0</v>
      </c>
      <c r="AA129" s="1">
        <f t="shared" si="8"/>
        <v>0</v>
      </c>
    </row>
    <row r="130" spans="1:27" ht="15" thickBot="1" x14ac:dyDescent="0.4">
      <c r="A130" s="32"/>
      <c r="B130" s="173" t="str">
        <f t="shared" si="6"/>
        <v/>
      </c>
      <c r="C130" s="285" t="str">
        <f t="shared" si="7"/>
        <v/>
      </c>
      <c r="D130" s="211"/>
      <c r="E130" s="420" t="s">
        <v>163</v>
      </c>
      <c r="F130" s="209"/>
      <c r="G130" s="207"/>
      <c r="H130" s="422" t="s">
        <v>1095</v>
      </c>
      <c r="I130" s="423">
        <f>SupplychainTier2[[#This Row],[Spend for which Tier 2 method accounts]]</f>
        <v>0</v>
      </c>
      <c r="J130" s="423" t="s">
        <v>1095</v>
      </c>
      <c r="K130" s="423" t="str">
        <f>IFERROR(SupplychainTier2[[#This Row],[Calculated emissions (kgCO2e) for this spend]]/SupplychainTier2[[#This Row],[Spend for which Tier 2 method accounts]],"")</f>
        <v/>
      </c>
      <c r="L130" s="442"/>
      <c r="M130" s="201"/>
      <c r="N130" s="201"/>
      <c r="O130" s="255">
        <v>0</v>
      </c>
      <c r="P130" s="255">
        <v>0</v>
      </c>
      <c r="Q130" s="255">
        <f>SupplychainTier2[[#This Row],[Calculated emissions (kgCO2e) for this spend]]</f>
        <v>0</v>
      </c>
      <c r="R130" s="255">
        <v>0</v>
      </c>
      <c r="S130" s="255">
        <v>0</v>
      </c>
      <c r="T130" s="387" t="str">
        <f>IF(SupplychainTier2[[#This Row],[Calculated emissions (kgCO2e) for this spend]]="","",(SupplychainTier2[[#This Row],[Calculated emissions (kgCO2e) for this spend]]*(1+SupplychainTier2[[#This Row],[RSD]])))</f>
        <v/>
      </c>
      <c r="U130" s="387" t="str">
        <f>IF(SupplychainTier2[[#This Row],[Calculated emissions (kgCO2e) for this spend]]="","",(SupplychainTier2[[#This Row],[Calculated emissions (kgCO2e) for this spend]]*(1-SupplychainTier2[[#This Row],[RSD]])))</f>
        <v/>
      </c>
      <c r="V130" s="255">
        <v>0</v>
      </c>
      <c r="Z130" s="1" cm="1">
        <f t="array" ref="Z130">IF(OR(ISERROR(B130:V130)),1,0)</f>
        <v>0</v>
      </c>
      <c r="AA130" s="1">
        <f t="shared" si="8"/>
        <v>0</v>
      </c>
    </row>
    <row r="131" spans="1:27" ht="15" thickBot="1" x14ac:dyDescent="0.4">
      <c r="A131" s="32"/>
      <c r="B131" s="173" t="str">
        <f t="shared" si="6"/>
        <v/>
      </c>
      <c r="C131" s="285" t="str">
        <f t="shared" si="7"/>
        <v/>
      </c>
      <c r="D131" s="211"/>
      <c r="E131" s="420" t="s">
        <v>163</v>
      </c>
      <c r="F131" s="209"/>
      <c r="G131" s="207"/>
      <c r="H131" s="422" t="s">
        <v>1095</v>
      </c>
      <c r="I131" s="423">
        <f>SupplychainTier2[[#This Row],[Spend for which Tier 2 method accounts]]</f>
        <v>0</v>
      </c>
      <c r="J131" s="423" t="s">
        <v>1095</v>
      </c>
      <c r="K131" s="423" t="str">
        <f>IFERROR(SupplychainTier2[[#This Row],[Calculated emissions (kgCO2e) for this spend]]/SupplychainTier2[[#This Row],[Spend for which Tier 2 method accounts]],"")</f>
        <v/>
      </c>
      <c r="L131" s="442"/>
      <c r="M131" s="201"/>
      <c r="N131" s="201"/>
      <c r="O131" s="255">
        <v>0</v>
      </c>
      <c r="P131" s="255">
        <v>0</v>
      </c>
      <c r="Q131" s="255">
        <f>SupplychainTier2[[#This Row],[Calculated emissions (kgCO2e) for this spend]]</f>
        <v>0</v>
      </c>
      <c r="R131" s="255">
        <v>0</v>
      </c>
      <c r="S131" s="255">
        <v>0</v>
      </c>
      <c r="T131" s="387" t="str">
        <f>IF(SupplychainTier2[[#This Row],[Calculated emissions (kgCO2e) for this spend]]="","",(SupplychainTier2[[#This Row],[Calculated emissions (kgCO2e) for this spend]]*(1+SupplychainTier2[[#This Row],[RSD]])))</f>
        <v/>
      </c>
      <c r="U131" s="387" t="str">
        <f>IF(SupplychainTier2[[#This Row],[Calculated emissions (kgCO2e) for this spend]]="","",(SupplychainTier2[[#This Row],[Calculated emissions (kgCO2e) for this spend]]*(1-SupplychainTier2[[#This Row],[RSD]])))</f>
        <v/>
      </c>
      <c r="V131" s="255">
        <v>0</v>
      </c>
      <c r="Z131" s="1" cm="1">
        <f t="array" ref="Z131">IF(OR(ISERROR(B131:V131)),1,0)</f>
        <v>0</v>
      </c>
      <c r="AA131" s="1">
        <f t="shared" si="8"/>
        <v>0</v>
      </c>
    </row>
    <row r="132" spans="1:27" ht="15" thickBot="1" x14ac:dyDescent="0.4">
      <c r="A132" s="32"/>
      <c r="B132" s="173" t="str">
        <f t="shared" si="6"/>
        <v/>
      </c>
      <c r="C132" s="285" t="str">
        <f t="shared" si="7"/>
        <v/>
      </c>
      <c r="D132" s="211"/>
      <c r="E132" s="420" t="s">
        <v>163</v>
      </c>
      <c r="F132" s="209"/>
      <c r="G132" s="207"/>
      <c r="H132" s="422" t="s">
        <v>1095</v>
      </c>
      <c r="I132" s="423">
        <f>SupplychainTier2[[#This Row],[Spend for which Tier 2 method accounts]]</f>
        <v>0</v>
      </c>
      <c r="J132" s="423" t="s">
        <v>1095</v>
      </c>
      <c r="K132" s="423" t="str">
        <f>IFERROR(SupplychainTier2[[#This Row],[Calculated emissions (kgCO2e) for this spend]]/SupplychainTier2[[#This Row],[Spend for which Tier 2 method accounts]],"")</f>
        <v/>
      </c>
      <c r="L132" s="442"/>
      <c r="M132" s="201"/>
      <c r="N132" s="201"/>
      <c r="O132" s="255">
        <v>0</v>
      </c>
      <c r="P132" s="255">
        <v>0</v>
      </c>
      <c r="Q132" s="255">
        <f>SupplychainTier2[[#This Row],[Calculated emissions (kgCO2e) for this spend]]</f>
        <v>0</v>
      </c>
      <c r="R132" s="255">
        <v>0</v>
      </c>
      <c r="S132" s="255">
        <v>0</v>
      </c>
      <c r="T132" s="387" t="str">
        <f>IF(SupplychainTier2[[#This Row],[Calculated emissions (kgCO2e) for this spend]]="","",(SupplychainTier2[[#This Row],[Calculated emissions (kgCO2e) for this spend]]*(1+SupplychainTier2[[#This Row],[RSD]])))</f>
        <v/>
      </c>
      <c r="U132" s="387" t="str">
        <f>IF(SupplychainTier2[[#This Row],[Calculated emissions (kgCO2e) for this spend]]="","",(SupplychainTier2[[#This Row],[Calculated emissions (kgCO2e) for this spend]]*(1-SupplychainTier2[[#This Row],[RSD]])))</f>
        <v/>
      </c>
      <c r="V132" s="255">
        <v>0</v>
      </c>
      <c r="Z132" s="1" cm="1">
        <f t="array" ref="Z132">IF(OR(ISERROR(B132:V132)),1,0)</f>
        <v>0</v>
      </c>
      <c r="AA132" s="1">
        <f t="shared" si="8"/>
        <v>0</v>
      </c>
    </row>
    <row r="133" spans="1:27" ht="15" thickBot="1" x14ac:dyDescent="0.4">
      <c r="A133" s="32"/>
      <c r="B133" s="173" t="str">
        <f t="shared" si="6"/>
        <v/>
      </c>
      <c r="C133" s="285" t="str">
        <f t="shared" si="7"/>
        <v/>
      </c>
      <c r="D133" s="211"/>
      <c r="E133" s="420" t="s">
        <v>163</v>
      </c>
      <c r="F133" s="209"/>
      <c r="G133" s="207"/>
      <c r="H133" s="422" t="s">
        <v>1095</v>
      </c>
      <c r="I133" s="423">
        <f>SupplychainTier2[[#This Row],[Spend for which Tier 2 method accounts]]</f>
        <v>0</v>
      </c>
      <c r="J133" s="423" t="s">
        <v>1095</v>
      </c>
      <c r="K133" s="423" t="str">
        <f>IFERROR(SupplychainTier2[[#This Row],[Calculated emissions (kgCO2e) for this spend]]/SupplychainTier2[[#This Row],[Spend for which Tier 2 method accounts]],"")</f>
        <v/>
      </c>
      <c r="L133" s="442"/>
      <c r="M133" s="201"/>
      <c r="N133" s="201"/>
      <c r="O133" s="255">
        <v>0</v>
      </c>
      <c r="P133" s="255">
        <v>0</v>
      </c>
      <c r="Q133" s="255">
        <f>SupplychainTier2[[#This Row],[Calculated emissions (kgCO2e) for this spend]]</f>
        <v>0</v>
      </c>
      <c r="R133" s="255">
        <v>0</v>
      </c>
      <c r="S133" s="255">
        <v>0</v>
      </c>
      <c r="T133" s="387" t="str">
        <f>IF(SupplychainTier2[[#This Row],[Calculated emissions (kgCO2e) for this spend]]="","",(SupplychainTier2[[#This Row],[Calculated emissions (kgCO2e) for this spend]]*(1+SupplychainTier2[[#This Row],[RSD]])))</f>
        <v/>
      </c>
      <c r="U133" s="387" t="str">
        <f>IF(SupplychainTier2[[#This Row],[Calculated emissions (kgCO2e) for this spend]]="","",(SupplychainTier2[[#This Row],[Calculated emissions (kgCO2e) for this spend]]*(1-SupplychainTier2[[#This Row],[RSD]])))</f>
        <v/>
      </c>
      <c r="V133" s="255">
        <v>0</v>
      </c>
      <c r="Z133" s="1" cm="1">
        <f t="array" ref="Z133">IF(OR(ISERROR(B133:V133)),1,0)</f>
        <v>0</v>
      </c>
      <c r="AA133" s="1">
        <f t="shared" si="8"/>
        <v>0</v>
      </c>
    </row>
    <row r="134" spans="1:27" ht="15" thickBot="1" x14ac:dyDescent="0.4">
      <c r="A134" s="32"/>
      <c r="B134" s="173" t="str">
        <f t="shared" si="6"/>
        <v/>
      </c>
      <c r="C134" s="285" t="str">
        <f t="shared" si="7"/>
        <v/>
      </c>
      <c r="D134" s="211"/>
      <c r="E134" s="420" t="s">
        <v>163</v>
      </c>
      <c r="F134" s="209"/>
      <c r="G134" s="207"/>
      <c r="H134" s="422" t="s">
        <v>1095</v>
      </c>
      <c r="I134" s="423">
        <f>SupplychainTier2[[#This Row],[Spend for which Tier 2 method accounts]]</f>
        <v>0</v>
      </c>
      <c r="J134" s="423" t="s">
        <v>1095</v>
      </c>
      <c r="K134" s="423" t="str">
        <f>IFERROR(SupplychainTier2[[#This Row],[Calculated emissions (kgCO2e) for this spend]]/SupplychainTier2[[#This Row],[Spend for which Tier 2 method accounts]],"")</f>
        <v/>
      </c>
      <c r="L134" s="442"/>
      <c r="M134" s="201"/>
      <c r="N134" s="201"/>
      <c r="O134" s="255">
        <v>0</v>
      </c>
      <c r="P134" s="255">
        <v>0</v>
      </c>
      <c r="Q134" s="255">
        <f>SupplychainTier2[[#This Row],[Calculated emissions (kgCO2e) for this spend]]</f>
        <v>0</v>
      </c>
      <c r="R134" s="255">
        <v>0</v>
      </c>
      <c r="S134" s="255">
        <v>0</v>
      </c>
      <c r="T134" s="387" t="str">
        <f>IF(SupplychainTier2[[#This Row],[Calculated emissions (kgCO2e) for this spend]]="","",(SupplychainTier2[[#This Row],[Calculated emissions (kgCO2e) for this spend]]*(1+SupplychainTier2[[#This Row],[RSD]])))</f>
        <v/>
      </c>
      <c r="U134" s="387" t="str">
        <f>IF(SupplychainTier2[[#This Row],[Calculated emissions (kgCO2e) for this spend]]="","",(SupplychainTier2[[#This Row],[Calculated emissions (kgCO2e) for this spend]]*(1-SupplychainTier2[[#This Row],[RSD]])))</f>
        <v/>
      </c>
      <c r="V134" s="255">
        <v>0</v>
      </c>
      <c r="Z134" s="1" cm="1">
        <f t="array" ref="Z134">IF(OR(ISERROR(B134:V134)),1,0)</f>
        <v>0</v>
      </c>
      <c r="AA134" s="1">
        <f t="shared" si="8"/>
        <v>0</v>
      </c>
    </row>
    <row r="135" spans="1:27" ht="15" thickBot="1" x14ac:dyDescent="0.4">
      <c r="A135" s="32"/>
      <c r="B135" s="173" t="str">
        <f t="shared" si="6"/>
        <v/>
      </c>
      <c r="C135" s="285" t="str">
        <f t="shared" si="7"/>
        <v/>
      </c>
      <c r="D135" s="211"/>
      <c r="E135" s="420" t="s">
        <v>163</v>
      </c>
      <c r="F135" s="209"/>
      <c r="G135" s="207"/>
      <c r="H135" s="422" t="s">
        <v>1095</v>
      </c>
      <c r="I135" s="423">
        <f>SupplychainTier2[[#This Row],[Spend for which Tier 2 method accounts]]</f>
        <v>0</v>
      </c>
      <c r="J135" s="423" t="s">
        <v>1095</v>
      </c>
      <c r="K135" s="423" t="str">
        <f>IFERROR(SupplychainTier2[[#This Row],[Calculated emissions (kgCO2e) for this spend]]/SupplychainTier2[[#This Row],[Spend for which Tier 2 method accounts]],"")</f>
        <v/>
      </c>
      <c r="L135" s="442"/>
      <c r="M135" s="201"/>
      <c r="N135" s="201"/>
      <c r="O135" s="255">
        <v>0</v>
      </c>
      <c r="P135" s="255">
        <v>0</v>
      </c>
      <c r="Q135" s="255">
        <f>SupplychainTier2[[#This Row],[Calculated emissions (kgCO2e) for this spend]]</f>
        <v>0</v>
      </c>
      <c r="R135" s="255">
        <v>0</v>
      </c>
      <c r="S135" s="255">
        <v>0</v>
      </c>
      <c r="T135" s="387" t="str">
        <f>IF(SupplychainTier2[[#This Row],[Calculated emissions (kgCO2e) for this spend]]="","",(SupplychainTier2[[#This Row],[Calculated emissions (kgCO2e) for this spend]]*(1+SupplychainTier2[[#This Row],[RSD]])))</f>
        <v/>
      </c>
      <c r="U135" s="387" t="str">
        <f>IF(SupplychainTier2[[#This Row],[Calculated emissions (kgCO2e) for this spend]]="","",(SupplychainTier2[[#This Row],[Calculated emissions (kgCO2e) for this spend]]*(1-SupplychainTier2[[#This Row],[RSD]])))</f>
        <v/>
      </c>
      <c r="V135" s="255">
        <v>0</v>
      </c>
      <c r="Z135" s="1" cm="1">
        <f t="array" ref="Z135">IF(OR(ISERROR(B135:V135)),1,0)</f>
        <v>0</v>
      </c>
      <c r="AA135" s="1">
        <f t="shared" si="8"/>
        <v>0</v>
      </c>
    </row>
    <row r="136" spans="1:27" ht="15" thickBot="1" x14ac:dyDescent="0.4">
      <c r="A136" s="32"/>
      <c r="B136" s="173" t="str">
        <f t="shared" si="6"/>
        <v/>
      </c>
      <c r="C136" s="285" t="str">
        <f t="shared" si="7"/>
        <v/>
      </c>
      <c r="D136" s="211"/>
      <c r="E136" s="420" t="s">
        <v>163</v>
      </c>
      <c r="F136" s="209"/>
      <c r="G136" s="207"/>
      <c r="H136" s="422" t="s">
        <v>1095</v>
      </c>
      <c r="I136" s="423">
        <f>SupplychainTier2[[#This Row],[Spend for which Tier 2 method accounts]]</f>
        <v>0</v>
      </c>
      <c r="J136" s="423" t="s">
        <v>1095</v>
      </c>
      <c r="K136" s="423" t="str">
        <f>IFERROR(SupplychainTier2[[#This Row],[Calculated emissions (kgCO2e) for this spend]]/SupplychainTier2[[#This Row],[Spend for which Tier 2 method accounts]],"")</f>
        <v/>
      </c>
      <c r="L136" s="442"/>
      <c r="M136" s="201"/>
      <c r="N136" s="201"/>
      <c r="O136" s="255">
        <v>0</v>
      </c>
      <c r="P136" s="255">
        <v>0</v>
      </c>
      <c r="Q136" s="255">
        <f>SupplychainTier2[[#This Row],[Calculated emissions (kgCO2e) for this spend]]</f>
        <v>0</v>
      </c>
      <c r="R136" s="255">
        <v>0</v>
      </c>
      <c r="S136" s="255">
        <v>0</v>
      </c>
      <c r="T136" s="387" t="str">
        <f>IF(SupplychainTier2[[#This Row],[Calculated emissions (kgCO2e) for this spend]]="","",(SupplychainTier2[[#This Row],[Calculated emissions (kgCO2e) for this spend]]*(1+SupplychainTier2[[#This Row],[RSD]])))</f>
        <v/>
      </c>
      <c r="U136" s="387" t="str">
        <f>IF(SupplychainTier2[[#This Row],[Calculated emissions (kgCO2e) for this spend]]="","",(SupplychainTier2[[#This Row],[Calculated emissions (kgCO2e) for this spend]]*(1-SupplychainTier2[[#This Row],[RSD]])))</f>
        <v/>
      </c>
      <c r="V136" s="255">
        <v>0</v>
      </c>
      <c r="Z136" s="1" cm="1">
        <f t="array" ref="Z136">IF(OR(ISERROR(B136:V136)),1,0)</f>
        <v>0</v>
      </c>
      <c r="AA136" s="1">
        <f t="shared" si="8"/>
        <v>0</v>
      </c>
    </row>
    <row r="137" spans="1:27" ht="15" thickBot="1" x14ac:dyDescent="0.4">
      <c r="A137" s="32"/>
      <c r="B137" s="173" t="str">
        <f t="shared" si="6"/>
        <v/>
      </c>
      <c r="C137" s="285" t="str">
        <f t="shared" si="7"/>
        <v/>
      </c>
      <c r="D137" s="211"/>
      <c r="E137" s="420" t="s">
        <v>163</v>
      </c>
      <c r="F137" s="209"/>
      <c r="G137" s="207"/>
      <c r="H137" s="422" t="s">
        <v>1095</v>
      </c>
      <c r="I137" s="423">
        <f>SupplychainTier2[[#This Row],[Spend for which Tier 2 method accounts]]</f>
        <v>0</v>
      </c>
      <c r="J137" s="423" t="s">
        <v>1095</v>
      </c>
      <c r="K137" s="423" t="str">
        <f>IFERROR(SupplychainTier2[[#This Row],[Calculated emissions (kgCO2e) for this spend]]/SupplychainTier2[[#This Row],[Spend for which Tier 2 method accounts]],"")</f>
        <v/>
      </c>
      <c r="L137" s="442"/>
      <c r="M137" s="201"/>
      <c r="N137" s="201"/>
      <c r="O137" s="255">
        <v>0</v>
      </c>
      <c r="P137" s="255">
        <v>0</v>
      </c>
      <c r="Q137" s="255">
        <f>SupplychainTier2[[#This Row],[Calculated emissions (kgCO2e) for this spend]]</f>
        <v>0</v>
      </c>
      <c r="R137" s="255">
        <v>0</v>
      </c>
      <c r="S137" s="255">
        <v>0</v>
      </c>
      <c r="T137" s="387" t="str">
        <f>IF(SupplychainTier2[[#This Row],[Calculated emissions (kgCO2e) for this spend]]="","",(SupplychainTier2[[#This Row],[Calculated emissions (kgCO2e) for this spend]]*(1+SupplychainTier2[[#This Row],[RSD]])))</f>
        <v/>
      </c>
      <c r="U137" s="387" t="str">
        <f>IF(SupplychainTier2[[#This Row],[Calculated emissions (kgCO2e) for this spend]]="","",(SupplychainTier2[[#This Row],[Calculated emissions (kgCO2e) for this spend]]*(1-SupplychainTier2[[#This Row],[RSD]])))</f>
        <v/>
      </c>
      <c r="V137" s="255">
        <v>0</v>
      </c>
      <c r="Z137" s="1" cm="1">
        <f t="array" ref="Z137">IF(OR(ISERROR(B137:V137)),1,0)</f>
        <v>0</v>
      </c>
      <c r="AA137" s="1">
        <f t="shared" si="8"/>
        <v>0</v>
      </c>
    </row>
    <row r="138" spans="1:27" ht="15" thickBot="1" x14ac:dyDescent="0.4">
      <c r="A138" s="32"/>
      <c r="B138" s="173" t="str">
        <f t="shared" si="6"/>
        <v/>
      </c>
      <c r="C138" s="285" t="str">
        <f t="shared" si="7"/>
        <v/>
      </c>
      <c r="D138" s="211"/>
      <c r="E138" s="420" t="s">
        <v>163</v>
      </c>
      <c r="F138" s="209"/>
      <c r="G138" s="207"/>
      <c r="H138" s="422" t="s">
        <v>1095</v>
      </c>
      <c r="I138" s="423">
        <f>SupplychainTier2[[#This Row],[Spend for which Tier 2 method accounts]]</f>
        <v>0</v>
      </c>
      <c r="J138" s="423" t="s">
        <v>1095</v>
      </c>
      <c r="K138" s="423" t="str">
        <f>IFERROR(SupplychainTier2[[#This Row],[Calculated emissions (kgCO2e) for this spend]]/SupplychainTier2[[#This Row],[Spend for which Tier 2 method accounts]],"")</f>
        <v/>
      </c>
      <c r="L138" s="442"/>
      <c r="M138" s="201"/>
      <c r="N138" s="201"/>
      <c r="O138" s="255">
        <v>0</v>
      </c>
      <c r="P138" s="255">
        <v>0</v>
      </c>
      <c r="Q138" s="255">
        <f>SupplychainTier2[[#This Row],[Calculated emissions (kgCO2e) for this spend]]</f>
        <v>0</v>
      </c>
      <c r="R138" s="255">
        <v>0</v>
      </c>
      <c r="S138" s="255">
        <v>0</v>
      </c>
      <c r="T138" s="387" t="str">
        <f>IF(SupplychainTier2[[#This Row],[Calculated emissions (kgCO2e) for this spend]]="","",(SupplychainTier2[[#This Row],[Calculated emissions (kgCO2e) for this spend]]*(1+SupplychainTier2[[#This Row],[RSD]])))</f>
        <v/>
      </c>
      <c r="U138" s="387" t="str">
        <f>IF(SupplychainTier2[[#This Row],[Calculated emissions (kgCO2e) for this spend]]="","",(SupplychainTier2[[#This Row],[Calculated emissions (kgCO2e) for this spend]]*(1-SupplychainTier2[[#This Row],[RSD]])))</f>
        <v/>
      </c>
      <c r="V138" s="255">
        <v>0</v>
      </c>
      <c r="Z138" s="1" cm="1">
        <f t="array" ref="Z138">IF(OR(ISERROR(B138:V138)),1,0)</f>
        <v>0</v>
      </c>
      <c r="AA138" s="1">
        <f t="shared" si="8"/>
        <v>0</v>
      </c>
    </row>
    <row r="139" spans="1:27" ht="15" thickBot="1" x14ac:dyDescent="0.4">
      <c r="A139" s="32"/>
      <c r="B139" s="173" t="str">
        <f t="shared" si="6"/>
        <v/>
      </c>
      <c r="C139" s="285" t="str">
        <f t="shared" si="7"/>
        <v/>
      </c>
      <c r="D139" s="211"/>
      <c r="E139" s="420" t="s">
        <v>163</v>
      </c>
      <c r="F139" s="209"/>
      <c r="G139" s="207"/>
      <c r="H139" s="422" t="s">
        <v>1095</v>
      </c>
      <c r="I139" s="423">
        <f>SupplychainTier2[[#This Row],[Spend for which Tier 2 method accounts]]</f>
        <v>0</v>
      </c>
      <c r="J139" s="423" t="s">
        <v>1095</v>
      </c>
      <c r="K139" s="423" t="str">
        <f>IFERROR(SupplychainTier2[[#This Row],[Calculated emissions (kgCO2e) for this spend]]/SupplychainTier2[[#This Row],[Spend for which Tier 2 method accounts]],"")</f>
        <v/>
      </c>
      <c r="L139" s="442"/>
      <c r="M139" s="201"/>
      <c r="N139" s="201"/>
      <c r="O139" s="255">
        <v>0</v>
      </c>
      <c r="P139" s="255">
        <v>0</v>
      </c>
      <c r="Q139" s="255">
        <f>SupplychainTier2[[#This Row],[Calculated emissions (kgCO2e) for this spend]]</f>
        <v>0</v>
      </c>
      <c r="R139" s="255">
        <v>0</v>
      </c>
      <c r="S139" s="255">
        <v>0</v>
      </c>
      <c r="T139" s="387" t="str">
        <f>IF(SupplychainTier2[[#This Row],[Calculated emissions (kgCO2e) for this spend]]="","",(SupplychainTier2[[#This Row],[Calculated emissions (kgCO2e) for this spend]]*(1+SupplychainTier2[[#This Row],[RSD]])))</f>
        <v/>
      </c>
      <c r="U139" s="387" t="str">
        <f>IF(SupplychainTier2[[#This Row],[Calculated emissions (kgCO2e) for this spend]]="","",(SupplychainTier2[[#This Row],[Calculated emissions (kgCO2e) for this spend]]*(1-SupplychainTier2[[#This Row],[RSD]])))</f>
        <v/>
      </c>
      <c r="V139" s="255">
        <v>0</v>
      </c>
      <c r="Z139" s="1" cm="1">
        <f t="array" ref="Z139">IF(OR(ISERROR(B139:V139)),1,0)</f>
        <v>0</v>
      </c>
      <c r="AA139" s="1">
        <f t="shared" si="8"/>
        <v>0</v>
      </c>
    </row>
    <row r="140" spans="1:27" ht="15" thickBot="1" x14ac:dyDescent="0.4">
      <c r="A140" s="32"/>
      <c r="B140" s="173" t="str">
        <f t="shared" si="6"/>
        <v/>
      </c>
      <c r="C140" s="285" t="str">
        <f t="shared" si="7"/>
        <v/>
      </c>
      <c r="D140" s="211"/>
      <c r="E140" s="420" t="s">
        <v>163</v>
      </c>
      <c r="F140" s="209"/>
      <c r="G140" s="207"/>
      <c r="H140" s="422" t="s">
        <v>1095</v>
      </c>
      <c r="I140" s="423">
        <f>SupplychainTier2[[#This Row],[Spend for which Tier 2 method accounts]]</f>
        <v>0</v>
      </c>
      <c r="J140" s="423" t="s">
        <v>1095</v>
      </c>
      <c r="K140" s="423" t="str">
        <f>IFERROR(SupplychainTier2[[#This Row],[Calculated emissions (kgCO2e) for this spend]]/SupplychainTier2[[#This Row],[Spend for which Tier 2 method accounts]],"")</f>
        <v/>
      </c>
      <c r="L140" s="442"/>
      <c r="M140" s="201"/>
      <c r="N140" s="201"/>
      <c r="O140" s="255">
        <v>0</v>
      </c>
      <c r="P140" s="255">
        <v>0</v>
      </c>
      <c r="Q140" s="255">
        <f>SupplychainTier2[[#This Row],[Calculated emissions (kgCO2e) for this spend]]</f>
        <v>0</v>
      </c>
      <c r="R140" s="255">
        <v>0</v>
      </c>
      <c r="S140" s="255">
        <v>0</v>
      </c>
      <c r="T140" s="387" t="str">
        <f>IF(SupplychainTier2[[#This Row],[Calculated emissions (kgCO2e) for this spend]]="","",(SupplychainTier2[[#This Row],[Calculated emissions (kgCO2e) for this spend]]*(1+SupplychainTier2[[#This Row],[RSD]])))</f>
        <v/>
      </c>
      <c r="U140" s="387" t="str">
        <f>IF(SupplychainTier2[[#This Row],[Calculated emissions (kgCO2e) for this spend]]="","",(SupplychainTier2[[#This Row],[Calculated emissions (kgCO2e) for this spend]]*(1-SupplychainTier2[[#This Row],[RSD]])))</f>
        <v/>
      </c>
      <c r="V140" s="255">
        <v>0</v>
      </c>
      <c r="Z140" s="1" cm="1">
        <f t="array" ref="Z140">IF(OR(ISERROR(B140:V140)),1,0)</f>
        <v>0</v>
      </c>
      <c r="AA140" s="1">
        <f t="shared" si="8"/>
        <v>0</v>
      </c>
    </row>
    <row r="141" spans="1:27" ht="15" thickBot="1" x14ac:dyDescent="0.4">
      <c r="A141" s="32"/>
      <c r="B141" s="173" t="str">
        <f t="shared" si="6"/>
        <v/>
      </c>
      <c r="C141" s="285" t="str">
        <f t="shared" si="7"/>
        <v/>
      </c>
      <c r="D141" s="211"/>
      <c r="E141" s="420" t="s">
        <v>163</v>
      </c>
      <c r="F141" s="209"/>
      <c r="G141" s="207"/>
      <c r="H141" s="422" t="s">
        <v>1095</v>
      </c>
      <c r="I141" s="423">
        <f>SupplychainTier2[[#This Row],[Spend for which Tier 2 method accounts]]</f>
        <v>0</v>
      </c>
      <c r="J141" s="423" t="s">
        <v>1095</v>
      </c>
      <c r="K141" s="423" t="str">
        <f>IFERROR(SupplychainTier2[[#This Row],[Calculated emissions (kgCO2e) for this spend]]/SupplychainTier2[[#This Row],[Spend for which Tier 2 method accounts]],"")</f>
        <v/>
      </c>
      <c r="L141" s="442"/>
      <c r="M141" s="201"/>
      <c r="N141" s="201"/>
      <c r="O141" s="255">
        <v>0</v>
      </c>
      <c r="P141" s="255">
        <v>0</v>
      </c>
      <c r="Q141" s="255">
        <f>SupplychainTier2[[#This Row],[Calculated emissions (kgCO2e) for this spend]]</f>
        <v>0</v>
      </c>
      <c r="R141" s="255">
        <v>0</v>
      </c>
      <c r="S141" s="255">
        <v>0</v>
      </c>
      <c r="T141" s="387" t="str">
        <f>IF(SupplychainTier2[[#This Row],[Calculated emissions (kgCO2e) for this spend]]="","",(SupplychainTier2[[#This Row],[Calculated emissions (kgCO2e) for this spend]]*(1+SupplychainTier2[[#This Row],[RSD]])))</f>
        <v/>
      </c>
      <c r="U141" s="387" t="str">
        <f>IF(SupplychainTier2[[#This Row],[Calculated emissions (kgCO2e) for this spend]]="","",(SupplychainTier2[[#This Row],[Calculated emissions (kgCO2e) for this spend]]*(1-SupplychainTier2[[#This Row],[RSD]])))</f>
        <v/>
      </c>
      <c r="V141" s="255">
        <v>0</v>
      </c>
      <c r="Z141" s="1" cm="1">
        <f t="array" ref="Z141">IF(OR(ISERROR(B141:V141)),1,0)</f>
        <v>0</v>
      </c>
      <c r="AA141" s="1">
        <f t="shared" si="8"/>
        <v>0</v>
      </c>
    </row>
    <row r="142" spans="1:27" ht="15" thickBot="1" x14ac:dyDescent="0.4">
      <c r="A142" s="32"/>
      <c r="B142" s="173" t="str">
        <f t="shared" si="6"/>
        <v/>
      </c>
      <c r="C142" s="285" t="str">
        <f t="shared" si="7"/>
        <v/>
      </c>
      <c r="D142" s="211"/>
      <c r="E142" s="420" t="s">
        <v>163</v>
      </c>
      <c r="F142" s="209"/>
      <c r="G142" s="207"/>
      <c r="H142" s="422" t="s">
        <v>1095</v>
      </c>
      <c r="I142" s="423">
        <f>SupplychainTier2[[#This Row],[Spend for which Tier 2 method accounts]]</f>
        <v>0</v>
      </c>
      <c r="J142" s="423" t="s">
        <v>1095</v>
      </c>
      <c r="K142" s="423" t="str">
        <f>IFERROR(SupplychainTier2[[#This Row],[Calculated emissions (kgCO2e) for this spend]]/SupplychainTier2[[#This Row],[Spend for which Tier 2 method accounts]],"")</f>
        <v/>
      </c>
      <c r="L142" s="442"/>
      <c r="M142" s="201"/>
      <c r="N142" s="201"/>
      <c r="O142" s="255">
        <v>0</v>
      </c>
      <c r="P142" s="255">
        <v>0</v>
      </c>
      <c r="Q142" s="255">
        <f>SupplychainTier2[[#This Row],[Calculated emissions (kgCO2e) for this spend]]</f>
        <v>0</v>
      </c>
      <c r="R142" s="255">
        <v>0</v>
      </c>
      <c r="S142" s="255">
        <v>0</v>
      </c>
      <c r="T142" s="387" t="str">
        <f>IF(SupplychainTier2[[#This Row],[Calculated emissions (kgCO2e) for this spend]]="","",(SupplychainTier2[[#This Row],[Calculated emissions (kgCO2e) for this spend]]*(1+SupplychainTier2[[#This Row],[RSD]])))</f>
        <v/>
      </c>
      <c r="U142" s="387" t="str">
        <f>IF(SupplychainTier2[[#This Row],[Calculated emissions (kgCO2e) for this spend]]="","",(SupplychainTier2[[#This Row],[Calculated emissions (kgCO2e) for this spend]]*(1-SupplychainTier2[[#This Row],[RSD]])))</f>
        <v/>
      </c>
      <c r="V142" s="255">
        <v>0</v>
      </c>
      <c r="Z142" s="1" cm="1">
        <f t="array" ref="Z142">IF(OR(ISERROR(B142:V142)),1,0)</f>
        <v>0</v>
      </c>
      <c r="AA142" s="1">
        <f t="shared" si="8"/>
        <v>0</v>
      </c>
    </row>
    <row r="143" spans="1:27" ht="15" thickBot="1" x14ac:dyDescent="0.4">
      <c r="A143" s="32"/>
      <c r="B143" s="173" t="str">
        <f t="shared" si="6"/>
        <v/>
      </c>
      <c r="C143" s="285" t="str">
        <f t="shared" si="7"/>
        <v/>
      </c>
      <c r="D143" s="211"/>
      <c r="E143" s="420" t="s">
        <v>163</v>
      </c>
      <c r="F143" s="209"/>
      <c r="G143" s="207"/>
      <c r="H143" s="422" t="s">
        <v>1095</v>
      </c>
      <c r="I143" s="423">
        <f>SupplychainTier2[[#This Row],[Spend for which Tier 2 method accounts]]</f>
        <v>0</v>
      </c>
      <c r="J143" s="423" t="s">
        <v>1095</v>
      </c>
      <c r="K143" s="423" t="str">
        <f>IFERROR(SupplychainTier2[[#This Row],[Calculated emissions (kgCO2e) for this spend]]/SupplychainTier2[[#This Row],[Spend for which Tier 2 method accounts]],"")</f>
        <v/>
      </c>
      <c r="L143" s="442"/>
      <c r="M143" s="201"/>
      <c r="N143" s="201"/>
      <c r="O143" s="255">
        <v>0</v>
      </c>
      <c r="P143" s="255">
        <v>0</v>
      </c>
      <c r="Q143" s="255">
        <f>SupplychainTier2[[#This Row],[Calculated emissions (kgCO2e) for this spend]]</f>
        <v>0</v>
      </c>
      <c r="R143" s="255">
        <v>0</v>
      </c>
      <c r="S143" s="255">
        <v>0</v>
      </c>
      <c r="T143" s="387" t="str">
        <f>IF(SupplychainTier2[[#This Row],[Calculated emissions (kgCO2e) for this spend]]="","",(SupplychainTier2[[#This Row],[Calculated emissions (kgCO2e) for this spend]]*(1+SupplychainTier2[[#This Row],[RSD]])))</f>
        <v/>
      </c>
      <c r="U143" s="387" t="str">
        <f>IF(SupplychainTier2[[#This Row],[Calculated emissions (kgCO2e) for this spend]]="","",(SupplychainTier2[[#This Row],[Calculated emissions (kgCO2e) for this spend]]*(1-SupplychainTier2[[#This Row],[RSD]])))</f>
        <v/>
      </c>
      <c r="V143" s="255">
        <v>0</v>
      </c>
      <c r="Z143" s="1" cm="1">
        <f t="array" ref="Z143">IF(OR(ISERROR(B143:V143)),1,0)</f>
        <v>0</v>
      </c>
      <c r="AA143" s="1">
        <f t="shared" si="8"/>
        <v>0</v>
      </c>
    </row>
    <row r="144" spans="1:27" ht="15" thickBot="1" x14ac:dyDescent="0.4">
      <c r="A144" s="32"/>
      <c r="B144" s="173" t="str">
        <f t="shared" si="6"/>
        <v/>
      </c>
      <c r="C144" s="285" t="str">
        <f t="shared" si="7"/>
        <v/>
      </c>
      <c r="D144" s="211"/>
      <c r="E144" s="420" t="s">
        <v>163</v>
      </c>
      <c r="F144" s="209"/>
      <c r="G144" s="207"/>
      <c r="H144" s="422" t="s">
        <v>1095</v>
      </c>
      <c r="I144" s="423">
        <f>SupplychainTier2[[#This Row],[Spend for which Tier 2 method accounts]]</f>
        <v>0</v>
      </c>
      <c r="J144" s="423" t="s">
        <v>1095</v>
      </c>
      <c r="K144" s="423" t="str">
        <f>IFERROR(SupplychainTier2[[#This Row],[Calculated emissions (kgCO2e) for this spend]]/SupplychainTier2[[#This Row],[Spend for which Tier 2 method accounts]],"")</f>
        <v/>
      </c>
      <c r="L144" s="442"/>
      <c r="M144" s="201"/>
      <c r="N144" s="201"/>
      <c r="O144" s="255">
        <v>0</v>
      </c>
      <c r="P144" s="255">
        <v>0</v>
      </c>
      <c r="Q144" s="255">
        <f>SupplychainTier2[[#This Row],[Calculated emissions (kgCO2e) for this spend]]</f>
        <v>0</v>
      </c>
      <c r="R144" s="255">
        <v>0</v>
      </c>
      <c r="S144" s="255">
        <v>0</v>
      </c>
      <c r="T144" s="387" t="str">
        <f>IF(SupplychainTier2[[#This Row],[Calculated emissions (kgCO2e) for this spend]]="","",(SupplychainTier2[[#This Row],[Calculated emissions (kgCO2e) for this spend]]*(1+SupplychainTier2[[#This Row],[RSD]])))</f>
        <v/>
      </c>
      <c r="U144" s="387" t="str">
        <f>IF(SupplychainTier2[[#This Row],[Calculated emissions (kgCO2e) for this spend]]="","",(SupplychainTier2[[#This Row],[Calculated emissions (kgCO2e) for this spend]]*(1-SupplychainTier2[[#This Row],[RSD]])))</f>
        <v/>
      </c>
      <c r="V144" s="255">
        <v>0</v>
      </c>
      <c r="Z144" s="1" cm="1">
        <f t="array" ref="Z144">IF(OR(ISERROR(B144:V144)),1,0)</f>
        <v>0</v>
      </c>
      <c r="AA144" s="1">
        <f t="shared" si="8"/>
        <v>0</v>
      </c>
    </row>
    <row r="145" spans="1:27" ht="15" thickBot="1" x14ac:dyDescent="0.4">
      <c r="A145" s="32"/>
      <c r="B145" s="173" t="str">
        <f t="shared" si="6"/>
        <v/>
      </c>
      <c r="C145" s="285" t="str">
        <f t="shared" si="7"/>
        <v/>
      </c>
      <c r="D145" s="211"/>
      <c r="E145" s="420" t="s">
        <v>163</v>
      </c>
      <c r="F145" s="209"/>
      <c r="G145" s="207"/>
      <c r="H145" s="422" t="s">
        <v>1095</v>
      </c>
      <c r="I145" s="423">
        <f>SupplychainTier2[[#This Row],[Spend for which Tier 2 method accounts]]</f>
        <v>0</v>
      </c>
      <c r="J145" s="423" t="s">
        <v>1095</v>
      </c>
      <c r="K145" s="423" t="str">
        <f>IFERROR(SupplychainTier2[[#This Row],[Calculated emissions (kgCO2e) for this spend]]/SupplychainTier2[[#This Row],[Spend for which Tier 2 method accounts]],"")</f>
        <v/>
      </c>
      <c r="L145" s="442"/>
      <c r="M145" s="201"/>
      <c r="N145" s="201"/>
      <c r="O145" s="255">
        <v>0</v>
      </c>
      <c r="P145" s="255">
        <v>0</v>
      </c>
      <c r="Q145" s="255">
        <f>SupplychainTier2[[#This Row],[Calculated emissions (kgCO2e) for this spend]]</f>
        <v>0</v>
      </c>
      <c r="R145" s="255">
        <v>0</v>
      </c>
      <c r="S145" s="255">
        <v>0</v>
      </c>
      <c r="T145" s="387" t="str">
        <f>IF(SupplychainTier2[[#This Row],[Calculated emissions (kgCO2e) for this spend]]="","",(SupplychainTier2[[#This Row],[Calculated emissions (kgCO2e) for this spend]]*(1+SupplychainTier2[[#This Row],[RSD]])))</f>
        <v/>
      </c>
      <c r="U145" s="387" t="str">
        <f>IF(SupplychainTier2[[#This Row],[Calculated emissions (kgCO2e) for this spend]]="","",(SupplychainTier2[[#This Row],[Calculated emissions (kgCO2e) for this spend]]*(1-SupplychainTier2[[#This Row],[RSD]])))</f>
        <v/>
      </c>
      <c r="V145" s="255">
        <v>0</v>
      </c>
      <c r="Z145" s="1" cm="1">
        <f t="array" ref="Z145">IF(OR(ISERROR(B145:V145)),1,0)</f>
        <v>0</v>
      </c>
      <c r="AA145" s="1">
        <f t="shared" si="8"/>
        <v>0</v>
      </c>
    </row>
    <row r="146" spans="1:27" ht="15" thickBot="1" x14ac:dyDescent="0.4">
      <c r="A146" s="32"/>
      <c r="B146" s="173" t="str">
        <f t="shared" si="6"/>
        <v/>
      </c>
      <c r="C146" s="285" t="str">
        <f t="shared" si="7"/>
        <v/>
      </c>
      <c r="D146" s="211"/>
      <c r="E146" s="420" t="s">
        <v>163</v>
      </c>
      <c r="F146" s="209"/>
      <c r="G146" s="207"/>
      <c r="H146" s="422" t="s">
        <v>1095</v>
      </c>
      <c r="I146" s="423">
        <f>SupplychainTier2[[#This Row],[Spend for which Tier 2 method accounts]]</f>
        <v>0</v>
      </c>
      <c r="J146" s="423" t="s">
        <v>1095</v>
      </c>
      <c r="K146" s="423" t="str">
        <f>IFERROR(SupplychainTier2[[#This Row],[Calculated emissions (kgCO2e) for this spend]]/SupplychainTier2[[#This Row],[Spend for which Tier 2 method accounts]],"")</f>
        <v/>
      </c>
      <c r="L146" s="442"/>
      <c r="M146" s="201"/>
      <c r="N146" s="201"/>
      <c r="O146" s="255">
        <v>0</v>
      </c>
      <c r="P146" s="255">
        <v>0</v>
      </c>
      <c r="Q146" s="255">
        <f>SupplychainTier2[[#This Row],[Calculated emissions (kgCO2e) for this spend]]</f>
        <v>0</v>
      </c>
      <c r="R146" s="255">
        <v>0</v>
      </c>
      <c r="S146" s="255">
        <v>0</v>
      </c>
      <c r="T146" s="387" t="str">
        <f>IF(SupplychainTier2[[#This Row],[Calculated emissions (kgCO2e) for this spend]]="","",(SupplychainTier2[[#This Row],[Calculated emissions (kgCO2e) for this spend]]*(1+SupplychainTier2[[#This Row],[RSD]])))</f>
        <v/>
      </c>
      <c r="U146" s="387" t="str">
        <f>IF(SupplychainTier2[[#This Row],[Calculated emissions (kgCO2e) for this spend]]="","",(SupplychainTier2[[#This Row],[Calculated emissions (kgCO2e) for this spend]]*(1-SupplychainTier2[[#This Row],[RSD]])))</f>
        <v/>
      </c>
      <c r="V146" s="255">
        <v>0</v>
      </c>
      <c r="Z146" s="1" cm="1">
        <f t="array" ref="Z146">IF(OR(ISERROR(B146:V146)),1,0)</f>
        <v>0</v>
      </c>
      <c r="AA146" s="1">
        <f t="shared" si="8"/>
        <v>0</v>
      </c>
    </row>
    <row r="147" spans="1:27" ht="15" thickBot="1" x14ac:dyDescent="0.4">
      <c r="A147" s="32"/>
      <c r="B147" s="173" t="str">
        <f t="shared" si="6"/>
        <v/>
      </c>
      <c r="C147" s="285" t="str">
        <f t="shared" si="7"/>
        <v/>
      </c>
      <c r="D147" s="211"/>
      <c r="E147" s="420" t="s">
        <v>163</v>
      </c>
      <c r="F147" s="209"/>
      <c r="G147" s="148"/>
      <c r="H147" s="422" t="s">
        <v>1095</v>
      </c>
      <c r="I147" s="423">
        <f>SupplychainTier2[[#This Row],[Spend for which Tier 2 method accounts]]</f>
        <v>0</v>
      </c>
      <c r="J147" s="423" t="s">
        <v>1095</v>
      </c>
      <c r="K147" s="423" t="str">
        <f>IFERROR(SupplychainTier2[[#This Row],[Calculated emissions (kgCO2e) for this spend]]/SupplychainTier2[[#This Row],[Spend for which Tier 2 method accounts]],"")</f>
        <v/>
      </c>
      <c r="L147" s="442"/>
      <c r="M147" s="201"/>
      <c r="N147" s="201"/>
      <c r="O147" s="255">
        <v>0</v>
      </c>
      <c r="P147" s="255">
        <v>0</v>
      </c>
      <c r="Q147" s="255">
        <f>SupplychainTier2[[#This Row],[Calculated emissions (kgCO2e) for this spend]]</f>
        <v>0</v>
      </c>
      <c r="R147" s="255">
        <v>0</v>
      </c>
      <c r="S147" s="255">
        <v>0</v>
      </c>
      <c r="T147" s="387" t="str">
        <f>IF(SupplychainTier2[[#This Row],[Calculated emissions (kgCO2e) for this spend]]="","",(SupplychainTier2[[#This Row],[Calculated emissions (kgCO2e) for this spend]]*(1+SupplychainTier2[[#This Row],[RSD]])))</f>
        <v/>
      </c>
      <c r="U147" s="387" t="str">
        <f>IF(SupplychainTier2[[#This Row],[Calculated emissions (kgCO2e) for this spend]]="","",(SupplychainTier2[[#This Row],[Calculated emissions (kgCO2e) for this spend]]*(1-SupplychainTier2[[#This Row],[RSD]])))</f>
        <v/>
      </c>
      <c r="V147" s="255">
        <v>0</v>
      </c>
      <c r="Z147" s="1" cm="1">
        <f t="array" ref="Z147">IF(OR(ISERROR(B147:V147)),1,0)</f>
        <v>0</v>
      </c>
      <c r="AA147" s="1">
        <f t="shared" si="8"/>
        <v>0</v>
      </c>
    </row>
    <row r="148" spans="1:27" ht="15" thickBot="1" x14ac:dyDescent="0.4">
      <c r="A148" s="32"/>
      <c r="B148" s="173" t="str">
        <f t="shared" si="6"/>
        <v/>
      </c>
      <c r="C148" s="285" t="str">
        <f t="shared" si="7"/>
        <v/>
      </c>
      <c r="D148" s="211"/>
      <c r="E148" s="420" t="s">
        <v>163</v>
      </c>
      <c r="F148" s="209"/>
      <c r="G148" s="148"/>
      <c r="H148" s="422" t="s">
        <v>1095</v>
      </c>
      <c r="I148" s="423">
        <f>SupplychainTier2[[#This Row],[Spend for which Tier 2 method accounts]]</f>
        <v>0</v>
      </c>
      <c r="J148" s="423" t="s">
        <v>1095</v>
      </c>
      <c r="K148" s="423" t="str">
        <f>IFERROR(SupplychainTier2[[#This Row],[Calculated emissions (kgCO2e) for this spend]]/SupplychainTier2[[#This Row],[Spend for which Tier 2 method accounts]],"")</f>
        <v/>
      </c>
      <c r="L148" s="442"/>
      <c r="M148" s="201"/>
      <c r="N148" s="201"/>
      <c r="O148" s="255">
        <v>0</v>
      </c>
      <c r="P148" s="255">
        <v>0</v>
      </c>
      <c r="Q148" s="255">
        <f>SupplychainTier2[[#This Row],[Calculated emissions (kgCO2e) for this spend]]</f>
        <v>0</v>
      </c>
      <c r="R148" s="255">
        <v>0</v>
      </c>
      <c r="S148" s="255">
        <v>0</v>
      </c>
      <c r="T148" s="387" t="str">
        <f>IF(SupplychainTier2[[#This Row],[Calculated emissions (kgCO2e) for this spend]]="","",(SupplychainTier2[[#This Row],[Calculated emissions (kgCO2e) for this spend]]*(1+SupplychainTier2[[#This Row],[RSD]])))</f>
        <v/>
      </c>
      <c r="U148" s="387" t="str">
        <f>IF(SupplychainTier2[[#This Row],[Calculated emissions (kgCO2e) for this spend]]="","",(SupplychainTier2[[#This Row],[Calculated emissions (kgCO2e) for this spend]]*(1-SupplychainTier2[[#This Row],[RSD]])))</f>
        <v/>
      </c>
      <c r="V148" s="255">
        <v>0</v>
      </c>
      <c r="Z148" s="1" cm="1">
        <f t="array" ref="Z148">IF(OR(ISERROR(B148:V148)),1,0)</f>
        <v>0</v>
      </c>
      <c r="AA148" s="1">
        <f t="shared" si="8"/>
        <v>0</v>
      </c>
    </row>
    <row r="149" spans="1:27" ht="15" thickBot="1" x14ac:dyDescent="0.4">
      <c r="A149" s="32"/>
      <c r="B149" s="173" t="str">
        <f t="shared" si="6"/>
        <v/>
      </c>
      <c r="C149" s="285" t="str">
        <f t="shared" si="7"/>
        <v/>
      </c>
      <c r="D149" s="211"/>
      <c r="E149" s="420" t="s">
        <v>163</v>
      </c>
      <c r="F149" s="209"/>
      <c r="G149" s="148"/>
      <c r="H149" s="422" t="s">
        <v>1095</v>
      </c>
      <c r="I149" s="423">
        <f>SupplychainTier2[[#This Row],[Spend for which Tier 2 method accounts]]</f>
        <v>0</v>
      </c>
      <c r="J149" s="423" t="s">
        <v>1095</v>
      </c>
      <c r="K149" s="423" t="str">
        <f>IFERROR(SupplychainTier2[[#This Row],[Calculated emissions (kgCO2e) for this spend]]/SupplychainTier2[[#This Row],[Spend for which Tier 2 method accounts]],"")</f>
        <v/>
      </c>
      <c r="L149" s="442"/>
      <c r="M149" s="201"/>
      <c r="N149" s="201"/>
      <c r="O149" s="255">
        <v>0</v>
      </c>
      <c r="P149" s="255">
        <v>0</v>
      </c>
      <c r="Q149" s="255">
        <f>SupplychainTier2[[#This Row],[Calculated emissions (kgCO2e) for this spend]]</f>
        <v>0</v>
      </c>
      <c r="R149" s="255">
        <v>0</v>
      </c>
      <c r="S149" s="255">
        <v>0</v>
      </c>
      <c r="T149" s="387" t="str">
        <f>IF(SupplychainTier2[[#This Row],[Calculated emissions (kgCO2e) for this spend]]="","",(SupplychainTier2[[#This Row],[Calculated emissions (kgCO2e) for this spend]]*(1+SupplychainTier2[[#This Row],[RSD]])))</f>
        <v/>
      </c>
      <c r="U149" s="387" t="str">
        <f>IF(SupplychainTier2[[#This Row],[Calculated emissions (kgCO2e) for this spend]]="","",(SupplychainTier2[[#This Row],[Calculated emissions (kgCO2e) for this spend]]*(1-SupplychainTier2[[#This Row],[RSD]])))</f>
        <v/>
      </c>
      <c r="V149" s="255">
        <v>0</v>
      </c>
      <c r="Z149" s="1" cm="1">
        <f t="array" ref="Z149">IF(OR(ISERROR(B149:V149)),1,0)</f>
        <v>0</v>
      </c>
      <c r="AA149" s="1">
        <f t="shared" si="8"/>
        <v>0</v>
      </c>
    </row>
    <row r="150" spans="1:27" ht="15" thickBot="1" x14ac:dyDescent="0.4">
      <c r="A150" s="32"/>
      <c r="B150" s="173" t="str">
        <f t="shared" si="6"/>
        <v/>
      </c>
      <c r="C150" s="285" t="str">
        <f t="shared" si="7"/>
        <v/>
      </c>
      <c r="D150" s="211"/>
      <c r="E150" s="420" t="s">
        <v>163</v>
      </c>
      <c r="F150" s="209"/>
      <c r="G150" s="148"/>
      <c r="H150" s="422" t="s">
        <v>1095</v>
      </c>
      <c r="I150" s="423">
        <f>SupplychainTier2[[#This Row],[Spend for which Tier 2 method accounts]]</f>
        <v>0</v>
      </c>
      <c r="J150" s="423" t="s">
        <v>1095</v>
      </c>
      <c r="K150" s="423" t="str">
        <f>IFERROR(SupplychainTier2[[#This Row],[Calculated emissions (kgCO2e) for this spend]]/SupplychainTier2[[#This Row],[Spend for which Tier 2 method accounts]],"")</f>
        <v/>
      </c>
      <c r="L150" s="442"/>
      <c r="M150" s="201"/>
      <c r="N150" s="201"/>
      <c r="O150" s="255">
        <v>0</v>
      </c>
      <c r="P150" s="255">
        <v>0</v>
      </c>
      <c r="Q150" s="255">
        <f>SupplychainTier2[[#This Row],[Calculated emissions (kgCO2e) for this spend]]</f>
        <v>0</v>
      </c>
      <c r="R150" s="255">
        <v>0</v>
      </c>
      <c r="S150" s="255">
        <v>0</v>
      </c>
      <c r="T150" s="387" t="str">
        <f>IF(SupplychainTier2[[#This Row],[Calculated emissions (kgCO2e) for this spend]]="","",(SupplychainTier2[[#This Row],[Calculated emissions (kgCO2e) for this spend]]*(1+SupplychainTier2[[#This Row],[RSD]])))</f>
        <v/>
      </c>
      <c r="U150" s="387" t="str">
        <f>IF(SupplychainTier2[[#This Row],[Calculated emissions (kgCO2e) for this spend]]="","",(SupplychainTier2[[#This Row],[Calculated emissions (kgCO2e) for this spend]]*(1-SupplychainTier2[[#This Row],[RSD]])))</f>
        <v/>
      </c>
      <c r="V150" s="255">
        <v>0</v>
      </c>
      <c r="Z150" s="1" cm="1">
        <f t="array" ref="Z150">IF(OR(ISERROR(B150:V150)),1,0)</f>
        <v>0</v>
      </c>
      <c r="AA150" s="1">
        <f t="shared" si="8"/>
        <v>0</v>
      </c>
    </row>
    <row r="151" spans="1:27" ht="15" thickBot="1" x14ac:dyDescent="0.4">
      <c r="A151" s="32"/>
      <c r="B151" s="173" t="str">
        <f t="shared" si="6"/>
        <v/>
      </c>
      <c r="C151" s="285" t="str">
        <f t="shared" si="7"/>
        <v/>
      </c>
      <c r="D151" s="211"/>
      <c r="E151" s="420" t="s">
        <v>163</v>
      </c>
      <c r="F151" s="209"/>
      <c r="G151" s="148"/>
      <c r="H151" s="422" t="s">
        <v>1095</v>
      </c>
      <c r="I151" s="423">
        <f>SupplychainTier2[[#This Row],[Spend for which Tier 2 method accounts]]</f>
        <v>0</v>
      </c>
      <c r="J151" s="423" t="s">
        <v>1095</v>
      </c>
      <c r="K151" s="423" t="str">
        <f>IFERROR(SupplychainTier2[[#This Row],[Calculated emissions (kgCO2e) for this spend]]/SupplychainTier2[[#This Row],[Spend for which Tier 2 method accounts]],"")</f>
        <v/>
      </c>
      <c r="L151" s="442"/>
      <c r="M151" s="201"/>
      <c r="N151" s="201"/>
      <c r="O151" s="255">
        <v>0</v>
      </c>
      <c r="P151" s="255">
        <v>0</v>
      </c>
      <c r="Q151" s="255">
        <f>SupplychainTier2[[#This Row],[Calculated emissions (kgCO2e) for this spend]]</f>
        <v>0</v>
      </c>
      <c r="R151" s="255">
        <v>0</v>
      </c>
      <c r="S151" s="255">
        <v>0</v>
      </c>
      <c r="T151" s="387" t="str">
        <f>IF(SupplychainTier2[[#This Row],[Calculated emissions (kgCO2e) for this spend]]="","",(SupplychainTier2[[#This Row],[Calculated emissions (kgCO2e) for this spend]]*(1+SupplychainTier2[[#This Row],[RSD]])))</f>
        <v/>
      </c>
      <c r="U151" s="387" t="str">
        <f>IF(SupplychainTier2[[#This Row],[Calculated emissions (kgCO2e) for this spend]]="","",(SupplychainTier2[[#This Row],[Calculated emissions (kgCO2e) for this spend]]*(1-SupplychainTier2[[#This Row],[RSD]])))</f>
        <v/>
      </c>
      <c r="V151" s="255">
        <v>0</v>
      </c>
      <c r="Z151" s="1" cm="1">
        <f t="array" ref="Z151">IF(OR(ISERROR(B151:V151)),1,0)</f>
        <v>0</v>
      </c>
      <c r="AA151" s="1">
        <f t="shared" si="8"/>
        <v>0</v>
      </c>
    </row>
    <row r="152" spans="1:27" ht="15" thickBot="1" x14ac:dyDescent="0.4">
      <c r="A152" s="32"/>
      <c r="B152" s="173" t="str">
        <f t="shared" si="6"/>
        <v/>
      </c>
      <c r="C152" s="285" t="str">
        <f t="shared" si="7"/>
        <v/>
      </c>
      <c r="D152" s="211"/>
      <c r="E152" s="420" t="s">
        <v>163</v>
      </c>
      <c r="F152" s="209"/>
      <c r="G152" s="148"/>
      <c r="H152" s="422" t="s">
        <v>1095</v>
      </c>
      <c r="I152" s="423">
        <f>SupplychainTier2[[#This Row],[Spend for which Tier 2 method accounts]]</f>
        <v>0</v>
      </c>
      <c r="J152" s="423" t="s">
        <v>1095</v>
      </c>
      <c r="K152" s="423" t="str">
        <f>IFERROR(SupplychainTier2[[#This Row],[Calculated emissions (kgCO2e) for this spend]]/SupplychainTier2[[#This Row],[Spend for which Tier 2 method accounts]],"")</f>
        <v/>
      </c>
      <c r="L152" s="442"/>
      <c r="M152" s="201"/>
      <c r="N152" s="201"/>
      <c r="O152" s="255">
        <v>0</v>
      </c>
      <c r="P152" s="255">
        <v>0</v>
      </c>
      <c r="Q152" s="255">
        <f>SupplychainTier2[[#This Row],[Calculated emissions (kgCO2e) for this spend]]</f>
        <v>0</v>
      </c>
      <c r="R152" s="255">
        <v>0</v>
      </c>
      <c r="S152" s="255">
        <v>0</v>
      </c>
      <c r="T152" s="387" t="str">
        <f>IF(SupplychainTier2[[#This Row],[Calculated emissions (kgCO2e) for this spend]]="","",(SupplychainTier2[[#This Row],[Calculated emissions (kgCO2e) for this spend]]*(1+SupplychainTier2[[#This Row],[RSD]])))</f>
        <v/>
      </c>
      <c r="U152" s="387" t="str">
        <f>IF(SupplychainTier2[[#This Row],[Calculated emissions (kgCO2e) for this spend]]="","",(SupplychainTier2[[#This Row],[Calculated emissions (kgCO2e) for this spend]]*(1-SupplychainTier2[[#This Row],[RSD]])))</f>
        <v/>
      </c>
      <c r="V152" s="255">
        <v>0</v>
      </c>
      <c r="Z152" s="1" cm="1">
        <f t="array" ref="Z152">IF(OR(ISERROR(B152:V152)),1,0)</f>
        <v>0</v>
      </c>
      <c r="AA152" s="1">
        <f t="shared" si="8"/>
        <v>0</v>
      </c>
    </row>
    <row r="153" spans="1:27" ht="15" thickBot="1" x14ac:dyDescent="0.4">
      <c r="A153" s="32"/>
      <c r="B153" s="173" t="str">
        <f t="shared" si="6"/>
        <v/>
      </c>
      <c r="C153" s="285" t="str">
        <f t="shared" si="7"/>
        <v/>
      </c>
      <c r="D153" s="211"/>
      <c r="E153" s="420" t="s">
        <v>163</v>
      </c>
      <c r="F153" s="209"/>
      <c r="G153" s="148"/>
      <c r="H153" s="422" t="s">
        <v>1095</v>
      </c>
      <c r="I153" s="423">
        <f>SupplychainTier2[[#This Row],[Spend for which Tier 2 method accounts]]</f>
        <v>0</v>
      </c>
      <c r="J153" s="423" t="s">
        <v>1095</v>
      </c>
      <c r="K153" s="423" t="str">
        <f>IFERROR(SupplychainTier2[[#This Row],[Calculated emissions (kgCO2e) for this spend]]/SupplychainTier2[[#This Row],[Spend for which Tier 2 method accounts]],"")</f>
        <v/>
      </c>
      <c r="L153" s="442"/>
      <c r="M153" s="201"/>
      <c r="N153" s="201"/>
      <c r="O153" s="255">
        <v>0</v>
      </c>
      <c r="P153" s="255">
        <v>0</v>
      </c>
      <c r="Q153" s="255">
        <f>SupplychainTier2[[#This Row],[Calculated emissions (kgCO2e) for this spend]]</f>
        <v>0</v>
      </c>
      <c r="R153" s="255">
        <v>0</v>
      </c>
      <c r="S153" s="255">
        <v>0</v>
      </c>
      <c r="T153" s="387" t="str">
        <f>IF(SupplychainTier2[[#This Row],[Calculated emissions (kgCO2e) for this spend]]="","",(SupplychainTier2[[#This Row],[Calculated emissions (kgCO2e) for this spend]]*(1+SupplychainTier2[[#This Row],[RSD]])))</f>
        <v/>
      </c>
      <c r="U153" s="387" t="str">
        <f>IF(SupplychainTier2[[#This Row],[Calculated emissions (kgCO2e) for this spend]]="","",(SupplychainTier2[[#This Row],[Calculated emissions (kgCO2e) for this spend]]*(1-SupplychainTier2[[#This Row],[RSD]])))</f>
        <v/>
      </c>
      <c r="V153" s="255">
        <v>0</v>
      </c>
      <c r="Z153" s="1" cm="1">
        <f t="array" ref="Z153">IF(OR(ISERROR(B153:V153)),1,0)</f>
        <v>0</v>
      </c>
      <c r="AA153" s="1">
        <f t="shared" si="8"/>
        <v>0</v>
      </c>
    </row>
    <row r="154" spans="1:27" ht="15" thickBot="1" x14ac:dyDescent="0.4">
      <c r="A154" s="32"/>
      <c r="B154" s="173" t="str">
        <f t="shared" si="6"/>
        <v/>
      </c>
      <c r="C154" s="285" t="str">
        <f t="shared" si="7"/>
        <v/>
      </c>
      <c r="D154" s="211"/>
      <c r="E154" s="420" t="s">
        <v>163</v>
      </c>
      <c r="F154" s="209"/>
      <c r="G154" s="148"/>
      <c r="H154" s="422" t="s">
        <v>1095</v>
      </c>
      <c r="I154" s="423">
        <f>SupplychainTier2[[#This Row],[Spend for which Tier 2 method accounts]]</f>
        <v>0</v>
      </c>
      <c r="J154" s="423" t="s">
        <v>1095</v>
      </c>
      <c r="K154" s="423" t="str">
        <f>IFERROR(SupplychainTier2[[#This Row],[Calculated emissions (kgCO2e) for this spend]]/SupplychainTier2[[#This Row],[Spend for which Tier 2 method accounts]],"")</f>
        <v/>
      </c>
      <c r="L154" s="442"/>
      <c r="M154" s="201"/>
      <c r="N154" s="201"/>
      <c r="O154" s="255">
        <v>0</v>
      </c>
      <c r="P154" s="255">
        <v>0</v>
      </c>
      <c r="Q154" s="255">
        <f>SupplychainTier2[[#This Row],[Calculated emissions (kgCO2e) for this spend]]</f>
        <v>0</v>
      </c>
      <c r="R154" s="255">
        <v>0</v>
      </c>
      <c r="S154" s="255">
        <v>0</v>
      </c>
      <c r="T154" s="387" t="str">
        <f>IF(SupplychainTier2[[#This Row],[Calculated emissions (kgCO2e) for this spend]]="","",(SupplychainTier2[[#This Row],[Calculated emissions (kgCO2e) for this spend]]*(1+SupplychainTier2[[#This Row],[RSD]])))</f>
        <v/>
      </c>
      <c r="U154" s="387" t="str">
        <f>IF(SupplychainTier2[[#This Row],[Calculated emissions (kgCO2e) for this spend]]="","",(SupplychainTier2[[#This Row],[Calculated emissions (kgCO2e) for this spend]]*(1-SupplychainTier2[[#This Row],[RSD]])))</f>
        <v/>
      </c>
      <c r="V154" s="255">
        <v>0</v>
      </c>
      <c r="Z154" s="1" cm="1">
        <f t="array" ref="Z154">IF(OR(ISERROR(B154:V154)),1,0)</f>
        <v>0</v>
      </c>
      <c r="AA154" s="1">
        <f t="shared" si="8"/>
        <v>0</v>
      </c>
    </row>
    <row r="155" spans="1:27" ht="15" thickBot="1" x14ac:dyDescent="0.4">
      <c r="A155" s="32"/>
      <c r="B155" s="173" t="str">
        <f t="shared" si="6"/>
        <v/>
      </c>
      <c r="C155" s="285" t="str">
        <f t="shared" si="7"/>
        <v/>
      </c>
      <c r="D155" s="211"/>
      <c r="E155" s="420" t="s">
        <v>163</v>
      </c>
      <c r="F155" s="209"/>
      <c r="G155" s="148"/>
      <c r="H155" s="422" t="s">
        <v>1095</v>
      </c>
      <c r="I155" s="423">
        <f>SupplychainTier2[[#This Row],[Spend for which Tier 2 method accounts]]</f>
        <v>0</v>
      </c>
      <c r="J155" s="423" t="s">
        <v>1095</v>
      </c>
      <c r="K155" s="423" t="str">
        <f>IFERROR(SupplychainTier2[[#This Row],[Calculated emissions (kgCO2e) for this spend]]/SupplychainTier2[[#This Row],[Spend for which Tier 2 method accounts]],"")</f>
        <v/>
      </c>
      <c r="L155" s="442"/>
      <c r="M155" s="201"/>
      <c r="N155" s="201"/>
      <c r="O155" s="255">
        <v>0</v>
      </c>
      <c r="P155" s="255">
        <v>0</v>
      </c>
      <c r="Q155" s="255">
        <f>SupplychainTier2[[#This Row],[Calculated emissions (kgCO2e) for this spend]]</f>
        <v>0</v>
      </c>
      <c r="R155" s="255">
        <v>0</v>
      </c>
      <c r="S155" s="255">
        <v>0</v>
      </c>
      <c r="T155" s="387" t="str">
        <f>IF(SupplychainTier2[[#This Row],[Calculated emissions (kgCO2e) for this spend]]="","",(SupplychainTier2[[#This Row],[Calculated emissions (kgCO2e) for this spend]]*(1+SupplychainTier2[[#This Row],[RSD]])))</f>
        <v/>
      </c>
      <c r="U155" s="387" t="str">
        <f>IF(SupplychainTier2[[#This Row],[Calculated emissions (kgCO2e) for this spend]]="","",(SupplychainTier2[[#This Row],[Calculated emissions (kgCO2e) for this spend]]*(1-SupplychainTier2[[#This Row],[RSD]])))</f>
        <v/>
      </c>
      <c r="V155" s="255">
        <v>0</v>
      </c>
      <c r="Z155" s="1" cm="1">
        <f t="array" ref="Z155">IF(OR(ISERROR(B155:V155)),1,0)</f>
        <v>0</v>
      </c>
      <c r="AA155" s="1">
        <f t="shared" si="8"/>
        <v>0</v>
      </c>
    </row>
    <row r="156" spans="1:27" ht="15" thickBot="1" x14ac:dyDescent="0.4">
      <c r="B156" s="173" t="str">
        <f t="shared" ref="B156:B219" si="9">IFERROR(VLOOKUP(D156,SICProductCodeLookup,2,FALSE), "")</f>
        <v/>
      </c>
      <c r="C156" s="285" t="str">
        <f t="shared" ref="C156:C219" si="10">IFERROR((VLOOKUP(D156,SICProductCodeLookup,3,FALSE)), "")</f>
        <v/>
      </c>
      <c r="D156" s="211"/>
      <c r="E156" s="420" t="s">
        <v>163</v>
      </c>
      <c r="F156" s="209"/>
      <c r="G156" s="148"/>
      <c r="H156" s="422" t="s">
        <v>1095</v>
      </c>
      <c r="I156" s="423">
        <f>SupplychainTier2[[#This Row],[Spend for which Tier 2 method accounts]]</f>
        <v>0</v>
      </c>
      <c r="J156" s="423" t="s">
        <v>1095</v>
      </c>
      <c r="K156" s="423" t="str">
        <f>IFERROR(SupplychainTier2[[#This Row],[Calculated emissions (kgCO2e) for this spend]]/SupplychainTier2[[#This Row],[Spend for which Tier 2 method accounts]],"")</f>
        <v/>
      </c>
      <c r="L156" s="442"/>
      <c r="M156" s="201"/>
      <c r="N156" s="201"/>
      <c r="O156" s="255">
        <v>0</v>
      </c>
      <c r="P156" s="255">
        <v>0</v>
      </c>
      <c r="Q156" s="255">
        <f>SupplychainTier2[[#This Row],[Calculated emissions (kgCO2e) for this spend]]</f>
        <v>0</v>
      </c>
      <c r="R156" s="255">
        <v>0</v>
      </c>
      <c r="S156" s="255">
        <v>0</v>
      </c>
      <c r="T156" s="387" t="str">
        <f>IF(SupplychainTier2[[#This Row],[Calculated emissions (kgCO2e) for this spend]]="","",(SupplychainTier2[[#This Row],[Calculated emissions (kgCO2e) for this spend]]*(1+SupplychainTier2[[#This Row],[RSD]])))</f>
        <v/>
      </c>
      <c r="U156" s="387" t="str">
        <f>IF(SupplychainTier2[[#This Row],[Calculated emissions (kgCO2e) for this spend]]="","",(SupplychainTier2[[#This Row],[Calculated emissions (kgCO2e) for this spend]]*(1-SupplychainTier2[[#This Row],[RSD]])))</f>
        <v/>
      </c>
      <c r="V156" s="255">
        <v>0</v>
      </c>
    </row>
    <row r="157" spans="1:27" ht="15" thickBot="1" x14ac:dyDescent="0.4">
      <c r="B157" s="173" t="str">
        <f t="shared" si="9"/>
        <v/>
      </c>
      <c r="C157" s="285" t="str">
        <f t="shared" si="10"/>
        <v/>
      </c>
      <c r="D157" s="211"/>
      <c r="E157" s="420" t="s">
        <v>163</v>
      </c>
      <c r="F157" s="209"/>
      <c r="G157" s="148"/>
      <c r="H157" s="422" t="s">
        <v>1095</v>
      </c>
      <c r="I157" s="423">
        <f>SupplychainTier2[[#This Row],[Spend for which Tier 2 method accounts]]</f>
        <v>0</v>
      </c>
      <c r="J157" s="423" t="s">
        <v>1095</v>
      </c>
      <c r="K157" s="423" t="str">
        <f>IFERROR(SupplychainTier2[[#This Row],[Calculated emissions (kgCO2e) for this spend]]/SupplychainTier2[[#This Row],[Spend for which Tier 2 method accounts]],"")</f>
        <v/>
      </c>
      <c r="L157" s="442"/>
      <c r="M157" s="201"/>
      <c r="N157" s="201"/>
      <c r="O157" s="255">
        <v>0</v>
      </c>
      <c r="P157" s="255">
        <v>0</v>
      </c>
      <c r="Q157" s="255">
        <f>SupplychainTier2[[#This Row],[Calculated emissions (kgCO2e) for this spend]]</f>
        <v>0</v>
      </c>
      <c r="R157" s="255">
        <v>0</v>
      </c>
      <c r="S157" s="255">
        <v>0</v>
      </c>
      <c r="T157" s="387" t="str">
        <f>IF(SupplychainTier2[[#This Row],[Calculated emissions (kgCO2e) for this spend]]="","",(SupplychainTier2[[#This Row],[Calculated emissions (kgCO2e) for this spend]]*(1+SupplychainTier2[[#This Row],[RSD]])))</f>
        <v/>
      </c>
      <c r="U157" s="387" t="str">
        <f>IF(SupplychainTier2[[#This Row],[Calculated emissions (kgCO2e) for this spend]]="","",(SupplychainTier2[[#This Row],[Calculated emissions (kgCO2e) for this spend]]*(1-SupplychainTier2[[#This Row],[RSD]])))</f>
        <v/>
      </c>
      <c r="V157" s="255">
        <v>0</v>
      </c>
    </row>
    <row r="158" spans="1:27" ht="15" thickBot="1" x14ac:dyDescent="0.4">
      <c r="B158" s="173" t="str">
        <f t="shared" si="9"/>
        <v/>
      </c>
      <c r="C158" s="285" t="str">
        <f t="shared" si="10"/>
        <v/>
      </c>
      <c r="D158" s="211"/>
      <c r="E158" s="420" t="s">
        <v>163</v>
      </c>
      <c r="F158" s="209"/>
      <c r="G158" s="148"/>
      <c r="H158" s="422" t="s">
        <v>1095</v>
      </c>
      <c r="I158" s="423">
        <f>SupplychainTier2[[#This Row],[Spend for which Tier 2 method accounts]]</f>
        <v>0</v>
      </c>
      <c r="J158" s="423" t="s">
        <v>1095</v>
      </c>
      <c r="K158" s="423" t="str">
        <f>IFERROR(SupplychainTier2[[#This Row],[Calculated emissions (kgCO2e) for this spend]]/SupplychainTier2[[#This Row],[Spend for which Tier 2 method accounts]],"")</f>
        <v/>
      </c>
      <c r="L158" s="442"/>
      <c r="M158" s="201"/>
      <c r="N158" s="201"/>
      <c r="O158" s="255">
        <v>0</v>
      </c>
      <c r="P158" s="255">
        <v>0</v>
      </c>
      <c r="Q158" s="255">
        <f>SupplychainTier2[[#This Row],[Calculated emissions (kgCO2e) for this spend]]</f>
        <v>0</v>
      </c>
      <c r="R158" s="255">
        <v>0</v>
      </c>
      <c r="S158" s="255">
        <v>0</v>
      </c>
      <c r="T158" s="387" t="str">
        <f>IF(SupplychainTier2[[#This Row],[Calculated emissions (kgCO2e) for this spend]]="","",(SupplychainTier2[[#This Row],[Calculated emissions (kgCO2e) for this spend]]*(1+SupplychainTier2[[#This Row],[RSD]])))</f>
        <v/>
      </c>
      <c r="U158" s="387" t="str">
        <f>IF(SupplychainTier2[[#This Row],[Calculated emissions (kgCO2e) for this spend]]="","",(SupplychainTier2[[#This Row],[Calculated emissions (kgCO2e) for this spend]]*(1-SupplychainTier2[[#This Row],[RSD]])))</f>
        <v/>
      </c>
      <c r="V158" s="255">
        <v>0</v>
      </c>
    </row>
    <row r="159" spans="1:27" ht="15" thickBot="1" x14ac:dyDescent="0.4">
      <c r="B159" s="173" t="str">
        <f t="shared" si="9"/>
        <v/>
      </c>
      <c r="C159" s="285" t="str">
        <f t="shared" si="10"/>
        <v/>
      </c>
      <c r="D159" s="211"/>
      <c r="E159" s="420" t="s">
        <v>163</v>
      </c>
      <c r="F159" s="209"/>
      <c r="G159" s="148"/>
      <c r="H159" s="422" t="s">
        <v>1095</v>
      </c>
      <c r="I159" s="423">
        <f>SupplychainTier2[[#This Row],[Spend for which Tier 2 method accounts]]</f>
        <v>0</v>
      </c>
      <c r="J159" s="423" t="s">
        <v>1095</v>
      </c>
      <c r="K159" s="423" t="str">
        <f>IFERROR(SupplychainTier2[[#This Row],[Calculated emissions (kgCO2e) for this spend]]/SupplychainTier2[[#This Row],[Spend for which Tier 2 method accounts]],"")</f>
        <v/>
      </c>
      <c r="L159" s="442"/>
      <c r="M159" s="201"/>
      <c r="N159" s="201"/>
      <c r="O159" s="255">
        <v>0</v>
      </c>
      <c r="P159" s="255">
        <v>0</v>
      </c>
      <c r="Q159" s="255">
        <f>SupplychainTier2[[#This Row],[Calculated emissions (kgCO2e) for this spend]]</f>
        <v>0</v>
      </c>
      <c r="R159" s="255">
        <v>0</v>
      </c>
      <c r="S159" s="255">
        <v>0</v>
      </c>
      <c r="T159" s="387" t="str">
        <f>IF(SupplychainTier2[[#This Row],[Calculated emissions (kgCO2e) for this spend]]="","",(SupplychainTier2[[#This Row],[Calculated emissions (kgCO2e) for this spend]]*(1+SupplychainTier2[[#This Row],[RSD]])))</f>
        <v/>
      </c>
      <c r="U159" s="387" t="str">
        <f>IF(SupplychainTier2[[#This Row],[Calculated emissions (kgCO2e) for this spend]]="","",(SupplychainTier2[[#This Row],[Calculated emissions (kgCO2e) for this spend]]*(1-SupplychainTier2[[#This Row],[RSD]])))</f>
        <v/>
      </c>
      <c r="V159" s="255">
        <v>0</v>
      </c>
    </row>
    <row r="160" spans="1:27" ht="15" thickBot="1" x14ac:dyDescent="0.4">
      <c r="B160" s="173" t="str">
        <f t="shared" si="9"/>
        <v/>
      </c>
      <c r="C160" s="285" t="str">
        <f t="shared" si="10"/>
        <v/>
      </c>
      <c r="D160" s="211"/>
      <c r="E160" s="420" t="s">
        <v>163</v>
      </c>
      <c r="F160" s="209"/>
      <c r="G160" s="148"/>
      <c r="H160" s="422" t="s">
        <v>1095</v>
      </c>
      <c r="I160" s="423">
        <f>SupplychainTier2[[#This Row],[Spend for which Tier 2 method accounts]]</f>
        <v>0</v>
      </c>
      <c r="J160" s="423" t="s">
        <v>1095</v>
      </c>
      <c r="K160" s="423" t="str">
        <f>IFERROR(SupplychainTier2[[#This Row],[Calculated emissions (kgCO2e) for this spend]]/SupplychainTier2[[#This Row],[Spend for which Tier 2 method accounts]],"")</f>
        <v/>
      </c>
      <c r="L160" s="442"/>
      <c r="M160" s="201"/>
      <c r="N160" s="201"/>
      <c r="O160" s="255">
        <v>0</v>
      </c>
      <c r="P160" s="255">
        <v>0</v>
      </c>
      <c r="Q160" s="255">
        <f>SupplychainTier2[[#This Row],[Calculated emissions (kgCO2e) for this spend]]</f>
        <v>0</v>
      </c>
      <c r="R160" s="255">
        <v>0</v>
      </c>
      <c r="S160" s="255">
        <v>0</v>
      </c>
      <c r="T160" s="387" t="str">
        <f>IF(SupplychainTier2[[#This Row],[Calculated emissions (kgCO2e) for this spend]]="","",(SupplychainTier2[[#This Row],[Calculated emissions (kgCO2e) for this spend]]*(1+SupplychainTier2[[#This Row],[RSD]])))</f>
        <v/>
      </c>
      <c r="U160" s="387" t="str">
        <f>IF(SupplychainTier2[[#This Row],[Calculated emissions (kgCO2e) for this spend]]="","",(SupplychainTier2[[#This Row],[Calculated emissions (kgCO2e) for this spend]]*(1-SupplychainTier2[[#This Row],[RSD]])))</f>
        <v/>
      </c>
      <c r="V160" s="255">
        <v>0</v>
      </c>
    </row>
    <row r="161" spans="2:22" ht="15" thickBot="1" x14ac:dyDescent="0.4">
      <c r="B161" s="173" t="str">
        <f t="shared" si="9"/>
        <v/>
      </c>
      <c r="C161" s="285" t="str">
        <f t="shared" si="10"/>
        <v/>
      </c>
      <c r="D161" s="211"/>
      <c r="E161" s="420" t="s">
        <v>163</v>
      </c>
      <c r="F161" s="209"/>
      <c r="G161" s="148"/>
      <c r="H161" s="422" t="s">
        <v>1095</v>
      </c>
      <c r="I161" s="423">
        <f>SupplychainTier2[[#This Row],[Spend for which Tier 2 method accounts]]</f>
        <v>0</v>
      </c>
      <c r="J161" s="423" t="s">
        <v>1095</v>
      </c>
      <c r="K161" s="423" t="str">
        <f>IFERROR(SupplychainTier2[[#This Row],[Calculated emissions (kgCO2e) for this spend]]/SupplychainTier2[[#This Row],[Spend for which Tier 2 method accounts]],"")</f>
        <v/>
      </c>
      <c r="L161" s="442"/>
      <c r="M161" s="201"/>
      <c r="N161" s="201"/>
      <c r="O161" s="255">
        <v>0</v>
      </c>
      <c r="P161" s="255">
        <v>0</v>
      </c>
      <c r="Q161" s="255">
        <f>SupplychainTier2[[#This Row],[Calculated emissions (kgCO2e) for this spend]]</f>
        <v>0</v>
      </c>
      <c r="R161" s="255">
        <v>0</v>
      </c>
      <c r="S161" s="255">
        <v>0</v>
      </c>
      <c r="T161" s="387" t="str">
        <f>IF(SupplychainTier2[[#This Row],[Calculated emissions (kgCO2e) for this spend]]="","",(SupplychainTier2[[#This Row],[Calculated emissions (kgCO2e) for this spend]]*(1+SupplychainTier2[[#This Row],[RSD]])))</f>
        <v/>
      </c>
      <c r="U161" s="387" t="str">
        <f>IF(SupplychainTier2[[#This Row],[Calculated emissions (kgCO2e) for this spend]]="","",(SupplychainTier2[[#This Row],[Calculated emissions (kgCO2e) for this spend]]*(1-SupplychainTier2[[#This Row],[RSD]])))</f>
        <v/>
      </c>
      <c r="V161" s="255">
        <v>0</v>
      </c>
    </row>
    <row r="162" spans="2:22" ht="15" thickBot="1" x14ac:dyDescent="0.4">
      <c r="B162" s="173" t="str">
        <f t="shared" si="9"/>
        <v/>
      </c>
      <c r="C162" s="285" t="str">
        <f t="shared" si="10"/>
        <v/>
      </c>
      <c r="D162" s="211"/>
      <c r="E162" s="420" t="s">
        <v>163</v>
      </c>
      <c r="F162" s="209"/>
      <c r="G162" s="148"/>
      <c r="H162" s="422" t="s">
        <v>1095</v>
      </c>
      <c r="I162" s="423">
        <f>SupplychainTier2[[#This Row],[Spend for which Tier 2 method accounts]]</f>
        <v>0</v>
      </c>
      <c r="J162" s="423" t="s">
        <v>1095</v>
      </c>
      <c r="K162" s="423" t="str">
        <f>IFERROR(SupplychainTier2[[#This Row],[Calculated emissions (kgCO2e) for this spend]]/SupplychainTier2[[#This Row],[Spend for which Tier 2 method accounts]],"")</f>
        <v/>
      </c>
      <c r="L162" s="442"/>
      <c r="M162" s="201"/>
      <c r="N162" s="201"/>
      <c r="O162" s="255">
        <v>0</v>
      </c>
      <c r="P162" s="255">
        <v>0</v>
      </c>
      <c r="Q162" s="255">
        <f>SupplychainTier2[[#This Row],[Calculated emissions (kgCO2e) for this spend]]</f>
        <v>0</v>
      </c>
      <c r="R162" s="255">
        <v>0</v>
      </c>
      <c r="S162" s="255">
        <v>0</v>
      </c>
      <c r="T162" s="387" t="str">
        <f>IF(SupplychainTier2[[#This Row],[Calculated emissions (kgCO2e) for this spend]]="","",(SupplychainTier2[[#This Row],[Calculated emissions (kgCO2e) for this spend]]*(1+SupplychainTier2[[#This Row],[RSD]])))</f>
        <v/>
      </c>
      <c r="U162" s="387" t="str">
        <f>IF(SupplychainTier2[[#This Row],[Calculated emissions (kgCO2e) for this spend]]="","",(SupplychainTier2[[#This Row],[Calculated emissions (kgCO2e) for this spend]]*(1-SupplychainTier2[[#This Row],[RSD]])))</f>
        <v/>
      </c>
      <c r="V162" s="255">
        <v>0</v>
      </c>
    </row>
    <row r="163" spans="2:22" ht="15" thickBot="1" x14ac:dyDescent="0.4">
      <c r="B163" s="173" t="str">
        <f t="shared" si="9"/>
        <v/>
      </c>
      <c r="C163" s="285" t="str">
        <f t="shared" si="10"/>
        <v/>
      </c>
      <c r="D163" s="211"/>
      <c r="E163" s="420" t="s">
        <v>163</v>
      </c>
      <c r="F163" s="209"/>
      <c r="G163" s="148"/>
      <c r="H163" s="422" t="s">
        <v>1095</v>
      </c>
      <c r="I163" s="423">
        <f>SupplychainTier2[[#This Row],[Spend for which Tier 2 method accounts]]</f>
        <v>0</v>
      </c>
      <c r="J163" s="423" t="s">
        <v>1095</v>
      </c>
      <c r="K163" s="423" t="str">
        <f>IFERROR(SupplychainTier2[[#This Row],[Calculated emissions (kgCO2e) for this spend]]/SupplychainTier2[[#This Row],[Spend for which Tier 2 method accounts]],"")</f>
        <v/>
      </c>
      <c r="L163" s="442"/>
      <c r="M163" s="201"/>
      <c r="N163" s="201"/>
      <c r="O163" s="255">
        <v>0</v>
      </c>
      <c r="P163" s="255">
        <v>0</v>
      </c>
      <c r="Q163" s="255">
        <f>SupplychainTier2[[#This Row],[Calculated emissions (kgCO2e) for this spend]]</f>
        <v>0</v>
      </c>
      <c r="R163" s="255">
        <v>0</v>
      </c>
      <c r="S163" s="255">
        <v>0</v>
      </c>
      <c r="T163" s="387" t="str">
        <f>IF(SupplychainTier2[[#This Row],[Calculated emissions (kgCO2e) for this spend]]="","",(SupplychainTier2[[#This Row],[Calculated emissions (kgCO2e) for this spend]]*(1+SupplychainTier2[[#This Row],[RSD]])))</f>
        <v/>
      </c>
      <c r="U163" s="387" t="str">
        <f>IF(SupplychainTier2[[#This Row],[Calculated emissions (kgCO2e) for this spend]]="","",(SupplychainTier2[[#This Row],[Calculated emissions (kgCO2e) for this spend]]*(1-SupplychainTier2[[#This Row],[RSD]])))</f>
        <v/>
      </c>
      <c r="V163" s="255">
        <v>0</v>
      </c>
    </row>
    <row r="164" spans="2:22" ht="15" thickBot="1" x14ac:dyDescent="0.4">
      <c r="B164" s="173" t="str">
        <f t="shared" si="9"/>
        <v/>
      </c>
      <c r="C164" s="285" t="str">
        <f t="shared" si="10"/>
        <v/>
      </c>
      <c r="D164" s="211"/>
      <c r="E164" s="420" t="s">
        <v>163</v>
      </c>
      <c r="F164" s="209"/>
      <c r="G164" s="148"/>
      <c r="H164" s="422" t="s">
        <v>1095</v>
      </c>
      <c r="I164" s="423">
        <f>SupplychainTier2[[#This Row],[Spend for which Tier 2 method accounts]]</f>
        <v>0</v>
      </c>
      <c r="J164" s="423" t="s">
        <v>1095</v>
      </c>
      <c r="K164" s="423" t="str">
        <f>IFERROR(SupplychainTier2[[#This Row],[Calculated emissions (kgCO2e) for this spend]]/SupplychainTier2[[#This Row],[Spend for which Tier 2 method accounts]],"")</f>
        <v/>
      </c>
      <c r="L164" s="442"/>
      <c r="M164" s="201"/>
      <c r="N164" s="201"/>
      <c r="O164" s="255">
        <v>0</v>
      </c>
      <c r="P164" s="255">
        <v>0</v>
      </c>
      <c r="Q164" s="255">
        <f>SupplychainTier2[[#This Row],[Calculated emissions (kgCO2e) for this spend]]</f>
        <v>0</v>
      </c>
      <c r="R164" s="255">
        <v>0</v>
      </c>
      <c r="S164" s="255">
        <v>0</v>
      </c>
      <c r="T164" s="387" t="str">
        <f>IF(SupplychainTier2[[#This Row],[Calculated emissions (kgCO2e) for this spend]]="","",(SupplychainTier2[[#This Row],[Calculated emissions (kgCO2e) for this spend]]*(1+SupplychainTier2[[#This Row],[RSD]])))</f>
        <v/>
      </c>
      <c r="U164" s="387" t="str">
        <f>IF(SupplychainTier2[[#This Row],[Calculated emissions (kgCO2e) for this spend]]="","",(SupplychainTier2[[#This Row],[Calculated emissions (kgCO2e) for this spend]]*(1-SupplychainTier2[[#This Row],[RSD]])))</f>
        <v/>
      </c>
      <c r="V164" s="255">
        <v>0</v>
      </c>
    </row>
    <row r="165" spans="2:22" ht="15" thickBot="1" x14ac:dyDescent="0.4">
      <c r="B165" s="173" t="str">
        <f t="shared" si="9"/>
        <v/>
      </c>
      <c r="C165" s="285" t="str">
        <f t="shared" si="10"/>
        <v/>
      </c>
      <c r="D165" s="211"/>
      <c r="E165" s="420" t="s">
        <v>163</v>
      </c>
      <c r="F165" s="209"/>
      <c r="G165" s="148"/>
      <c r="H165" s="422" t="s">
        <v>1095</v>
      </c>
      <c r="I165" s="423">
        <f>SupplychainTier2[[#This Row],[Spend for which Tier 2 method accounts]]</f>
        <v>0</v>
      </c>
      <c r="J165" s="423" t="s">
        <v>1095</v>
      </c>
      <c r="K165" s="423" t="str">
        <f>IFERROR(SupplychainTier2[[#This Row],[Calculated emissions (kgCO2e) for this spend]]/SupplychainTier2[[#This Row],[Spend for which Tier 2 method accounts]],"")</f>
        <v/>
      </c>
      <c r="L165" s="442"/>
      <c r="M165" s="201"/>
      <c r="N165" s="201"/>
      <c r="O165" s="255">
        <v>0</v>
      </c>
      <c r="P165" s="255">
        <v>0</v>
      </c>
      <c r="Q165" s="255">
        <f>SupplychainTier2[[#This Row],[Calculated emissions (kgCO2e) for this spend]]</f>
        <v>0</v>
      </c>
      <c r="R165" s="255">
        <v>0</v>
      </c>
      <c r="S165" s="255">
        <v>0</v>
      </c>
      <c r="T165" s="387" t="str">
        <f>IF(SupplychainTier2[[#This Row],[Calculated emissions (kgCO2e) for this spend]]="","",(SupplychainTier2[[#This Row],[Calculated emissions (kgCO2e) for this spend]]*(1+SupplychainTier2[[#This Row],[RSD]])))</f>
        <v/>
      </c>
      <c r="U165" s="387" t="str">
        <f>IF(SupplychainTier2[[#This Row],[Calculated emissions (kgCO2e) for this spend]]="","",(SupplychainTier2[[#This Row],[Calculated emissions (kgCO2e) for this spend]]*(1-SupplychainTier2[[#This Row],[RSD]])))</f>
        <v/>
      </c>
      <c r="V165" s="255">
        <v>0</v>
      </c>
    </row>
    <row r="166" spans="2:22" ht="15" thickBot="1" x14ac:dyDescent="0.4">
      <c r="B166" s="173" t="str">
        <f t="shared" si="9"/>
        <v/>
      </c>
      <c r="C166" s="285" t="str">
        <f t="shared" si="10"/>
        <v/>
      </c>
      <c r="D166" s="211"/>
      <c r="E166" s="420" t="s">
        <v>163</v>
      </c>
      <c r="F166" s="209"/>
      <c r="G166" s="148"/>
      <c r="H166" s="422" t="s">
        <v>1095</v>
      </c>
      <c r="I166" s="423">
        <f>SupplychainTier2[[#This Row],[Spend for which Tier 2 method accounts]]</f>
        <v>0</v>
      </c>
      <c r="J166" s="423" t="s">
        <v>1095</v>
      </c>
      <c r="K166" s="423" t="str">
        <f>IFERROR(SupplychainTier2[[#This Row],[Calculated emissions (kgCO2e) for this spend]]/SupplychainTier2[[#This Row],[Spend for which Tier 2 method accounts]],"")</f>
        <v/>
      </c>
      <c r="L166" s="442"/>
      <c r="M166" s="201"/>
      <c r="N166" s="201"/>
      <c r="O166" s="255">
        <v>0</v>
      </c>
      <c r="P166" s="255">
        <v>0</v>
      </c>
      <c r="Q166" s="255">
        <f>SupplychainTier2[[#This Row],[Calculated emissions (kgCO2e) for this spend]]</f>
        <v>0</v>
      </c>
      <c r="R166" s="255">
        <v>0</v>
      </c>
      <c r="S166" s="255">
        <v>0</v>
      </c>
      <c r="T166" s="387" t="str">
        <f>IF(SupplychainTier2[[#This Row],[Calculated emissions (kgCO2e) for this spend]]="","",(SupplychainTier2[[#This Row],[Calculated emissions (kgCO2e) for this spend]]*(1+SupplychainTier2[[#This Row],[RSD]])))</f>
        <v/>
      </c>
      <c r="U166" s="387" t="str">
        <f>IF(SupplychainTier2[[#This Row],[Calculated emissions (kgCO2e) for this spend]]="","",(SupplychainTier2[[#This Row],[Calculated emissions (kgCO2e) for this spend]]*(1-SupplychainTier2[[#This Row],[RSD]])))</f>
        <v/>
      </c>
      <c r="V166" s="255">
        <v>0</v>
      </c>
    </row>
    <row r="167" spans="2:22" ht="15" thickBot="1" x14ac:dyDescent="0.4">
      <c r="B167" s="173" t="str">
        <f t="shared" si="9"/>
        <v/>
      </c>
      <c r="C167" s="285" t="str">
        <f t="shared" si="10"/>
        <v/>
      </c>
      <c r="D167" s="211"/>
      <c r="E167" s="420" t="s">
        <v>163</v>
      </c>
      <c r="F167" s="209"/>
      <c r="G167" s="148"/>
      <c r="H167" s="422" t="s">
        <v>1095</v>
      </c>
      <c r="I167" s="423">
        <f>SupplychainTier2[[#This Row],[Spend for which Tier 2 method accounts]]</f>
        <v>0</v>
      </c>
      <c r="J167" s="423" t="s">
        <v>1095</v>
      </c>
      <c r="K167" s="423" t="str">
        <f>IFERROR(SupplychainTier2[[#This Row],[Calculated emissions (kgCO2e) for this spend]]/SupplychainTier2[[#This Row],[Spend for which Tier 2 method accounts]],"")</f>
        <v/>
      </c>
      <c r="L167" s="442"/>
      <c r="M167" s="201"/>
      <c r="N167" s="201"/>
      <c r="O167" s="255">
        <v>0</v>
      </c>
      <c r="P167" s="255">
        <v>0</v>
      </c>
      <c r="Q167" s="255">
        <f>SupplychainTier2[[#This Row],[Calculated emissions (kgCO2e) for this spend]]</f>
        <v>0</v>
      </c>
      <c r="R167" s="255">
        <v>0</v>
      </c>
      <c r="S167" s="255">
        <v>0</v>
      </c>
      <c r="T167" s="387" t="str">
        <f>IF(SupplychainTier2[[#This Row],[Calculated emissions (kgCO2e) for this spend]]="","",(SupplychainTier2[[#This Row],[Calculated emissions (kgCO2e) for this spend]]*(1+SupplychainTier2[[#This Row],[RSD]])))</f>
        <v/>
      </c>
      <c r="U167" s="387" t="str">
        <f>IF(SupplychainTier2[[#This Row],[Calculated emissions (kgCO2e) for this spend]]="","",(SupplychainTier2[[#This Row],[Calculated emissions (kgCO2e) for this spend]]*(1-SupplychainTier2[[#This Row],[RSD]])))</f>
        <v/>
      </c>
      <c r="V167" s="255">
        <v>0</v>
      </c>
    </row>
    <row r="168" spans="2:22" ht="15" thickBot="1" x14ac:dyDescent="0.4">
      <c r="B168" s="173" t="str">
        <f t="shared" si="9"/>
        <v/>
      </c>
      <c r="C168" s="285" t="str">
        <f t="shared" si="10"/>
        <v/>
      </c>
      <c r="D168" s="211"/>
      <c r="E168" s="420" t="s">
        <v>163</v>
      </c>
      <c r="F168" s="209"/>
      <c r="G168" s="148"/>
      <c r="H168" s="422" t="s">
        <v>1095</v>
      </c>
      <c r="I168" s="423">
        <f>SupplychainTier2[[#This Row],[Spend for which Tier 2 method accounts]]</f>
        <v>0</v>
      </c>
      <c r="J168" s="423" t="s">
        <v>1095</v>
      </c>
      <c r="K168" s="423" t="str">
        <f>IFERROR(SupplychainTier2[[#This Row],[Calculated emissions (kgCO2e) for this spend]]/SupplychainTier2[[#This Row],[Spend for which Tier 2 method accounts]],"")</f>
        <v/>
      </c>
      <c r="L168" s="442"/>
      <c r="M168" s="201"/>
      <c r="N168" s="201"/>
      <c r="O168" s="255">
        <v>0</v>
      </c>
      <c r="P168" s="255">
        <v>0</v>
      </c>
      <c r="Q168" s="255">
        <f>SupplychainTier2[[#This Row],[Calculated emissions (kgCO2e) for this spend]]</f>
        <v>0</v>
      </c>
      <c r="R168" s="255">
        <v>0</v>
      </c>
      <c r="S168" s="255">
        <v>0</v>
      </c>
      <c r="T168" s="387" t="str">
        <f>IF(SupplychainTier2[[#This Row],[Calculated emissions (kgCO2e) for this spend]]="","",(SupplychainTier2[[#This Row],[Calculated emissions (kgCO2e) for this spend]]*(1+SupplychainTier2[[#This Row],[RSD]])))</f>
        <v/>
      </c>
      <c r="U168" s="387" t="str">
        <f>IF(SupplychainTier2[[#This Row],[Calculated emissions (kgCO2e) for this spend]]="","",(SupplychainTier2[[#This Row],[Calculated emissions (kgCO2e) for this spend]]*(1-SupplychainTier2[[#This Row],[RSD]])))</f>
        <v/>
      </c>
      <c r="V168" s="255">
        <v>0</v>
      </c>
    </row>
    <row r="169" spans="2:22" ht="15" thickBot="1" x14ac:dyDescent="0.4">
      <c r="B169" s="173" t="str">
        <f t="shared" si="9"/>
        <v/>
      </c>
      <c r="C169" s="285" t="str">
        <f t="shared" si="10"/>
        <v/>
      </c>
      <c r="D169" s="211"/>
      <c r="E169" s="420" t="s">
        <v>163</v>
      </c>
      <c r="F169" s="209"/>
      <c r="G169" s="148"/>
      <c r="H169" s="422" t="s">
        <v>1095</v>
      </c>
      <c r="I169" s="423">
        <f>SupplychainTier2[[#This Row],[Spend for which Tier 2 method accounts]]</f>
        <v>0</v>
      </c>
      <c r="J169" s="423" t="s">
        <v>1095</v>
      </c>
      <c r="K169" s="423" t="str">
        <f>IFERROR(SupplychainTier2[[#This Row],[Calculated emissions (kgCO2e) for this spend]]/SupplychainTier2[[#This Row],[Spend for which Tier 2 method accounts]],"")</f>
        <v/>
      </c>
      <c r="L169" s="442"/>
      <c r="M169" s="201"/>
      <c r="N169" s="201"/>
      <c r="O169" s="255">
        <v>0</v>
      </c>
      <c r="P169" s="255">
        <v>0</v>
      </c>
      <c r="Q169" s="255">
        <f>SupplychainTier2[[#This Row],[Calculated emissions (kgCO2e) for this spend]]</f>
        <v>0</v>
      </c>
      <c r="R169" s="255">
        <v>0</v>
      </c>
      <c r="S169" s="255">
        <v>0</v>
      </c>
      <c r="T169" s="387" t="str">
        <f>IF(SupplychainTier2[[#This Row],[Calculated emissions (kgCO2e) for this spend]]="","",(SupplychainTier2[[#This Row],[Calculated emissions (kgCO2e) for this spend]]*(1+SupplychainTier2[[#This Row],[RSD]])))</f>
        <v/>
      </c>
      <c r="U169" s="387" t="str">
        <f>IF(SupplychainTier2[[#This Row],[Calculated emissions (kgCO2e) for this spend]]="","",(SupplychainTier2[[#This Row],[Calculated emissions (kgCO2e) for this spend]]*(1-SupplychainTier2[[#This Row],[RSD]])))</f>
        <v/>
      </c>
      <c r="V169" s="255">
        <v>0</v>
      </c>
    </row>
    <row r="170" spans="2:22" ht="15" thickBot="1" x14ac:dyDescent="0.4">
      <c r="B170" s="173" t="str">
        <f t="shared" si="9"/>
        <v/>
      </c>
      <c r="C170" s="285" t="str">
        <f t="shared" si="10"/>
        <v/>
      </c>
      <c r="D170" s="211"/>
      <c r="E170" s="420" t="s">
        <v>163</v>
      </c>
      <c r="F170" s="209"/>
      <c r="G170" s="148"/>
      <c r="H170" s="422" t="s">
        <v>1095</v>
      </c>
      <c r="I170" s="423">
        <f>SupplychainTier2[[#This Row],[Spend for which Tier 2 method accounts]]</f>
        <v>0</v>
      </c>
      <c r="J170" s="423" t="s">
        <v>1095</v>
      </c>
      <c r="K170" s="423" t="str">
        <f>IFERROR(SupplychainTier2[[#This Row],[Calculated emissions (kgCO2e) for this spend]]/SupplychainTier2[[#This Row],[Spend for which Tier 2 method accounts]],"")</f>
        <v/>
      </c>
      <c r="L170" s="442"/>
      <c r="M170" s="201"/>
      <c r="N170" s="201"/>
      <c r="O170" s="255">
        <v>0</v>
      </c>
      <c r="P170" s="255">
        <v>0</v>
      </c>
      <c r="Q170" s="255">
        <f>SupplychainTier2[[#This Row],[Calculated emissions (kgCO2e) for this spend]]</f>
        <v>0</v>
      </c>
      <c r="R170" s="255">
        <v>0</v>
      </c>
      <c r="S170" s="255">
        <v>0</v>
      </c>
      <c r="T170" s="387" t="str">
        <f>IF(SupplychainTier2[[#This Row],[Calculated emissions (kgCO2e) for this spend]]="","",(SupplychainTier2[[#This Row],[Calculated emissions (kgCO2e) for this spend]]*(1+SupplychainTier2[[#This Row],[RSD]])))</f>
        <v/>
      </c>
      <c r="U170" s="387" t="str">
        <f>IF(SupplychainTier2[[#This Row],[Calculated emissions (kgCO2e) for this spend]]="","",(SupplychainTier2[[#This Row],[Calculated emissions (kgCO2e) for this spend]]*(1-SupplychainTier2[[#This Row],[RSD]])))</f>
        <v/>
      </c>
      <c r="V170" s="255">
        <v>0</v>
      </c>
    </row>
    <row r="171" spans="2:22" ht="15" thickBot="1" x14ac:dyDescent="0.4">
      <c r="B171" s="173" t="str">
        <f t="shared" si="9"/>
        <v/>
      </c>
      <c r="C171" s="285" t="str">
        <f t="shared" si="10"/>
        <v/>
      </c>
      <c r="D171" s="211"/>
      <c r="E171" s="420" t="s">
        <v>163</v>
      </c>
      <c r="F171" s="209"/>
      <c r="G171" s="148"/>
      <c r="H171" s="422" t="s">
        <v>1095</v>
      </c>
      <c r="I171" s="423">
        <f>SupplychainTier2[[#This Row],[Spend for which Tier 2 method accounts]]</f>
        <v>0</v>
      </c>
      <c r="J171" s="423" t="s">
        <v>1095</v>
      </c>
      <c r="K171" s="423" t="str">
        <f>IFERROR(SupplychainTier2[[#This Row],[Calculated emissions (kgCO2e) for this spend]]/SupplychainTier2[[#This Row],[Spend for which Tier 2 method accounts]],"")</f>
        <v/>
      </c>
      <c r="L171" s="442"/>
      <c r="M171" s="201"/>
      <c r="N171" s="201"/>
      <c r="O171" s="255">
        <v>0</v>
      </c>
      <c r="P171" s="255">
        <v>0</v>
      </c>
      <c r="Q171" s="255">
        <f>SupplychainTier2[[#This Row],[Calculated emissions (kgCO2e) for this spend]]</f>
        <v>0</v>
      </c>
      <c r="R171" s="255">
        <v>0</v>
      </c>
      <c r="S171" s="255">
        <v>0</v>
      </c>
      <c r="T171" s="387" t="str">
        <f>IF(SupplychainTier2[[#This Row],[Calculated emissions (kgCO2e) for this spend]]="","",(SupplychainTier2[[#This Row],[Calculated emissions (kgCO2e) for this spend]]*(1+SupplychainTier2[[#This Row],[RSD]])))</f>
        <v/>
      </c>
      <c r="U171" s="387" t="str">
        <f>IF(SupplychainTier2[[#This Row],[Calculated emissions (kgCO2e) for this spend]]="","",(SupplychainTier2[[#This Row],[Calculated emissions (kgCO2e) for this spend]]*(1-SupplychainTier2[[#This Row],[RSD]])))</f>
        <v/>
      </c>
      <c r="V171" s="255">
        <v>0</v>
      </c>
    </row>
    <row r="172" spans="2:22" ht="15" thickBot="1" x14ac:dyDescent="0.4">
      <c r="B172" s="173" t="str">
        <f t="shared" si="9"/>
        <v/>
      </c>
      <c r="C172" s="285" t="str">
        <f t="shared" si="10"/>
        <v/>
      </c>
      <c r="D172" s="211"/>
      <c r="E172" s="420" t="s">
        <v>163</v>
      </c>
      <c r="F172" s="209"/>
      <c r="G172" s="148"/>
      <c r="H172" s="422" t="s">
        <v>1095</v>
      </c>
      <c r="I172" s="423">
        <f>SupplychainTier2[[#This Row],[Spend for which Tier 2 method accounts]]</f>
        <v>0</v>
      </c>
      <c r="J172" s="423" t="s">
        <v>1095</v>
      </c>
      <c r="K172" s="423" t="str">
        <f>IFERROR(SupplychainTier2[[#This Row],[Calculated emissions (kgCO2e) for this spend]]/SupplychainTier2[[#This Row],[Spend for which Tier 2 method accounts]],"")</f>
        <v/>
      </c>
      <c r="L172" s="442"/>
      <c r="M172" s="201"/>
      <c r="N172" s="201"/>
      <c r="O172" s="255">
        <v>0</v>
      </c>
      <c r="P172" s="255">
        <v>0</v>
      </c>
      <c r="Q172" s="255">
        <f>SupplychainTier2[[#This Row],[Calculated emissions (kgCO2e) for this spend]]</f>
        <v>0</v>
      </c>
      <c r="R172" s="255">
        <v>0</v>
      </c>
      <c r="S172" s="255">
        <v>0</v>
      </c>
      <c r="T172" s="387" t="str">
        <f>IF(SupplychainTier2[[#This Row],[Calculated emissions (kgCO2e) for this spend]]="","",(SupplychainTier2[[#This Row],[Calculated emissions (kgCO2e) for this spend]]*(1+SupplychainTier2[[#This Row],[RSD]])))</f>
        <v/>
      </c>
      <c r="U172" s="387" t="str">
        <f>IF(SupplychainTier2[[#This Row],[Calculated emissions (kgCO2e) for this spend]]="","",(SupplychainTier2[[#This Row],[Calculated emissions (kgCO2e) for this spend]]*(1-SupplychainTier2[[#This Row],[RSD]])))</f>
        <v/>
      </c>
      <c r="V172" s="255">
        <v>0</v>
      </c>
    </row>
    <row r="173" spans="2:22" ht="15" thickBot="1" x14ac:dyDescent="0.4">
      <c r="B173" s="173" t="str">
        <f t="shared" si="9"/>
        <v/>
      </c>
      <c r="C173" s="285" t="str">
        <f t="shared" si="10"/>
        <v/>
      </c>
      <c r="D173" s="211"/>
      <c r="E173" s="420" t="s">
        <v>163</v>
      </c>
      <c r="F173" s="209"/>
      <c r="G173" s="148"/>
      <c r="H173" s="422" t="s">
        <v>1095</v>
      </c>
      <c r="I173" s="423">
        <f>SupplychainTier2[[#This Row],[Spend for which Tier 2 method accounts]]</f>
        <v>0</v>
      </c>
      <c r="J173" s="423" t="s">
        <v>1095</v>
      </c>
      <c r="K173" s="423" t="str">
        <f>IFERROR(SupplychainTier2[[#This Row],[Calculated emissions (kgCO2e) for this spend]]/SupplychainTier2[[#This Row],[Spend for which Tier 2 method accounts]],"")</f>
        <v/>
      </c>
      <c r="L173" s="442"/>
      <c r="M173" s="201"/>
      <c r="N173" s="201"/>
      <c r="O173" s="255">
        <v>0</v>
      </c>
      <c r="P173" s="255">
        <v>0</v>
      </c>
      <c r="Q173" s="255">
        <f>SupplychainTier2[[#This Row],[Calculated emissions (kgCO2e) for this spend]]</f>
        <v>0</v>
      </c>
      <c r="R173" s="255">
        <v>0</v>
      </c>
      <c r="S173" s="255">
        <v>0</v>
      </c>
      <c r="T173" s="387" t="str">
        <f>IF(SupplychainTier2[[#This Row],[Calculated emissions (kgCO2e) for this spend]]="","",(SupplychainTier2[[#This Row],[Calculated emissions (kgCO2e) for this spend]]*(1+SupplychainTier2[[#This Row],[RSD]])))</f>
        <v/>
      </c>
      <c r="U173" s="387" t="str">
        <f>IF(SupplychainTier2[[#This Row],[Calculated emissions (kgCO2e) for this spend]]="","",(SupplychainTier2[[#This Row],[Calculated emissions (kgCO2e) for this spend]]*(1-SupplychainTier2[[#This Row],[RSD]])))</f>
        <v/>
      </c>
      <c r="V173" s="255">
        <v>0</v>
      </c>
    </row>
    <row r="174" spans="2:22" ht="15" thickBot="1" x14ac:dyDescent="0.4">
      <c r="B174" s="173" t="str">
        <f t="shared" si="9"/>
        <v/>
      </c>
      <c r="C174" s="285" t="str">
        <f t="shared" si="10"/>
        <v/>
      </c>
      <c r="D174" s="211"/>
      <c r="E174" s="420" t="s">
        <v>163</v>
      </c>
      <c r="F174" s="209"/>
      <c r="G174" s="148"/>
      <c r="H174" s="422" t="s">
        <v>1095</v>
      </c>
      <c r="I174" s="423">
        <f>SupplychainTier2[[#This Row],[Spend for which Tier 2 method accounts]]</f>
        <v>0</v>
      </c>
      <c r="J174" s="423" t="s">
        <v>1095</v>
      </c>
      <c r="K174" s="423" t="str">
        <f>IFERROR(SupplychainTier2[[#This Row],[Calculated emissions (kgCO2e) for this spend]]/SupplychainTier2[[#This Row],[Spend for which Tier 2 method accounts]],"")</f>
        <v/>
      </c>
      <c r="L174" s="442"/>
      <c r="M174" s="201"/>
      <c r="N174" s="201"/>
      <c r="O174" s="255">
        <v>0</v>
      </c>
      <c r="P174" s="255">
        <v>0</v>
      </c>
      <c r="Q174" s="255">
        <f>SupplychainTier2[[#This Row],[Calculated emissions (kgCO2e) for this spend]]</f>
        <v>0</v>
      </c>
      <c r="R174" s="255">
        <v>0</v>
      </c>
      <c r="S174" s="255">
        <v>0</v>
      </c>
      <c r="T174" s="387" t="str">
        <f>IF(SupplychainTier2[[#This Row],[Calculated emissions (kgCO2e) for this spend]]="","",(SupplychainTier2[[#This Row],[Calculated emissions (kgCO2e) for this spend]]*(1+SupplychainTier2[[#This Row],[RSD]])))</f>
        <v/>
      </c>
      <c r="U174" s="387" t="str">
        <f>IF(SupplychainTier2[[#This Row],[Calculated emissions (kgCO2e) for this spend]]="","",(SupplychainTier2[[#This Row],[Calculated emissions (kgCO2e) for this spend]]*(1-SupplychainTier2[[#This Row],[RSD]])))</f>
        <v/>
      </c>
      <c r="V174" s="255">
        <v>0</v>
      </c>
    </row>
    <row r="175" spans="2:22" ht="15" thickBot="1" x14ac:dyDescent="0.4">
      <c r="B175" s="173" t="str">
        <f t="shared" si="9"/>
        <v/>
      </c>
      <c r="C175" s="285" t="str">
        <f t="shared" si="10"/>
        <v/>
      </c>
      <c r="D175" s="211"/>
      <c r="E175" s="420" t="s">
        <v>163</v>
      </c>
      <c r="F175" s="209"/>
      <c r="G175" s="148"/>
      <c r="H175" s="422" t="s">
        <v>1095</v>
      </c>
      <c r="I175" s="423">
        <f>SupplychainTier2[[#This Row],[Spend for which Tier 2 method accounts]]</f>
        <v>0</v>
      </c>
      <c r="J175" s="423" t="s">
        <v>1095</v>
      </c>
      <c r="K175" s="423" t="str">
        <f>IFERROR(SupplychainTier2[[#This Row],[Calculated emissions (kgCO2e) for this spend]]/SupplychainTier2[[#This Row],[Spend for which Tier 2 method accounts]],"")</f>
        <v/>
      </c>
      <c r="L175" s="442"/>
      <c r="M175" s="201"/>
      <c r="N175" s="201"/>
      <c r="O175" s="255">
        <v>0</v>
      </c>
      <c r="P175" s="255">
        <v>0</v>
      </c>
      <c r="Q175" s="255">
        <f>SupplychainTier2[[#This Row],[Calculated emissions (kgCO2e) for this spend]]</f>
        <v>0</v>
      </c>
      <c r="R175" s="255">
        <v>0</v>
      </c>
      <c r="S175" s="255">
        <v>0</v>
      </c>
      <c r="T175" s="387" t="str">
        <f>IF(SupplychainTier2[[#This Row],[Calculated emissions (kgCO2e) for this spend]]="","",(SupplychainTier2[[#This Row],[Calculated emissions (kgCO2e) for this spend]]*(1+SupplychainTier2[[#This Row],[RSD]])))</f>
        <v/>
      </c>
      <c r="U175" s="387" t="str">
        <f>IF(SupplychainTier2[[#This Row],[Calculated emissions (kgCO2e) for this spend]]="","",(SupplychainTier2[[#This Row],[Calculated emissions (kgCO2e) for this spend]]*(1-SupplychainTier2[[#This Row],[RSD]])))</f>
        <v/>
      </c>
      <c r="V175" s="255">
        <v>0</v>
      </c>
    </row>
    <row r="176" spans="2:22" ht="15" thickBot="1" x14ac:dyDescent="0.4">
      <c r="B176" s="173" t="str">
        <f t="shared" si="9"/>
        <v/>
      </c>
      <c r="C176" s="285" t="str">
        <f t="shared" si="10"/>
        <v/>
      </c>
      <c r="D176" s="211"/>
      <c r="E176" s="420" t="s">
        <v>163</v>
      </c>
      <c r="F176" s="209"/>
      <c r="G176" s="148"/>
      <c r="H176" s="422" t="s">
        <v>1095</v>
      </c>
      <c r="I176" s="423">
        <f>SupplychainTier2[[#This Row],[Spend for which Tier 2 method accounts]]</f>
        <v>0</v>
      </c>
      <c r="J176" s="423" t="s">
        <v>1095</v>
      </c>
      <c r="K176" s="423" t="str">
        <f>IFERROR(SupplychainTier2[[#This Row],[Calculated emissions (kgCO2e) for this spend]]/SupplychainTier2[[#This Row],[Spend for which Tier 2 method accounts]],"")</f>
        <v/>
      </c>
      <c r="L176" s="442"/>
      <c r="M176" s="201"/>
      <c r="N176" s="201"/>
      <c r="O176" s="255">
        <v>0</v>
      </c>
      <c r="P176" s="255">
        <v>0</v>
      </c>
      <c r="Q176" s="255">
        <f>SupplychainTier2[[#This Row],[Calculated emissions (kgCO2e) for this spend]]</f>
        <v>0</v>
      </c>
      <c r="R176" s="255">
        <v>0</v>
      </c>
      <c r="S176" s="255">
        <v>0</v>
      </c>
      <c r="T176" s="387" t="str">
        <f>IF(SupplychainTier2[[#This Row],[Calculated emissions (kgCO2e) for this spend]]="","",(SupplychainTier2[[#This Row],[Calculated emissions (kgCO2e) for this spend]]*(1+SupplychainTier2[[#This Row],[RSD]])))</f>
        <v/>
      </c>
      <c r="U176" s="387" t="str">
        <f>IF(SupplychainTier2[[#This Row],[Calculated emissions (kgCO2e) for this spend]]="","",(SupplychainTier2[[#This Row],[Calculated emissions (kgCO2e) for this spend]]*(1-SupplychainTier2[[#This Row],[RSD]])))</f>
        <v/>
      </c>
      <c r="V176" s="255">
        <v>0</v>
      </c>
    </row>
    <row r="177" spans="2:22" ht="15" thickBot="1" x14ac:dyDescent="0.4">
      <c r="B177" s="173" t="str">
        <f t="shared" si="9"/>
        <v/>
      </c>
      <c r="C177" s="285" t="str">
        <f t="shared" si="10"/>
        <v/>
      </c>
      <c r="D177" s="211"/>
      <c r="E177" s="420" t="s">
        <v>163</v>
      </c>
      <c r="F177" s="209"/>
      <c r="G177" s="148"/>
      <c r="H177" s="422" t="s">
        <v>1095</v>
      </c>
      <c r="I177" s="423">
        <f>SupplychainTier2[[#This Row],[Spend for which Tier 2 method accounts]]</f>
        <v>0</v>
      </c>
      <c r="J177" s="423" t="s">
        <v>1095</v>
      </c>
      <c r="K177" s="423" t="str">
        <f>IFERROR(SupplychainTier2[[#This Row],[Calculated emissions (kgCO2e) for this spend]]/SupplychainTier2[[#This Row],[Spend for which Tier 2 method accounts]],"")</f>
        <v/>
      </c>
      <c r="L177" s="442"/>
      <c r="M177" s="201"/>
      <c r="N177" s="201"/>
      <c r="O177" s="255">
        <v>0</v>
      </c>
      <c r="P177" s="255">
        <v>0</v>
      </c>
      <c r="Q177" s="255">
        <f>SupplychainTier2[[#This Row],[Calculated emissions (kgCO2e) for this spend]]</f>
        <v>0</v>
      </c>
      <c r="R177" s="255">
        <v>0</v>
      </c>
      <c r="S177" s="255">
        <v>0</v>
      </c>
      <c r="T177" s="387" t="str">
        <f>IF(SupplychainTier2[[#This Row],[Calculated emissions (kgCO2e) for this spend]]="","",(SupplychainTier2[[#This Row],[Calculated emissions (kgCO2e) for this spend]]*(1+SupplychainTier2[[#This Row],[RSD]])))</f>
        <v/>
      </c>
      <c r="U177" s="387" t="str">
        <f>IF(SupplychainTier2[[#This Row],[Calculated emissions (kgCO2e) for this spend]]="","",(SupplychainTier2[[#This Row],[Calculated emissions (kgCO2e) for this spend]]*(1-SupplychainTier2[[#This Row],[RSD]])))</f>
        <v/>
      </c>
      <c r="V177" s="255">
        <v>0</v>
      </c>
    </row>
    <row r="178" spans="2:22" ht="15" thickBot="1" x14ac:dyDescent="0.4">
      <c r="B178" s="173" t="str">
        <f t="shared" si="9"/>
        <v/>
      </c>
      <c r="C178" s="285" t="str">
        <f t="shared" si="10"/>
        <v/>
      </c>
      <c r="D178" s="211"/>
      <c r="E178" s="420" t="s">
        <v>163</v>
      </c>
      <c r="F178" s="209"/>
      <c r="G178" s="148"/>
      <c r="H178" s="422" t="s">
        <v>1095</v>
      </c>
      <c r="I178" s="423">
        <f>SupplychainTier2[[#This Row],[Spend for which Tier 2 method accounts]]</f>
        <v>0</v>
      </c>
      <c r="J178" s="423" t="s">
        <v>1095</v>
      </c>
      <c r="K178" s="423" t="str">
        <f>IFERROR(SupplychainTier2[[#This Row],[Calculated emissions (kgCO2e) for this spend]]/SupplychainTier2[[#This Row],[Spend for which Tier 2 method accounts]],"")</f>
        <v/>
      </c>
      <c r="L178" s="442"/>
      <c r="M178" s="201"/>
      <c r="N178" s="201"/>
      <c r="O178" s="255">
        <v>0</v>
      </c>
      <c r="P178" s="255">
        <v>0</v>
      </c>
      <c r="Q178" s="255">
        <f>SupplychainTier2[[#This Row],[Calculated emissions (kgCO2e) for this spend]]</f>
        <v>0</v>
      </c>
      <c r="R178" s="255">
        <v>0</v>
      </c>
      <c r="S178" s="255">
        <v>0</v>
      </c>
      <c r="T178" s="387" t="str">
        <f>IF(SupplychainTier2[[#This Row],[Calculated emissions (kgCO2e) for this spend]]="","",(SupplychainTier2[[#This Row],[Calculated emissions (kgCO2e) for this spend]]*(1+SupplychainTier2[[#This Row],[RSD]])))</f>
        <v/>
      </c>
      <c r="U178" s="387" t="str">
        <f>IF(SupplychainTier2[[#This Row],[Calculated emissions (kgCO2e) for this spend]]="","",(SupplychainTier2[[#This Row],[Calculated emissions (kgCO2e) for this spend]]*(1-SupplychainTier2[[#This Row],[RSD]])))</f>
        <v/>
      </c>
      <c r="V178" s="255">
        <v>0</v>
      </c>
    </row>
    <row r="179" spans="2:22" ht="15" thickBot="1" x14ac:dyDescent="0.4">
      <c r="B179" s="173" t="str">
        <f t="shared" si="9"/>
        <v/>
      </c>
      <c r="C179" s="285" t="str">
        <f t="shared" si="10"/>
        <v/>
      </c>
      <c r="D179" s="211"/>
      <c r="E179" s="420" t="s">
        <v>163</v>
      </c>
      <c r="F179" s="209"/>
      <c r="G179" s="148"/>
      <c r="H179" s="422" t="s">
        <v>1095</v>
      </c>
      <c r="I179" s="423">
        <f>SupplychainTier2[[#This Row],[Spend for which Tier 2 method accounts]]</f>
        <v>0</v>
      </c>
      <c r="J179" s="423" t="s">
        <v>1095</v>
      </c>
      <c r="K179" s="423" t="str">
        <f>IFERROR(SupplychainTier2[[#This Row],[Calculated emissions (kgCO2e) for this spend]]/SupplychainTier2[[#This Row],[Spend for which Tier 2 method accounts]],"")</f>
        <v/>
      </c>
      <c r="L179" s="442"/>
      <c r="M179" s="201"/>
      <c r="N179" s="201"/>
      <c r="O179" s="255">
        <v>0</v>
      </c>
      <c r="P179" s="255">
        <v>0</v>
      </c>
      <c r="Q179" s="255">
        <f>SupplychainTier2[[#This Row],[Calculated emissions (kgCO2e) for this spend]]</f>
        <v>0</v>
      </c>
      <c r="R179" s="255">
        <v>0</v>
      </c>
      <c r="S179" s="255">
        <v>0</v>
      </c>
      <c r="T179" s="387" t="str">
        <f>IF(SupplychainTier2[[#This Row],[Calculated emissions (kgCO2e) for this spend]]="","",(SupplychainTier2[[#This Row],[Calculated emissions (kgCO2e) for this spend]]*(1+SupplychainTier2[[#This Row],[RSD]])))</f>
        <v/>
      </c>
      <c r="U179" s="387" t="str">
        <f>IF(SupplychainTier2[[#This Row],[Calculated emissions (kgCO2e) for this spend]]="","",(SupplychainTier2[[#This Row],[Calculated emissions (kgCO2e) for this spend]]*(1-SupplychainTier2[[#This Row],[RSD]])))</f>
        <v/>
      </c>
      <c r="V179" s="255">
        <v>0</v>
      </c>
    </row>
    <row r="180" spans="2:22" ht="15" thickBot="1" x14ac:dyDescent="0.4">
      <c r="B180" s="173" t="str">
        <f t="shared" si="9"/>
        <v/>
      </c>
      <c r="C180" s="285" t="str">
        <f t="shared" si="10"/>
        <v/>
      </c>
      <c r="D180" s="211"/>
      <c r="E180" s="420" t="s">
        <v>163</v>
      </c>
      <c r="F180" s="209"/>
      <c r="G180" s="148"/>
      <c r="H180" s="422" t="s">
        <v>1095</v>
      </c>
      <c r="I180" s="423">
        <f>SupplychainTier2[[#This Row],[Spend for which Tier 2 method accounts]]</f>
        <v>0</v>
      </c>
      <c r="J180" s="423" t="s">
        <v>1095</v>
      </c>
      <c r="K180" s="423" t="str">
        <f>IFERROR(SupplychainTier2[[#This Row],[Calculated emissions (kgCO2e) for this spend]]/SupplychainTier2[[#This Row],[Spend for which Tier 2 method accounts]],"")</f>
        <v/>
      </c>
      <c r="L180" s="442"/>
      <c r="M180" s="201"/>
      <c r="N180" s="201"/>
      <c r="O180" s="255">
        <v>0</v>
      </c>
      <c r="P180" s="255">
        <v>0</v>
      </c>
      <c r="Q180" s="255">
        <f>SupplychainTier2[[#This Row],[Calculated emissions (kgCO2e) for this spend]]</f>
        <v>0</v>
      </c>
      <c r="R180" s="255">
        <v>0</v>
      </c>
      <c r="S180" s="255">
        <v>0</v>
      </c>
      <c r="T180" s="387" t="str">
        <f>IF(SupplychainTier2[[#This Row],[Calculated emissions (kgCO2e) for this spend]]="","",(SupplychainTier2[[#This Row],[Calculated emissions (kgCO2e) for this spend]]*(1+SupplychainTier2[[#This Row],[RSD]])))</f>
        <v/>
      </c>
      <c r="U180" s="387" t="str">
        <f>IF(SupplychainTier2[[#This Row],[Calculated emissions (kgCO2e) for this spend]]="","",(SupplychainTier2[[#This Row],[Calculated emissions (kgCO2e) for this spend]]*(1-SupplychainTier2[[#This Row],[RSD]])))</f>
        <v/>
      </c>
      <c r="V180" s="255">
        <v>0</v>
      </c>
    </row>
    <row r="181" spans="2:22" ht="15" thickBot="1" x14ac:dyDescent="0.4">
      <c r="B181" s="173" t="str">
        <f t="shared" si="9"/>
        <v/>
      </c>
      <c r="C181" s="285" t="str">
        <f t="shared" si="10"/>
        <v/>
      </c>
      <c r="D181" s="211"/>
      <c r="E181" s="420" t="s">
        <v>163</v>
      </c>
      <c r="F181" s="209"/>
      <c r="G181" s="148"/>
      <c r="H181" s="422" t="s">
        <v>1095</v>
      </c>
      <c r="I181" s="423">
        <f>SupplychainTier2[[#This Row],[Spend for which Tier 2 method accounts]]</f>
        <v>0</v>
      </c>
      <c r="J181" s="423" t="s">
        <v>1095</v>
      </c>
      <c r="K181" s="423" t="str">
        <f>IFERROR(SupplychainTier2[[#This Row],[Calculated emissions (kgCO2e) for this spend]]/SupplychainTier2[[#This Row],[Spend for which Tier 2 method accounts]],"")</f>
        <v/>
      </c>
      <c r="L181" s="442"/>
      <c r="M181" s="201"/>
      <c r="N181" s="201"/>
      <c r="O181" s="255">
        <v>0</v>
      </c>
      <c r="P181" s="255">
        <v>0</v>
      </c>
      <c r="Q181" s="255">
        <f>SupplychainTier2[[#This Row],[Calculated emissions (kgCO2e) for this spend]]</f>
        <v>0</v>
      </c>
      <c r="R181" s="255">
        <v>0</v>
      </c>
      <c r="S181" s="255">
        <v>0</v>
      </c>
      <c r="T181" s="387" t="str">
        <f>IF(SupplychainTier2[[#This Row],[Calculated emissions (kgCO2e) for this spend]]="","",(SupplychainTier2[[#This Row],[Calculated emissions (kgCO2e) for this spend]]*(1+SupplychainTier2[[#This Row],[RSD]])))</f>
        <v/>
      </c>
      <c r="U181" s="387" t="str">
        <f>IF(SupplychainTier2[[#This Row],[Calculated emissions (kgCO2e) for this spend]]="","",(SupplychainTier2[[#This Row],[Calculated emissions (kgCO2e) for this spend]]*(1-SupplychainTier2[[#This Row],[RSD]])))</f>
        <v/>
      </c>
      <c r="V181" s="255">
        <v>0</v>
      </c>
    </row>
    <row r="182" spans="2:22" ht="15" thickBot="1" x14ac:dyDescent="0.4">
      <c r="B182" s="173" t="str">
        <f t="shared" si="9"/>
        <v/>
      </c>
      <c r="C182" s="285" t="str">
        <f t="shared" si="10"/>
        <v/>
      </c>
      <c r="D182" s="211"/>
      <c r="E182" s="420" t="s">
        <v>163</v>
      </c>
      <c r="F182" s="209"/>
      <c r="G182" s="148"/>
      <c r="H182" s="422" t="s">
        <v>1095</v>
      </c>
      <c r="I182" s="423">
        <f>SupplychainTier2[[#This Row],[Spend for which Tier 2 method accounts]]</f>
        <v>0</v>
      </c>
      <c r="J182" s="423" t="s">
        <v>1095</v>
      </c>
      <c r="K182" s="423" t="str">
        <f>IFERROR(SupplychainTier2[[#This Row],[Calculated emissions (kgCO2e) for this spend]]/SupplychainTier2[[#This Row],[Spend for which Tier 2 method accounts]],"")</f>
        <v/>
      </c>
      <c r="L182" s="442"/>
      <c r="M182" s="201"/>
      <c r="N182" s="201"/>
      <c r="O182" s="255">
        <v>0</v>
      </c>
      <c r="P182" s="255">
        <v>0</v>
      </c>
      <c r="Q182" s="255">
        <f>SupplychainTier2[[#This Row],[Calculated emissions (kgCO2e) for this spend]]</f>
        <v>0</v>
      </c>
      <c r="R182" s="255">
        <v>0</v>
      </c>
      <c r="S182" s="255">
        <v>0</v>
      </c>
      <c r="T182" s="387" t="str">
        <f>IF(SupplychainTier2[[#This Row],[Calculated emissions (kgCO2e) for this spend]]="","",(SupplychainTier2[[#This Row],[Calculated emissions (kgCO2e) for this spend]]*(1+SupplychainTier2[[#This Row],[RSD]])))</f>
        <v/>
      </c>
      <c r="U182" s="387" t="str">
        <f>IF(SupplychainTier2[[#This Row],[Calculated emissions (kgCO2e) for this spend]]="","",(SupplychainTier2[[#This Row],[Calculated emissions (kgCO2e) for this spend]]*(1-SupplychainTier2[[#This Row],[RSD]])))</f>
        <v/>
      </c>
      <c r="V182" s="255">
        <v>0</v>
      </c>
    </row>
    <row r="183" spans="2:22" ht="15" thickBot="1" x14ac:dyDescent="0.4">
      <c r="B183" s="173" t="str">
        <f t="shared" si="9"/>
        <v/>
      </c>
      <c r="C183" s="285" t="str">
        <f t="shared" si="10"/>
        <v/>
      </c>
      <c r="D183" s="211"/>
      <c r="E183" s="420" t="s">
        <v>163</v>
      </c>
      <c r="F183" s="209"/>
      <c r="G183" s="148"/>
      <c r="H183" s="422" t="s">
        <v>1095</v>
      </c>
      <c r="I183" s="423">
        <f>SupplychainTier2[[#This Row],[Spend for which Tier 2 method accounts]]</f>
        <v>0</v>
      </c>
      <c r="J183" s="423" t="s">
        <v>1095</v>
      </c>
      <c r="K183" s="423" t="str">
        <f>IFERROR(SupplychainTier2[[#This Row],[Calculated emissions (kgCO2e) for this spend]]/SupplychainTier2[[#This Row],[Spend for which Tier 2 method accounts]],"")</f>
        <v/>
      </c>
      <c r="L183" s="442"/>
      <c r="M183" s="201"/>
      <c r="N183" s="201"/>
      <c r="O183" s="255">
        <v>0</v>
      </c>
      <c r="P183" s="255">
        <v>0</v>
      </c>
      <c r="Q183" s="255">
        <f>SupplychainTier2[[#This Row],[Calculated emissions (kgCO2e) for this spend]]</f>
        <v>0</v>
      </c>
      <c r="R183" s="255">
        <v>0</v>
      </c>
      <c r="S183" s="255">
        <v>0</v>
      </c>
      <c r="T183" s="387" t="str">
        <f>IF(SupplychainTier2[[#This Row],[Calculated emissions (kgCO2e) for this spend]]="","",(SupplychainTier2[[#This Row],[Calculated emissions (kgCO2e) for this spend]]*(1+SupplychainTier2[[#This Row],[RSD]])))</f>
        <v/>
      </c>
      <c r="U183" s="387" t="str">
        <f>IF(SupplychainTier2[[#This Row],[Calculated emissions (kgCO2e) for this spend]]="","",(SupplychainTier2[[#This Row],[Calculated emissions (kgCO2e) for this spend]]*(1-SupplychainTier2[[#This Row],[RSD]])))</f>
        <v/>
      </c>
      <c r="V183" s="255">
        <v>0</v>
      </c>
    </row>
    <row r="184" spans="2:22" ht="15" thickBot="1" x14ac:dyDescent="0.4">
      <c r="B184" s="173" t="str">
        <f t="shared" si="9"/>
        <v/>
      </c>
      <c r="C184" s="285" t="str">
        <f t="shared" si="10"/>
        <v/>
      </c>
      <c r="D184" s="211"/>
      <c r="E184" s="420" t="s">
        <v>163</v>
      </c>
      <c r="F184" s="209"/>
      <c r="G184" s="148"/>
      <c r="H184" s="422" t="s">
        <v>1095</v>
      </c>
      <c r="I184" s="423">
        <f>SupplychainTier2[[#This Row],[Spend for which Tier 2 method accounts]]</f>
        <v>0</v>
      </c>
      <c r="J184" s="423" t="s">
        <v>1095</v>
      </c>
      <c r="K184" s="423" t="str">
        <f>IFERROR(SupplychainTier2[[#This Row],[Calculated emissions (kgCO2e) for this spend]]/SupplychainTier2[[#This Row],[Spend for which Tier 2 method accounts]],"")</f>
        <v/>
      </c>
      <c r="L184" s="442"/>
      <c r="M184" s="201"/>
      <c r="N184" s="201"/>
      <c r="O184" s="255">
        <v>0</v>
      </c>
      <c r="P184" s="255">
        <v>0</v>
      </c>
      <c r="Q184" s="255">
        <f>SupplychainTier2[[#This Row],[Calculated emissions (kgCO2e) for this spend]]</f>
        <v>0</v>
      </c>
      <c r="R184" s="255">
        <v>0</v>
      </c>
      <c r="S184" s="255">
        <v>0</v>
      </c>
      <c r="T184" s="387" t="str">
        <f>IF(SupplychainTier2[[#This Row],[Calculated emissions (kgCO2e) for this spend]]="","",(SupplychainTier2[[#This Row],[Calculated emissions (kgCO2e) for this spend]]*(1+SupplychainTier2[[#This Row],[RSD]])))</f>
        <v/>
      </c>
      <c r="U184" s="387" t="str">
        <f>IF(SupplychainTier2[[#This Row],[Calculated emissions (kgCO2e) for this spend]]="","",(SupplychainTier2[[#This Row],[Calculated emissions (kgCO2e) for this spend]]*(1-SupplychainTier2[[#This Row],[RSD]])))</f>
        <v/>
      </c>
      <c r="V184" s="255">
        <v>0</v>
      </c>
    </row>
    <row r="185" spans="2:22" ht="15" thickBot="1" x14ac:dyDescent="0.4">
      <c r="B185" s="173" t="str">
        <f t="shared" si="9"/>
        <v/>
      </c>
      <c r="C185" s="285" t="str">
        <f t="shared" si="10"/>
        <v/>
      </c>
      <c r="D185" s="211"/>
      <c r="E185" s="420" t="s">
        <v>163</v>
      </c>
      <c r="F185" s="209"/>
      <c r="G185" s="148"/>
      <c r="H185" s="422" t="s">
        <v>1095</v>
      </c>
      <c r="I185" s="423">
        <f>SupplychainTier2[[#This Row],[Spend for which Tier 2 method accounts]]</f>
        <v>0</v>
      </c>
      <c r="J185" s="423" t="s">
        <v>1095</v>
      </c>
      <c r="K185" s="423" t="str">
        <f>IFERROR(SupplychainTier2[[#This Row],[Calculated emissions (kgCO2e) for this spend]]/SupplychainTier2[[#This Row],[Spend for which Tier 2 method accounts]],"")</f>
        <v/>
      </c>
      <c r="L185" s="442"/>
      <c r="M185" s="201"/>
      <c r="N185" s="201"/>
      <c r="O185" s="255">
        <v>0</v>
      </c>
      <c r="P185" s="255">
        <v>0</v>
      </c>
      <c r="Q185" s="255">
        <f>SupplychainTier2[[#This Row],[Calculated emissions (kgCO2e) for this spend]]</f>
        <v>0</v>
      </c>
      <c r="R185" s="255">
        <v>0</v>
      </c>
      <c r="S185" s="255">
        <v>0</v>
      </c>
      <c r="T185" s="387" t="str">
        <f>IF(SupplychainTier2[[#This Row],[Calculated emissions (kgCO2e) for this spend]]="","",(SupplychainTier2[[#This Row],[Calculated emissions (kgCO2e) for this spend]]*(1+SupplychainTier2[[#This Row],[RSD]])))</f>
        <v/>
      </c>
      <c r="U185" s="387" t="str">
        <f>IF(SupplychainTier2[[#This Row],[Calculated emissions (kgCO2e) for this spend]]="","",(SupplychainTier2[[#This Row],[Calculated emissions (kgCO2e) for this spend]]*(1-SupplychainTier2[[#This Row],[RSD]])))</f>
        <v/>
      </c>
      <c r="V185" s="255">
        <v>0</v>
      </c>
    </row>
    <row r="186" spans="2:22" ht="15" thickBot="1" x14ac:dyDescent="0.4">
      <c r="B186" s="173" t="str">
        <f t="shared" si="9"/>
        <v/>
      </c>
      <c r="C186" s="285" t="str">
        <f t="shared" si="10"/>
        <v/>
      </c>
      <c r="D186" s="211"/>
      <c r="E186" s="420" t="s">
        <v>163</v>
      </c>
      <c r="F186" s="209"/>
      <c r="G186" s="148"/>
      <c r="H186" s="422" t="s">
        <v>1095</v>
      </c>
      <c r="I186" s="423">
        <f>SupplychainTier2[[#This Row],[Spend for which Tier 2 method accounts]]</f>
        <v>0</v>
      </c>
      <c r="J186" s="423" t="s">
        <v>1095</v>
      </c>
      <c r="K186" s="423" t="str">
        <f>IFERROR(SupplychainTier2[[#This Row],[Calculated emissions (kgCO2e) for this spend]]/SupplychainTier2[[#This Row],[Spend for which Tier 2 method accounts]],"")</f>
        <v/>
      </c>
      <c r="L186" s="442"/>
      <c r="M186" s="201"/>
      <c r="N186" s="201"/>
      <c r="O186" s="255">
        <v>0</v>
      </c>
      <c r="P186" s="255">
        <v>0</v>
      </c>
      <c r="Q186" s="255">
        <f>SupplychainTier2[[#This Row],[Calculated emissions (kgCO2e) for this spend]]</f>
        <v>0</v>
      </c>
      <c r="R186" s="255">
        <v>0</v>
      </c>
      <c r="S186" s="255">
        <v>0</v>
      </c>
      <c r="T186" s="387" t="str">
        <f>IF(SupplychainTier2[[#This Row],[Calculated emissions (kgCO2e) for this spend]]="","",(SupplychainTier2[[#This Row],[Calculated emissions (kgCO2e) for this spend]]*(1+SupplychainTier2[[#This Row],[RSD]])))</f>
        <v/>
      </c>
      <c r="U186" s="387" t="str">
        <f>IF(SupplychainTier2[[#This Row],[Calculated emissions (kgCO2e) for this spend]]="","",(SupplychainTier2[[#This Row],[Calculated emissions (kgCO2e) for this spend]]*(1-SupplychainTier2[[#This Row],[RSD]])))</f>
        <v/>
      </c>
      <c r="V186" s="255">
        <v>0</v>
      </c>
    </row>
    <row r="187" spans="2:22" ht="15" thickBot="1" x14ac:dyDescent="0.4">
      <c r="B187" s="173" t="str">
        <f t="shared" si="9"/>
        <v/>
      </c>
      <c r="C187" s="285" t="str">
        <f t="shared" si="10"/>
        <v/>
      </c>
      <c r="D187" s="211"/>
      <c r="E187" s="420" t="s">
        <v>163</v>
      </c>
      <c r="F187" s="209"/>
      <c r="G187" s="148"/>
      <c r="H187" s="422" t="s">
        <v>1095</v>
      </c>
      <c r="I187" s="423">
        <f>SupplychainTier2[[#This Row],[Spend for which Tier 2 method accounts]]</f>
        <v>0</v>
      </c>
      <c r="J187" s="423" t="s">
        <v>1095</v>
      </c>
      <c r="K187" s="423" t="str">
        <f>IFERROR(SupplychainTier2[[#This Row],[Calculated emissions (kgCO2e) for this spend]]/SupplychainTier2[[#This Row],[Spend for which Tier 2 method accounts]],"")</f>
        <v/>
      </c>
      <c r="L187" s="442"/>
      <c r="M187" s="201"/>
      <c r="N187" s="201"/>
      <c r="O187" s="255">
        <v>0</v>
      </c>
      <c r="P187" s="255">
        <v>0</v>
      </c>
      <c r="Q187" s="255">
        <f>SupplychainTier2[[#This Row],[Calculated emissions (kgCO2e) for this spend]]</f>
        <v>0</v>
      </c>
      <c r="R187" s="255">
        <v>0</v>
      </c>
      <c r="S187" s="255">
        <v>0</v>
      </c>
      <c r="T187" s="387" t="str">
        <f>IF(SupplychainTier2[[#This Row],[Calculated emissions (kgCO2e) for this spend]]="","",(SupplychainTier2[[#This Row],[Calculated emissions (kgCO2e) for this spend]]*(1+SupplychainTier2[[#This Row],[RSD]])))</f>
        <v/>
      </c>
      <c r="U187" s="387" t="str">
        <f>IF(SupplychainTier2[[#This Row],[Calculated emissions (kgCO2e) for this spend]]="","",(SupplychainTier2[[#This Row],[Calculated emissions (kgCO2e) for this spend]]*(1-SupplychainTier2[[#This Row],[RSD]])))</f>
        <v/>
      </c>
      <c r="V187" s="255">
        <v>0</v>
      </c>
    </row>
    <row r="188" spans="2:22" ht="15" thickBot="1" x14ac:dyDescent="0.4">
      <c r="B188" s="173" t="str">
        <f t="shared" si="9"/>
        <v/>
      </c>
      <c r="C188" s="285" t="str">
        <f t="shared" si="10"/>
        <v/>
      </c>
      <c r="D188" s="211"/>
      <c r="E188" s="420" t="s">
        <v>163</v>
      </c>
      <c r="F188" s="209"/>
      <c r="G188" s="148"/>
      <c r="H188" s="422" t="s">
        <v>1095</v>
      </c>
      <c r="I188" s="423">
        <f>SupplychainTier2[[#This Row],[Spend for which Tier 2 method accounts]]</f>
        <v>0</v>
      </c>
      <c r="J188" s="423" t="s">
        <v>1095</v>
      </c>
      <c r="K188" s="423" t="str">
        <f>IFERROR(SupplychainTier2[[#This Row],[Calculated emissions (kgCO2e) for this spend]]/SupplychainTier2[[#This Row],[Spend for which Tier 2 method accounts]],"")</f>
        <v/>
      </c>
      <c r="L188" s="442"/>
      <c r="M188" s="201"/>
      <c r="N188" s="201"/>
      <c r="O188" s="255">
        <v>0</v>
      </c>
      <c r="P188" s="255">
        <v>0</v>
      </c>
      <c r="Q188" s="255">
        <f>SupplychainTier2[[#This Row],[Calculated emissions (kgCO2e) for this spend]]</f>
        <v>0</v>
      </c>
      <c r="R188" s="255">
        <v>0</v>
      </c>
      <c r="S188" s="255">
        <v>0</v>
      </c>
      <c r="T188" s="387" t="str">
        <f>IF(SupplychainTier2[[#This Row],[Calculated emissions (kgCO2e) for this spend]]="","",(SupplychainTier2[[#This Row],[Calculated emissions (kgCO2e) for this spend]]*(1+SupplychainTier2[[#This Row],[RSD]])))</f>
        <v/>
      </c>
      <c r="U188" s="387" t="str">
        <f>IF(SupplychainTier2[[#This Row],[Calculated emissions (kgCO2e) for this spend]]="","",(SupplychainTier2[[#This Row],[Calculated emissions (kgCO2e) for this spend]]*(1-SupplychainTier2[[#This Row],[RSD]])))</f>
        <v/>
      </c>
      <c r="V188" s="255">
        <v>0</v>
      </c>
    </row>
    <row r="189" spans="2:22" ht="15" thickBot="1" x14ac:dyDescent="0.4">
      <c r="B189" s="173" t="str">
        <f t="shared" si="9"/>
        <v/>
      </c>
      <c r="C189" s="285" t="str">
        <f t="shared" si="10"/>
        <v/>
      </c>
      <c r="D189" s="211"/>
      <c r="E189" s="420" t="s">
        <v>163</v>
      </c>
      <c r="F189" s="209"/>
      <c r="G189" s="148"/>
      <c r="H189" s="422" t="s">
        <v>1095</v>
      </c>
      <c r="I189" s="423">
        <f>SupplychainTier2[[#This Row],[Spend for which Tier 2 method accounts]]</f>
        <v>0</v>
      </c>
      <c r="J189" s="423" t="s">
        <v>1095</v>
      </c>
      <c r="K189" s="423" t="str">
        <f>IFERROR(SupplychainTier2[[#This Row],[Calculated emissions (kgCO2e) for this spend]]/SupplychainTier2[[#This Row],[Spend for which Tier 2 method accounts]],"")</f>
        <v/>
      </c>
      <c r="L189" s="442"/>
      <c r="M189" s="201"/>
      <c r="N189" s="201"/>
      <c r="O189" s="255">
        <v>0</v>
      </c>
      <c r="P189" s="255">
        <v>0</v>
      </c>
      <c r="Q189" s="255">
        <f>SupplychainTier2[[#This Row],[Calculated emissions (kgCO2e) for this spend]]</f>
        <v>0</v>
      </c>
      <c r="R189" s="255">
        <v>0</v>
      </c>
      <c r="S189" s="255">
        <v>0</v>
      </c>
      <c r="T189" s="387" t="str">
        <f>IF(SupplychainTier2[[#This Row],[Calculated emissions (kgCO2e) for this spend]]="","",(SupplychainTier2[[#This Row],[Calculated emissions (kgCO2e) for this spend]]*(1+SupplychainTier2[[#This Row],[RSD]])))</f>
        <v/>
      </c>
      <c r="U189" s="387" t="str">
        <f>IF(SupplychainTier2[[#This Row],[Calculated emissions (kgCO2e) for this spend]]="","",(SupplychainTier2[[#This Row],[Calculated emissions (kgCO2e) for this spend]]*(1-SupplychainTier2[[#This Row],[RSD]])))</f>
        <v/>
      </c>
      <c r="V189" s="255">
        <v>0</v>
      </c>
    </row>
    <row r="190" spans="2:22" ht="15" thickBot="1" x14ac:dyDescent="0.4">
      <c r="B190" s="173" t="str">
        <f t="shared" si="9"/>
        <v/>
      </c>
      <c r="C190" s="285" t="str">
        <f t="shared" si="10"/>
        <v/>
      </c>
      <c r="D190" s="211"/>
      <c r="E190" s="420" t="s">
        <v>163</v>
      </c>
      <c r="F190" s="209"/>
      <c r="G190" s="148"/>
      <c r="H190" s="422" t="s">
        <v>1095</v>
      </c>
      <c r="I190" s="423">
        <f>SupplychainTier2[[#This Row],[Spend for which Tier 2 method accounts]]</f>
        <v>0</v>
      </c>
      <c r="J190" s="423" t="s">
        <v>1095</v>
      </c>
      <c r="K190" s="423" t="str">
        <f>IFERROR(SupplychainTier2[[#This Row],[Calculated emissions (kgCO2e) for this spend]]/SupplychainTier2[[#This Row],[Spend for which Tier 2 method accounts]],"")</f>
        <v/>
      </c>
      <c r="L190" s="442"/>
      <c r="M190" s="201"/>
      <c r="N190" s="201"/>
      <c r="O190" s="255">
        <v>0</v>
      </c>
      <c r="P190" s="255">
        <v>0</v>
      </c>
      <c r="Q190" s="255">
        <f>SupplychainTier2[[#This Row],[Calculated emissions (kgCO2e) for this spend]]</f>
        <v>0</v>
      </c>
      <c r="R190" s="255">
        <v>0</v>
      </c>
      <c r="S190" s="255">
        <v>0</v>
      </c>
      <c r="T190" s="387" t="str">
        <f>IF(SupplychainTier2[[#This Row],[Calculated emissions (kgCO2e) for this spend]]="","",(SupplychainTier2[[#This Row],[Calculated emissions (kgCO2e) for this spend]]*(1+SupplychainTier2[[#This Row],[RSD]])))</f>
        <v/>
      </c>
      <c r="U190" s="387" t="str">
        <f>IF(SupplychainTier2[[#This Row],[Calculated emissions (kgCO2e) for this spend]]="","",(SupplychainTier2[[#This Row],[Calculated emissions (kgCO2e) for this spend]]*(1-SupplychainTier2[[#This Row],[RSD]])))</f>
        <v/>
      </c>
      <c r="V190" s="255">
        <v>0</v>
      </c>
    </row>
    <row r="191" spans="2:22" ht="15" thickBot="1" x14ac:dyDescent="0.4">
      <c r="B191" s="173" t="str">
        <f t="shared" si="9"/>
        <v/>
      </c>
      <c r="C191" s="285" t="str">
        <f t="shared" si="10"/>
        <v/>
      </c>
      <c r="D191" s="211"/>
      <c r="E191" s="420" t="s">
        <v>163</v>
      </c>
      <c r="F191" s="209"/>
      <c r="G191" s="148"/>
      <c r="H191" s="422" t="s">
        <v>1095</v>
      </c>
      <c r="I191" s="423">
        <f>SupplychainTier2[[#This Row],[Spend for which Tier 2 method accounts]]</f>
        <v>0</v>
      </c>
      <c r="J191" s="423" t="s">
        <v>1095</v>
      </c>
      <c r="K191" s="423" t="str">
        <f>IFERROR(SupplychainTier2[[#This Row],[Calculated emissions (kgCO2e) for this spend]]/SupplychainTier2[[#This Row],[Spend for which Tier 2 method accounts]],"")</f>
        <v/>
      </c>
      <c r="L191" s="442"/>
      <c r="M191" s="201"/>
      <c r="N191" s="201"/>
      <c r="O191" s="255">
        <v>0</v>
      </c>
      <c r="P191" s="255">
        <v>0</v>
      </c>
      <c r="Q191" s="255">
        <f>SupplychainTier2[[#This Row],[Calculated emissions (kgCO2e) for this spend]]</f>
        <v>0</v>
      </c>
      <c r="R191" s="255">
        <v>0</v>
      </c>
      <c r="S191" s="255">
        <v>0</v>
      </c>
      <c r="T191" s="387" t="str">
        <f>IF(SupplychainTier2[[#This Row],[Calculated emissions (kgCO2e) for this spend]]="","",(SupplychainTier2[[#This Row],[Calculated emissions (kgCO2e) for this spend]]*(1+SupplychainTier2[[#This Row],[RSD]])))</f>
        <v/>
      </c>
      <c r="U191" s="387" t="str">
        <f>IF(SupplychainTier2[[#This Row],[Calculated emissions (kgCO2e) for this spend]]="","",(SupplychainTier2[[#This Row],[Calculated emissions (kgCO2e) for this spend]]*(1-SupplychainTier2[[#This Row],[RSD]])))</f>
        <v/>
      </c>
      <c r="V191" s="255">
        <v>0</v>
      </c>
    </row>
    <row r="192" spans="2:22" ht="15" thickBot="1" x14ac:dyDescent="0.4">
      <c r="B192" s="173" t="str">
        <f t="shared" si="9"/>
        <v/>
      </c>
      <c r="C192" s="285" t="str">
        <f t="shared" si="10"/>
        <v/>
      </c>
      <c r="D192" s="211"/>
      <c r="E192" s="420" t="s">
        <v>163</v>
      </c>
      <c r="F192" s="209"/>
      <c r="G192" s="148"/>
      <c r="H192" s="422" t="s">
        <v>1095</v>
      </c>
      <c r="I192" s="423">
        <f>SupplychainTier2[[#This Row],[Spend for which Tier 2 method accounts]]</f>
        <v>0</v>
      </c>
      <c r="J192" s="423" t="s">
        <v>1095</v>
      </c>
      <c r="K192" s="423" t="str">
        <f>IFERROR(SupplychainTier2[[#This Row],[Calculated emissions (kgCO2e) for this spend]]/SupplychainTier2[[#This Row],[Spend for which Tier 2 method accounts]],"")</f>
        <v/>
      </c>
      <c r="L192" s="442"/>
      <c r="M192" s="201"/>
      <c r="N192" s="201"/>
      <c r="O192" s="255">
        <v>0</v>
      </c>
      <c r="P192" s="255">
        <v>0</v>
      </c>
      <c r="Q192" s="255">
        <f>SupplychainTier2[[#This Row],[Calculated emissions (kgCO2e) for this spend]]</f>
        <v>0</v>
      </c>
      <c r="R192" s="255">
        <v>0</v>
      </c>
      <c r="S192" s="255">
        <v>0</v>
      </c>
      <c r="T192" s="387" t="str">
        <f>IF(SupplychainTier2[[#This Row],[Calculated emissions (kgCO2e) for this spend]]="","",(SupplychainTier2[[#This Row],[Calculated emissions (kgCO2e) for this spend]]*(1+SupplychainTier2[[#This Row],[RSD]])))</f>
        <v/>
      </c>
      <c r="U192" s="387" t="str">
        <f>IF(SupplychainTier2[[#This Row],[Calculated emissions (kgCO2e) for this spend]]="","",(SupplychainTier2[[#This Row],[Calculated emissions (kgCO2e) for this spend]]*(1-SupplychainTier2[[#This Row],[RSD]])))</f>
        <v/>
      </c>
      <c r="V192" s="255">
        <v>0</v>
      </c>
    </row>
    <row r="193" spans="2:22" ht="15" thickBot="1" x14ac:dyDescent="0.4">
      <c r="B193" s="173" t="str">
        <f t="shared" si="9"/>
        <v/>
      </c>
      <c r="C193" s="285" t="str">
        <f t="shared" si="10"/>
        <v/>
      </c>
      <c r="D193" s="211"/>
      <c r="E193" s="420" t="s">
        <v>163</v>
      </c>
      <c r="F193" s="209"/>
      <c r="G193" s="148"/>
      <c r="H193" s="422" t="s">
        <v>1095</v>
      </c>
      <c r="I193" s="423">
        <f>SupplychainTier2[[#This Row],[Spend for which Tier 2 method accounts]]</f>
        <v>0</v>
      </c>
      <c r="J193" s="423" t="s">
        <v>1095</v>
      </c>
      <c r="K193" s="423" t="str">
        <f>IFERROR(SupplychainTier2[[#This Row],[Calculated emissions (kgCO2e) for this spend]]/SupplychainTier2[[#This Row],[Spend for which Tier 2 method accounts]],"")</f>
        <v/>
      </c>
      <c r="L193" s="442"/>
      <c r="M193" s="201"/>
      <c r="N193" s="201"/>
      <c r="O193" s="255">
        <v>0</v>
      </c>
      <c r="P193" s="255">
        <v>0</v>
      </c>
      <c r="Q193" s="255">
        <f>SupplychainTier2[[#This Row],[Calculated emissions (kgCO2e) for this spend]]</f>
        <v>0</v>
      </c>
      <c r="R193" s="255">
        <v>0</v>
      </c>
      <c r="S193" s="255">
        <v>0</v>
      </c>
      <c r="T193" s="387" t="str">
        <f>IF(SupplychainTier2[[#This Row],[Calculated emissions (kgCO2e) for this spend]]="","",(SupplychainTier2[[#This Row],[Calculated emissions (kgCO2e) for this spend]]*(1+SupplychainTier2[[#This Row],[RSD]])))</f>
        <v/>
      </c>
      <c r="U193" s="387" t="str">
        <f>IF(SupplychainTier2[[#This Row],[Calculated emissions (kgCO2e) for this spend]]="","",(SupplychainTier2[[#This Row],[Calculated emissions (kgCO2e) for this spend]]*(1-SupplychainTier2[[#This Row],[RSD]])))</f>
        <v/>
      </c>
      <c r="V193" s="255">
        <v>0</v>
      </c>
    </row>
    <row r="194" spans="2:22" ht="15" thickBot="1" x14ac:dyDescent="0.4">
      <c r="B194" s="173" t="str">
        <f t="shared" si="9"/>
        <v/>
      </c>
      <c r="C194" s="285" t="str">
        <f t="shared" si="10"/>
        <v/>
      </c>
      <c r="D194" s="211"/>
      <c r="E194" s="420" t="s">
        <v>163</v>
      </c>
      <c r="F194" s="209"/>
      <c r="G194" s="148"/>
      <c r="H194" s="422" t="s">
        <v>1095</v>
      </c>
      <c r="I194" s="423">
        <f>SupplychainTier2[[#This Row],[Spend for which Tier 2 method accounts]]</f>
        <v>0</v>
      </c>
      <c r="J194" s="423" t="s">
        <v>1095</v>
      </c>
      <c r="K194" s="423" t="str">
        <f>IFERROR(SupplychainTier2[[#This Row],[Calculated emissions (kgCO2e) for this spend]]/SupplychainTier2[[#This Row],[Spend for which Tier 2 method accounts]],"")</f>
        <v/>
      </c>
      <c r="L194" s="442"/>
      <c r="M194" s="201"/>
      <c r="N194" s="201"/>
      <c r="O194" s="255">
        <v>0</v>
      </c>
      <c r="P194" s="255">
        <v>0</v>
      </c>
      <c r="Q194" s="255">
        <f>SupplychainTier2[[#This Row],[Calculated emissions (kgCO2e) for this spend]]</f>
        <v>0</v>
      </c>
      <c r="R194" s="255">
        <v>0</v>
      </c>
      <c r="S194" s="255">
        <v>0</v>
      </c>
      <c r="T194" s="387" t="str">
        <f>IF(SupplychainTier2[[#This Row],[Calculated emissions (kgCO2e) for this spend]]="","",(SupplychainTier2[[#This Row],[Calculated emissions (kgCO2e) for this spend]]*(1+SupplychainTier2[[#This Row],[RSD]])))</f>
        <v/>
      </c>
      <c r="U194" s="387" t="str">
        <f>IF(SupplychainTier2[[#This Row],[Calculated emissions (kgCO2e) for this spend]]="","",(SupplychainTier2[[#This Row],[Calculated emissions (kgCO2e) for this spend]]*(1-SupplychainTier2[[#This Row],[RSD]])))</f>
        <v/>
      </c>
      <c r="V194" s="255">
        <v>0</v>
      </c>
    </row>
    <row r="195" spans="2:22" ht="15" thickBot="1" x14ac:dyDescent="0.4">
      <c r="B195" s="173" t="str">
        <f t="shared" si="9"/>
        <v/>
      </c>
      <c r="C195" s="285" t="str">
        <f t="shared" si="10"/>
        <v/>
      </c>
      <c r="D195" s="211"/>
      <c r="E195" s="420" t="s">
        <v>163</v>
      </c>
      <c r="F195" s="209"/>
      <c r="G195" s="148"/>
      <c r="H195" s="422" t="s">
        <v>1095</v>
      </c>
      <c r="I195" s="423">
        <f>SupplychainTier2[[#This Row],[Spend for which Tier 2 method accounts]]</f>
        <v>0</v>
      </c>
      <c r="J195" s="423" t="s">
        <v>1095</v>
      </c>
      <c r="K195" s="423" t="str">
        <f>IFERROR(SupplychainTier2[[#This Row],[Calculated emissions (kgCO2e) for this spend]]/SupplychainTier2[[#This Row],[Spend for which Tier 2 method accounts]],"")</f>
        <v/>
      </c>
      <c r="L195" s="442"/>
      <c r="M195" s="201"/>
      <c r="N195" s="201"/>
      <c r="O195" s="255">
        <v>0</v>
      </c>
      <c r="P195" s="255">
        <v>0</v>
      </c>
      <c r="Q195" s="255">
        <f>SupplychainTier2[[#This Row],[Calculated emissions (kgCO2e) for this spend]]</f>
        <v>0</v>
      </c>
      <c r="R195" s="255">
        <v>0</v>
      </c>
      <c r="S195" s="255">
        <v>0</v>
      </c>
      <c r="T195" s="387" t="str">
        <f>IF(SupplychainTier2[[#This Row],[Calculated emissions (kgCO2e) for this spend]]="","",(SupplychainTier2[[#This Row],[Calculated emissions (kgCO2e) for this spend]]*(1+SupplychainTier2[[#This Row],[RSD]])))</f>
        <v/>
      </c>
      <c r="U195" s="387" t="str">
        <f>IF(SupplychainTier2[[#This Row],[Calculated emissions (kgCO2e) for this spend]]="","",(SupplychainTier2[[#This Row],[Calculated emissions (kgCO2e) for this spend]]*(1-SupplychainTier2[[#This Row],[RSD]])))</f>
        <v/>
      </c>
      <c r="V195" s="255">
        <v>0</v>
      </c>
    </row>
    <row r="196" spans="2:22" ht="15" thickBot="1" x14ac:dyDescent="0.4">
      <c r="B196" s="173" t="str">
        <f t="shared" si="9"/>
        <v/>
      </c>
      <c r="C196" s="285" t="str">
        <f t="shared" si="10"/>
        <v/>
      </c>
      <c r="D196" s="211"/>
      <c r="E196" s="420" t="s">
        <v>163</v>
      </c>
      <c r="F196" s="209"/>
      <c r="G196" s="148"/>
      <c r="H196" s="422" t="s">
        <v>1095</v>
      </c>
      <c r="I196" s="423">
        <f>SupplychainTier2[[#This Row],[Spend for which Tier 2 method accounts]]</f>
        <v>0</v>
      </c>
      <c r="J196" s="423" t="s">
        <v>1095</v>
      </c>
      <c r="K196" s="423" t="str">
        <f>IFERROR(SupplychainTier2[[#This Row],[Calculated emissions (kgCO2e) for this spend]]/SupplychainTier2[[#This Row],[Spend for which Tier 2 method accounts]],"")</f>
        <v/>
      </c>
      <c r="L196" s="442"/>
      <c r="M196" s="201"/>
      <c r="N196" s="201"/>
      <c r="O196" s="255">
        <v>0</v>
      </c>
      <c r="P196" s="255">
        <v>0</v>
      </c>
      <c r="Q196" s="255">
        <f>SupplychainTier2[[#This Row],[Calculated emissions (kgCO2e) for this spend]]</f>
        <v>0</v>
      </c>
      <c r="R196" s="255">
        <v>0</v>
      </c>
      <c r="S196" s="255">
        <v>0</v>
      </c>
      <c r="T196" s="387" t="str">
        <f>IF(SupplychainTier2[[#This Row],[Calculated emissions (kgCO2e) for this spend]]="","",(SupplychainTier2[[#This Row],[Calculated emissions (kgCO2e) for this spend]]*(1+SupplychainTier2[[#This Row],[RSD]])))</f>
        <v/>
      </c>
      <c r="U196" s="387" t="str">
        <f>IF(SupplychainTier2[[#This Row],[Calculated emissions (kgCO2e) for this spend]]="","",(SupplychainTier2[[#This Row],[Calculated emissions (kgCO2e) for this spend]]*(1-SupplychainTier2[[#This Row],[RSD]])))</f>
        <v/>
      </c>
      <c r="V196" s="255">
        <v>0</v>
      </c>
    </row>
    <row r="197" spans="2:22" ht="15" thickBot="1" x14ac:dyDescent="0.4">
      <c r="B197" s="173" t="str">
        <f t="shared" si="9"/>
        <v/>
      </c>
      <c r="C197" s="285" t="str">
        <f t="shared" si="10"/>
        <v/>
      </c>
      <c r="D197" s="211"/>
      <c r="E197" s="420" t="s">
        <v>163</v>
      </c>
      <c r="F197" s="209"/>
      <c r="G197" s="148"/>
      <c r="H197" s="422" t="s">
        <v>1095</v>
      </c>
      <c r="I197" s="423">
        <f>SupplychainTier2[[#This Row],[Spend for which Tier 2 method accounts]]</f>
        <v>0</v>
      </c>
      <c r="J197" s="423" t="s">
        <v>1095</v>
      </c>
      <c r="K197" s="423" t="str">
        <f>IFERROR(SupplychainTier2[[#This Row],[Calculated emissions (kgCO2e) for this spend]]/SupplychainTier2[[#This Row],[Spend for which Tier 2 method accounts]],"")</f>
        <v/>
      </c>
      <c r="L197" s="442"/>
      <c r="M197" s="201"/>
      <c r="N197" s="201"/>
      <c r="O197" s="255">
        <v>0</v>
      </c>
      <c r="P197" s="255">
        <v>0</v>
      </c>
      <c r="Q197" s="255">
        <f>SupplychainTier2[[#This Row],[Calculated emissions (kgCO2e) for this spend]]</f>
        <v>0</v>
      </c>
      <c r="R197" s="255">
        <v>0</v>
      </c>
      <c r="S197" s="255">
        <v>0</v>
      </c>
      <c r="T197" s="387" t="str">
        <f>IF(SupplychainTier2[[#This Row],[Calculated emissions (kgCO2e) for this spend]]="","",(SupplychainTier2[[#This Row],[Calculated emissions (kgCO2e) for this spend]]*(1+SupplychainTier2[[#This Row],[RSD]])))</f>
        <v/>
      </c>
      <c r="U197" s="387" t="str">
        <f>IF(SupplychainTier2[[#This Row],[Calculated emissions (kgCO2e) for this spend]]="","",(SupplychainTier2[[#This Row],[Calculated emissions (kgCO2e) for this spend]]*(1-SupplychainTier2[[#This Row],[RSD]])))</f>
        <v/>
      </c>
      <c r="V197" s="255">
        <v>0</v>
      </c>
    </row>
    <row r="198" spans="2:22" ht="15" thickBot="1" x14ac:dyDescent="0.4">
      <c r="B198" s="173" t="str">
        <f t="shared" si="9"/>
        <v/>
      </c>
      <c r="C198" s="285" t="str">
        <f t="shared" si="10"/>
        <v/>
      </c>
      <c r="D198" s="211"/>
      <c r="E198" s="420" t="s">
        <v>163</v>
      </c>
      <c r="F198" s="209"/>
      <c r="G198" s="148"/>
      <c r="H198" s="422" t="s">
        <v>1095</v>
      </c>
      <c r="I198" s="423">
        <f>SupplychainTier2[[#This Row],[Spend for which Tier 2 method accounts]]</f>
        <v>0</v>
      </c>
      <c r="J198" s="423" t="s">
        <v>1095</v>
      </c>
      <c r="K198" s="423" t="str">
        <f>IFERROR(SupplychainTier2[[#This Row],[Calculated emissions (kgCO2e) for this spend]]/SupplychainTier2[[#This Row],[Spend for which Tier 2 method accounts]],"")</f>
        <v/>
      </c>
      <c r="L198" s="442"/>
      <c r="M198" s="201"/>
      <c r="N198" s="201"/>
      <c r="O198" s="255">
        <v>0</v>
      </c>
      <c r="P198" s="255">
        <v>0</v>
      </c>
      <c r="Q198" s="255">
        <f>SupplychainTier2[[#This Row],[Calculated emissions (kgCO2e) for this spend]]</f>
        <v>0</v>
      </c>
      <c r="R198" s="255">
        <v>0</v>
      </c>
      <c r="S198" s="255">
        <v>0</v>
      </c>
      <c r="T198" s="387" t="str">
        <f>IF(SupplychainTier2[[#This Row],[Calculated emissions (kgCO2e) for this spend]]="","",(SupplychainTier2[[#This Row],[Calculated emissions (kgCO2e) for this spend]]*(1+SupplychainTier2[[#This Row],[RSD]])))</f>
        <v/>
      </c>
      <c r="U198" s="387" t="str">
        <f>IF(SupplychainTier2[[#This Row],[Calculated emissions (kgCO2e) for this spend]]="","",(SupplychainTier2[[#This Row],[Calculated emissions (kgCO2e) for this spend]]*(1-SupplychainTier2[[#This Row],[RSD]])))</f>
        <v/>
      </c>
      <c r="V198" s="255">
        <v>0</v>
      </c>
    </row>
    <row r="199" spans="2:22" ht="15" thickBot="1" x14ac:dyDescent="0.4">
      <c r="B199" s="173" t="str">
        <f t="shared" si="9"/>
        <v/>
      </c>
      <c r="C199" s="285" t="str">
        <f t="shared" si="10"/>
        <v/>
      </c>
      <c r="D199" s="211"/>
      <c r="E199" s="420" t="s">
        <v>163</v>
      </c>
      <c r="F199" s="209"/>
      <c r="G199" s="148"/>
      <c r="H199" s="422" t="s">
        <v>1095</v>
      </c>
      <c r="I199" s="423">
        <f>SupplychainTier2[[#This Row],[Spend for which Tier 2 method accounts]]</f>
        <v>0</v>
      </c>
      <c r="J199" s="423" t="s">
        <v>1095</v>
      </c>
      <c r="K199" s="423" t="str">
        <f>IFERROR(SupplychainTier2[[#This Row],[Calculated emissions (kgCO2e) for this spend]]/SupplychainTier2[[#This Row],[Spend for which Tier 2 method accounts]],"")</f>
        <v/>
      </c>
      <c r="L199" s="442"/>
      <c r="M199" s="201"/>
      <c r="N199" s="201"/>
      <c r="O199" s="255">
        <v>0</v>
      </c>
      <c r="P199" s="255">
        <v>0</v>
      </c>
      <c r="Q199" s="255">
        <f>SupplychainTier2[[#This Row],[Calculated emissions (kgCO2e) for this spend]]</f>
        <v>0</v>
      </c>
      <c r="R199" s="255">
        <v>0</v>
      </c>
      <c r="S199" s="255">
        <v>0</v>
      </c>
      <c r="T199" s="387" t="str">
        <f>IF(SupplychainTier2[[#This Row],[Calculated emissions (kgCO2e) for this spend]]="","",(SupplychainTier2[[#This Row],[Calculated emissions (kgCO2e) for this spend]]*(1+SupplychainTier2[[#This Row],[RSD]])))</f>
        <v/>
      </c>
      <c r="U199" s="387" t="str">
        <f>IF(SupplychainTier2[[#This Row],[Calculated emissions (kgCO2e) for this spend]]="","",(SupplychainTier2[[#This Row],[Calculated emissions (kgCO2e) for this spend]]*(1-SupplychainTier2[[#This Row],[RSD]])))</f>
        <v/>
      </c>
      <c r="V199" s="255">
        <v>0</v>
      </c>
    </row>
    <row r="200" spans="2:22" ht="15" thickBot="1" x14ac:dyDescent="0.4">
      <c r="B200" s="173" t="str">
        <f t="shared" si="9"/>
        <v/>
      </c>
      <c r="C200" s="285" t="str">
        <f t="shared" si="10"/>
        <v/>
      </c>
      <c r="D200" s="211"/>
      <c r="E200" s="420" t="s">
        <v>163</v>
      </c>
      <c r="F200" s="209"/>
      <c r="G200" s="148"/>
      <c r="H200" s="422" t="s">
        <v>1095</v>
      </c>
      <c r="I200" s="423">
        <f>SupplychainTier2[[#This Row],[Spend for which Tier 2 method accounts]]</f>
        <v>0</v>
      </c>
      <c r="J200" s="423" t="s">
        <v>1095</v>
      </c>
      <c r="K200" s="423" t="str">
        <f>IFERROR(SupplychainTier2[[#This Row],[Calculated emissions (kgCO2e) for this spend]]/SupplychainTier2[[#This Row],[Spend for which Tier 2 method accounts]],"")</f>
        <v/>
      </c>
      <c r="L200" s="442"/>
      <c r="M200" s="201"/>
      <c r="N200" s="201"/>
      <c r="O200" s="255">
        <v>0</v>
      </c>
      <c r="P200" s="255">
        <v>0</v>
      </c>
      <c r="Q200" s="255">
        <f>SupplychainTier2[[#This Row],[Calculated emissions (kgCO2e) for this spend]]</f>
        <v>0</v>
      </c>
      <c r="R200" s="255">
        <v>0</v>
      </c>
      <c r="S200" s="255">
        <v>0</v>
      </c>
      <c r="T200" s="387" t="str">
        <f>IF(SupplychainTier2[[#This Row],[Calculated emissions (kgCO2e) for this spend]]="","",(SupplychainTier2[[#This Row],[Calculated emissions (kgCO2e) for this spend]]*(1+SupplychainTier2[[#This Row],[RSD]])))</f>
        <v/>
      </c>
      <c r="U200" s="387" t="str">
        <f>IF(SupplychainTier2[[#This Row],[Calculated emissions (kgCO2e) for this spend]]="","",(SupplychainTier2[[#This Row],[Calculated emissions (kgCO2e) for this spend]]*(1-SupplychainTier2[[#This Row],[RSD]])))</f>
        <v/>
      </c>
      <c r="V200" s="255">
        <v>0</v>
      </c>
    </row>
    <row r="201" spans="2:22" ht="15" thickBot="1" x14ac:dyDescent="0.4">
      <c r="B201" s="173" t="str">
        <f t="shared" si="9"/>
        <v/>
      </c>
      <c r="C201" s="285" t="str">
        <f t="shared" si="10"/>
        <v/>
      </c>
      <c r="D201" s="211"/>
      <c r="E201" s="420" t="s">
        <v>163</v>
      </c>
      <c r="F201" s="209"/>
      <c r="G201" s="148"/>
      <c r="H201" s="422" t="s">
        <v>1095</v>
      </c>
      <c r="I201" s="423">
        <f>SupplychainTier2[[#This Row],[Spend for which Tier 2 method accounts]]</f>
        <v>0</v>
      </c>
      <c r="J201" s="423" t="s">
        <v>1095</v>
      </c>
      <c r="K201" s="423" t="str">
        <f>IFERROR(SupplychainTier2[[#This Row],[Calculated emissions (kgCO2e) for this spend]]/SupplychainTier2[[#This Row],[Spend for which Tier 2 method accounts]],"")</f>
        <v/>
      </c>
      <c r="L201" s="442"/>
      <c r="M201" s="201"/>
      <c r="N201" s="201"/>
      <c r="O201" s="255">
        <v>0</v>
      </c>
      <c r="P201" s="255">
        <v>0</v>
      </c>
      <c r="Q201" s="255">
        <f>SupplychainTier2[[#This Row],[Calculated emissions (kgCO2e) for this spend]]</f>
        <v>0</v>
      </c>
      <c r="R201" s="255">
        <v>0</v>
      </c>
      <c r="S201" s="255">
        <v>0</v>
      </c>
      <c r="T201" s="387" t="str">
        <f>IF(SupplychainTier2[[#This Row],[Calculated emissions (kgCO2e) for this spend]]="","",(SupplychainTier2[[#This Row],[Calculated emissions (kgCO2e) for this spend]]*(1+SupplychainTier2[[#This Row],[RSD]])))</f>
        <v/>
      </c>
      <c r="U201" s="387" t="str">
        <f>IF(SupplychainTier2[[#This Row],[Calculated emissions (kgCO2e) for this spend]]="","",(SupplychainTier2[[#This Row],[Calculated emissions (kgCO2e) for this spend]]*(1-SupplychainTier2[[#This Row],[RSD]])))</f>
        <v/>
      </c>
      <c r="V201" s="255">
        <v>0</v>
      </c>
    </row>
    <row r="202" spans="2:22" ht="15" thickBot="1" x14ac:dyDescent="0.4">
      <c r="B202" s="173" t="str">
        <f t="shared" si="9"/>
        <v/>
      </c>
      <c r="C202" s="285" t="str">
        <f t="shared" si="10"/>
        <v/>
      </c>
      <c r="D202" s="211"/>
      <c r="E202" s="420" t="s">
        <v>163</v>
      </c>
      <c r="F202" s="209"/>
      <c r="G202" s="148"/>
      <c r="H202" s="422" t="s">
        <v>1095</v>
      </c>
      <c r="I202" s="423">
        <f>SupplychainTier2[[#This Row],[Spend for which Tier 2 method accounts]]</f>
        <v>0</v>
      </c>
      <c r="J202" s="423" t="s">
        <v>1095</v>
      </c>
      <c r="K202" s="423" t="str">
        <f>IFERROR(SupplychainTier2[[#This Row],[Calculated emissions (kgCO2e) for this spend]]/SupplychainTier2[[#This Row],[Spend for which Tier 2 method accounts]],"")</f>
        <v/>
      </c>
      <c r="L202" s="442"/>
      <c r="M202" s="201"/>
      <c r="N202" s="201"/>
      <c r="O202" s="255">
        <v>0</v>
      </c>
      <c r="P202" s="255">
        <v>0</v>
      </c>
      <c r="Q202" s="255">
        <f>SupplychainTier2[[#This Row],[Calculated emissions (kgCO2e) for this spend]]</f>
        <v>0</v>
      </c>
      <c r="R202" s="255">
        <v>0</v>
      </c>
      <c r="S202" s="255">
        <v>0</v>
      </c>
      <c r="T202" s="387" t="str">
        <f>IF(SupplychainTier2[[#This Row],[Calculated emissions (kgCO2e) for this spend]]="","",(SupplychainTier2[[#This Row],[Calculated emissions (kgCO2e) for this spend]]*(1+SupplychainTier2[[#This Row],[RSD]])))</f>
        <v/>
      </c>
      <c r="U202" s="387" t="str">
        <f>IF(SupplychainTier2[[#This Row],[Calculated emissions (kgCO2e) for this spend]]="","",(SupplychainTier2[[#This Row],[Calculated emissions (kgCO2e) for this spend]]*(1-SupplychainTier2[[#This Row],[RSD]])))</f>
        <v/>
      </c>
      <c r="V202" s="255">
        <v>0</v>
      </c>
    </row>
    <row r="203" spans="2:22" ht="15" thickBot="1" x14ac:dyDescent="0.4">
      <c r="B203" s="173" t="str">
        <f t="shared" si="9"/>
        <v/>
      </c>
      <c r="C203" s="285" t="str">
        <f t="shared" si="10"/>
        <v/>
      </c>
      <c r="D203" s="211"/>
      <c r="E203" s="420" t="s">
        <v>163</v>
      </c>
      <c r="F203" s="209"/>
      <c r="G203" s="148"/>
      <c r="H203" s="422" t="s">
        <v>1095</v>
      </c>
      <c r="I203" s="423">
        <f>SupplychainTier2[[#This Row],[Spend for which Tier 2 method accounts]]</f>
        <v>0</v>
      </c>
      <c r="J203" s="423" t="s">
        <v>1095</v>
      </c>
      <c r="K203" s="423" t="str">
        <f>IFERROR(SupplychainTier2[[#This Row],[Calculated emissions (kgCO2e) for this spend]]/SupplychainTier2[[#This Row],[Spend for which Tier 2 method accounts]],"")</f>
        <v/>
      </c>
      <c r="L203" s="442"/>
      <c r="M203" s="201"/>
      <c r="N203" s="201"/>
      <c r="O203" s="255">
        <v>0</v>
      </c>
      <c r="P203" s="255">
        <v>0</v>
      </c>
      <c r="Q203" s="255">
        <f>SupplychainTier2[[#This Row],[Calculated emissions (kgCO2e) for this spend]]</f>
        <v>0</v>
      </c>
      <c r="R203" s="255">
        <v>0</v>
      </c>
      <c r="S203" s="255">
        <v>0</v>
      </c>
      <c r="T203" s="387" t="str">
        <f>IF(SupplychainTier2[[#This Row],[Calculated emissions (kgCO2e) for this spend]]="","",(SupplychainTier2[[#This Row],[Calculated emissions (kgCO2e) for this spend]]*(1+SupplychainTier2[[#This Row],[RSD]])))</f>
        <v/>
      </c>
      <c r="U203" s="387" t="str">
        <f>IF(SupplychainTier2[[#This Row],[Calculated emissions (kgCO2e) for this spend]]="","",(SupplychainTier2[[#This Row],[Calculated emissions (kgCO2e) for this spend]]*(1-SupplychainTier2[[#This Row],[RSD]])))</f>
        <v/>
      </c>
      <c r="V203" s="255">
        <v>0</v>
      </c>
    </row>
    <row r="204" spans="2:22" ht="15" thickBot="1" x14ac:dyDescent="0.4">
      <c r="B204" s="173" t="str">
        <f t="shared" si="9"/>
        <v/>
      </c>
      <c r="C204" s="285" t="str">
        <f t="shared" si="10"/>
        <v/>
      </c>
      <c r="D204" s="211"/>
      <c r="E204" s="420" t="s">
        <v>163</v>
      </c>
      <c r="F204" s="209"/>
      <c r="G204" s="148"/>
      <c r="H204" s="422" t="s">
        <v>1095</v>
      </c>
      <c r="I204" s="423">
        <f>SupplychainTier2[[#This Row],[Spend for which Tier 2 method accounts]]</f>
        <v>0</v>
      </c>
      <c r="J204" s="423" t="s">
        <v>1095</v>
      </c>
      <c r="K204" s="423" t="str">
        <f>IFERROR(SupplychainTier2[[#This Row],[Calculated emissions (kgCO2e) for this spend]]/SupplychainTier2[[#This Row],[Spend for which Tier 2 method accounts]],"")</f>
        <v/>
      </c>
      <c r="L204" s="442"/>
      <c r="M204" s="201"/>
      <c r="N204" s="201"/>
      <c r="O204" s="255">
        <v>0</v>
      </c>
      <c r="P204" s="255">
        <v>0</v>
      </c>
      <c r="Q204" s="255">
        <f>SupplychainTier2[[#This Row],[Calculated emissions (kgCO2e) for this spend]]</f>
        <v>0</v>
      </c>
      <c r="R204" s="255">
        <v>0</v>
      </c>
      <c r="S204" s="255">
        <v>0</v>
      </c>
      <c r="T204" s="387" t="str">
        <f>IF(SupplychainTier2[[#This Row],[Calculated emissions (kgCO2e) for this spend]]="","",(SupplychainTier2[[#This Row],[Calculated emissions (kgCO2e) for this spend]]*(1+SupplychainTier2[[#This Row],[RSD]])))</f>
        <v/>
      </c>
      <c r="U204" s="387" t="str">
        <f>IF(SupplychainTier2[[#This Row],[Calculated emissions (kgCO2e) for this spend]]="","",(SupplychainTier2[[#This Row],[Calculated emissions (kgCO2e) for this spend]]*(1-SupplychainTier2[[#This Row],[RSD]])))</f>
        <v/>
      </c>
      <c r="V204" s="255">
        <v>0</v>
      </c>
    </row>
    <row r="205" spans="2:22" ht="15" thickBot="1" x14ac:dyDescent="0.4">
      <c r="B205" s="173" t="str">
        <f t="shared" si="9"/>
        <v/>
      </c>
      <c r="C205" s="285" t="str">
        <f t="shared" si="10"/>
        <v/>
      </c>
      <c r="D205" s="211"/>
      <c r="E205" s="420" t="s">
        <v>163</v>
      </c>
      <c r="F205" s="209"/>
      <c r="G205" s="148"/>
      <c r="H205" s="422" t="s">
        <v>1095</v>
      </c>
      <c r="I205" s="423">
        <f>SupplychainTier2[[#This Row],[Spend for which Tier 2 method accounts]]</f>
        <v>0</v>
      </c>
      <c r="J205" s="423" t="s">
        <v>1095</v>
      </c>
      <c r="K205" s="423" t="str">
        <f>IFERROR(SupplychainTier2[[#This Row],[Calculated emissions (kgCO2e) for this spend]]/SupplychainTier2[[#This Row],[Spend for which Tier 2 method accounts]],"")</f>
        <v/>
      </c>
      <c r="L205" s="442"/>
      <c r="M205" s="201"/>
      <c r="N205" s="201"/>
      <c r="O205" s="255">
        <v>0</v>
      </c>
      <c r="P205" s="255">
        <v>0</v>
      </c>
      <c r="Q205" s="255">
        <f>SupplychainTier2[[#This Row],[Calculated emissions (kgCO2e) for this spend]]</f>
        <v>0</v>
      </c>
      <c r="R205" s="255">
        <v>0</v>
      </c>
      <c r="S205" s="255">
        <v>0</v>
      </c>
      <c r="T205" s="387" t="str">
        <f>IF(SupplychainTier2[[#This Row],[Calculated emissions (kgCO2e) for this spend]]="","",(SupplychainTier2[[#This Row],[Calculated emissions (kgCO2e) for this spend]]*(1+SupplychainTier2[[#This Row],[RSD]])))</f>
        <v/>
      </c>
      <c r="U205" s="387" t="str">
        <f>IF(SupplychainTier2[[#This Row],[Calculated emissions (kgCO2e) for this spend]]="","",(SupplychainTier2[[#This Row],[Calculated emissions (kgCO2e) for this spend]]*(1-SupplychainTier2[[#This Row],[RSD]])))</f>
        <v/>
      </c>
      <c r="V205" s="255">
        <v>0</v>
      </c>
    </row>
    <row r="206" spans="2:22" ht="15" thickBot="1" x14ac:dyDescent="0.4">
      <c r="B206" s="173" t="str">
        <f t="shared" si="9"/>
        <v/>
      </c>
      <c r="C206" s="285" t="str">
        <f t="shared" si="10"/>
        <v/>
      </c>
      <c r="D206" s="211"/>
      <c r="E206" s="420" t="s">
        <v>163</v>
      </c>
      <c r="F206" s="209"/>
      <c r="G206" s="148"/>
      <c r="H206" s="422" t="s">
        <v>1095</v>
      </c>
      <c r="I206" s="423">
        <f>SupplychainTier2[[#This Row],[Spend for which Tier 2 method accounts]]</f>
        <v>0</v>
      </c>
      <c r="J206" s="423" t="s">
        <v>1095</v>
      </c>
      <c r="K206" s="423" t="str">
        <f>IFERROR(SupplychainTier2[[#This Row],[Calculated emissions (kgCO2e) for this spend]]/SupplychainTier2[[#This Row],[Spend for which Tier 2 method accounts]],"")</f>
        <v/>
      </c>
      <c r="L206" s="442"/>
      <c r="M206" s="201"/>
      <c r="N206" s="201"/>
      <c r="O206" s="255">
        <v>0</v>
      </c>
      <c r="P206" s="255">
        <v>0</v>
      </c>
      <c r="Q206" s="255">
        <f>SupplychainTier2[[#This Row],[Calculated emissions (kgCO2e) for this spend]]</f>
        <v>0</v>
      </c>
      <c r="R206" s="255">
        <v>0</v>
      </c>
      <c r="S206" s="255">
        <v>0</v>
      </c>
      <c r="T206" s="387" t="str">
        <f>IF(SupplychainTier2[[#This Row],[Calculated emissions (kgCO2e) for this spend]]="","",(SupplychainTier2[[#This Row],[Calculated emissions (kgCO2e) for this spend]]*(1+SupplychainTier2[[#This Row],[RSD]])))</f>
        <v/>
      </c>
      <c r="U206" s="387" t="str">
        <f>IF(SupplychainTier2[[#This Row],[Calculated emissions (kgCO2e) for this spend]]="","",(SupplychainTier2[[#This Row],[Calculated emissions (kgCO2e) for this spend]]*(1-SupplychainTier2[[#This Row],[RSD]])))</f>
        <v/>
      </c>
      <c r="V206" s="255">
        <v>0</v>
      </c>
    </row>
    <row r="207" spans="2:22" ht="15" thickBot="1" x14ac:dyDescent="0.4">
      <c r="B207" s="173" t="str">
        <f t="shared" si="9"/>
        <v/>
      </c>
      <c r="C207" s="285" t="str">
        <f t="shared" si="10"/>
        <v/>
      </c>
      <c r="D207" s="211"/>
      <c r="E207" s="420" t="s">
        <v>163</v>
      </c>
      <c r="F207" s="209"/>
      <c r="G207" s="148"/>
      <c r="H207" s="422" t="s">
        <v>1095</v>
      </c>
      <c r="I207" s="423">
        <f>SupplychainTier2[[#This Row],[Spend for which Tier 2 method accounts]]</f>
        <v>0</v>
      </c>
      <c r="J207" s="423" t="s">
        <v>1095</v>
      </c>
      <c r="K207" s="423" t="str">
        <f>IFERROR(SupplychainTier2[[#This Row],[Calculated emissions (kgCO2e) for this spend]]/SupplychainTier2[[#This Row],[Spend for which Tier 2 method accounts]],"")</f>
        <v/>
      </c>
      <c r="L207" s="442"/>
      <c r="M207" s="201"/>
      <c r="N207" s="201"/>
      <c r="O207" s="255">
        <v>0</v>
      </c>
      <c r="P207" s="255">
        <v>0</v>
      </c>
      <c r="Q207" s="255">
        <f>SupplychainTier2[[#This Row],[Calculated emissions (kgCO2e) for this spend]]</f>
        <v>0</v>
      </c>
      <c r="R207" s="255">
        <v>0</v>
      </c>
      <c r="S207" s="255">
        <v>0</v>
      </c>
      <c r="T207" s="387" t="str">
        <f>IF(SupplychainTier2[[#This Row],[Calculated emissions (kgCO2e) for this spend]]="","",(SupplychainTier2[[#This Row],[Calculated emissions (kgCO2e) for this spend]]*(1+SupplychainTier2[[#This Row],[RSD]])))</f>
        <v/>
      </c>
      <c r="U207" s="387" t="str">
        <f>IF(SupplychainTier2[[#This Row],[Calculated emissions (kgCO2e) for this spend]]="","",(SupplychainTier2[[#This Row],[Calculated emissions (kgCO2e) for this spend]]*(1-SupplychainTier2[[#This Row],[RSD]])))</f>
        <v/>
      </c>
      <c r="V207" s="255">
        <v>0</v>
      </c>
    </row>
    <row r="208" spans="2:22" ht="15" thickBot="1" x14ac:dyDescent="0.4">
      <c r="B208" s="173" t="str">
        <f t="shared" si="9"/>
        <v/>
      </c>
      <c r="C208" s="285" t="str">
        <f t="shared" si="10"/>
        <v/>
      </c>
      <c r="D208" s="211"/>
      <c r="E208" s="420" t="s">
        <v>163</v>
      </c>
      <c r="F208" s="209"/>
      <c r="G208" s="148"/>
      <c r="H208" s="422" t="s">
        <v>1095</v>
      </c>
      <c r="I208" s="423">
        <f>SupplychainTier2[[#This Row],[Spend for which Tier 2 method accounts]]</f>
        <v>0</v>
      </c>
      <c r="J208" s="423" t="s">
        <v>1095</v>
      </c>
      <c r="K208" s="423" t="str">
        <f>IFERROR(SupplychainTier2[[#This Row],[Calculated emissions (kgCO2e) for this spend]]/SupplychainTier2[[#This Row],[Spend for which Tier 2 method accounts]],"")</f>
        <v/>
      </c>
      <c r="L208" s="442"/>
      <c r="M208" s="201"/>
      <c r="N208" s="201"/>
      <c r="O208" s="255">
        <v>0</v>
      </c>
      <c r="P208" s="255">
        <v>0</v>
      </c>
      <c r="Q208" s="255">
        <f>SupplychainTier2[[#This Row],[Calculated emissions (kgCO2e) for this spend]]</f>
        <v>0</v>
      </c>
      <c r="R208" s="255">
        <v>0</v>
      </c>
      <c r="S208" s="255">
        <v>0</v>
      </c>
      <c r="T208" s="387" t="str">
        <f>IF(SupplychainTier2[[#This Row],[Calculated emissions (kgCO2e) for this spend]]="","",(SupplychainTier2[[#This Row],[Calculated emissions (kgCO2e) for this spend]]*(1+SupplychainTier2[[#This Row],[RSD]])))</f>
        <v/>
      </c>
      <c r="U208" s="387" t="str">
        <f>IF(SupplychainTier2[[#This Row],[Calculated emissions (kgCO2e) for this spend]]="","",(SupplychainTier2[[#This Row],[Calculated emissions (kgCO2e) for this spend]]*(1-SupplychainTier2[[#This Row],[RSD]])))</f>
        <v/>
      </c>
      <c r="V208" s="255">
        <v>0</v>
      </c>
    </row>
    <row r="209" spans="2:22" ht="15" thickBot="1" x14ac:dyDescent="0.4">
      <c r="B209" s="173" t="str">
        <f t="shared" si="9"/>
        <v/>
      </c>
      <c r="C209" s="285" t="str">
        <f t="shared" si="10"/>
        <v/>
      </c>
      <c r="D209" s="211"/>
      <c r="E209" s="420" t="s">
        <v>163</v>
      </c>
      <c r="F209" s="209"/>
      <c r="G209" s="148"/>
      <c r="H209" s="422" t="s">
        <v>1095</v>
      </c>
      <c r="I209" s="423">
        <f>SupplychainTier2[[#This Row],[Spend for which Tier 2 method accounts]]</f>
        <v>0</v>
      </c>
      <c r="J209" s="423" t="s">
        <v>1095</v>
      </c>
      <c r="K209" s="423" t="str">
        <f>IFERROR(SupplychainTier2[[#This Row],[Calculated emissions (kgCO2e) for this spend]]/SupplychainTier2[[#This Row],[Spend for which Tier 2 method accounts]],"")</f>
        <v/>
      </c>
      <c r="L209" s="442"/>
      <c r="M209" s="201"/>
      <c r="N209" s="201"/>
      <c r="O209" s="255">
        <v>0</v>
      </c>
      <c r="P209" s="255">
        <v>0</v>
      </c>
      <c r="Q209" s="255">
        <f>SupplychainTier2[[#This Row],[Calculated emissions (kgCO2e) for this spend]]</f>
        <v>0</v>
      </c>
      <c r="R209" s="255">
        <v>0</v>
      </c>
      <c r="S209" s="255">
        <v>0</v>
      </c>
      <c r="T209" s="387" t="str">
        <f>IF(SupplychainTier2[[#This Row],[Calculated emissions (kgCO2e) for this spend]]="","",(SupplychainTier2[[#This Row],[Calculated emissions (kgCO2e) for this spend]]*(1+SupplychainTier2[[#This Row],[RSD]])))</f>
        <v/>
      </c>
      <c r="U209" s="387" t="str">
        <f>IF(SupplychainTier2[[#This Row],[Calculated emissions (kgCO2e) for this spend]]="","",(SupplychainTier2[[#This Row],[Calculated emissions (kgCO2e) for this spend]]*(1-SupplychainTier2[[#This Row],[RSD]])))</f>
        <v/>
      </c>
      <c r="V209" s="255">
        <v>0</v>
      </c>
    </row>
    <row r="210" spans="2:22" ht="15" thickBot="1" x14ac:dyDescent="0.4">
      <c r="B210" s="173" t="str">
        <f t="shared" si="9"/>
        <v/>
      </c>
      <c r="C210" s="285" t="str">
        <f t="shared" si="10"/>
        <v/>
      </c>
      <c r="D210" s="211"/>
      <c r="E210" s="420" t="s">
        <v>163</v>
      </c>
      <c r="F210" s="209"/>
      <c r="G210" s="148"/>
      <c r="H210" s="422" t="s">
        <v>1095</v>
      </c>
      <c r="I210" s="423">
        <f>SupplychainTier2[[#This Row],[Spend for which Tier 2 method accounts]]</f>
        <v>0</v>
      </c>
      <c r="J210" s="423" t="s">
        <v>1095</v>
      </c>
      <c r="K210" s="423" t="str">
        <f>IFERROR(SupplychainTier2[[#This Row],[Calculated emissions (kgCO2e) for this spend]]/SupplychainTier2[[#This Row],[Spend for which Tier 2 method accounts]],"")</f>
        <v/>
      </c>
      <c r="L210" s="442"/>
      <c r="M210" s="201"/>
      <c r="N210" s="201"/>
      <c r="O210" s="255">
        <v>0</v>
      </c>
      <c r="P210" s="255">
        <v>0</v>
      </c>
      <c r="Q210" s="255">
        <f>SupplychainTier2[[#This Row],[Calculated emissions (kgCO2e) for this spend]]</f>
        <v>0</v>
      </c>
      <c r="R210" s="255">
        <v>0</v>
      </c>
      <c r="S210" s="255">
        <v>0</v>
      </c>
      <c r="T210" s="387" t="str">
        <f>IF(SupplychainTier2[[#This Row],[Calculated emissions (kgCO2e) for this spend]]="","",(SupplychainTier2[[#This Row],[Calculated emissions (kgCO2e) for this spend]]*(1+SupplychainTier2[[#This Row],[RSD]])))</f>
        <v/>
      </c>
      <c r="U210" s="387" t="str">
        <f>IF(SupplychainTier2[[#This Row],[Calculated emissions (kgCO2e) for this spend]]="","",(SupplychainTier2[[#This Row],[Calculated emissions (kgCO2e) for this spend]]*(1-SupplychainTier2[[#This Row],[RSD]])))</f>
        <v/>
      </c>
      <c r="V210" s="255">
        <v>0</v>
      </c>
    </row>
    <row r="211" spans="2:22" ht="15" thickBot="1" x14ac:dyDescent="0.4">
      <c r="B211" s="173" t="str">
        <f t="shared" si="9"/>
        <v/>
      </c>
      <c r="C211" s="285" t="str">
        <f t="shared" si="10"/>
        <v/>
      </c>
      <c r="D211" s="211"/>
      <c r="E211" s="420" t="s">
        <v>163</v>
      </c>
      <c r="F211" s="209"/>
      <c r="G211" s="148"/>
      <c r="H211" s="422" t="s">
        <v>1095</v>
      </c>
      <c r="I211" s="423">
        <f>SupplychainTier2[[#This Row],[Spend for which Tier 2 method accounts]]</f>
        <v>0</v>
      </c>
      <c r="J211" s="423" t="s">
        <v>1095</v>
      </c>
      <c r="K211" s="423" t="str">
        <f>IFERROR(SupplychainTier2[[#This Row],[Calculated emissions (kgCO2e) for this spend]]/SupplychainTier2[[#This Row],[Spend for which Tier 2 method accounts]],"")</f>
        <v/>
      </c>
      <c r="L211" s="442"/>
      <c r="M211" s="201"/>
      <c r="N211" s="201"/>
      <c r="O211" s="255">
        <v>0</v>
      </c>
      <c r="P211" s="255">
        <v>0</v>
      </c>
      <c r="Q211" s="255">
        <f>SupplychainTier2[[#This Row],[Calculated emissions (kgCO2e) for this spend]]</f>
        <v>0</v>
      </c>
      <c r="R211" s="255">
        <v>0</v>
      </c>
      <c r="S211" s="255">
        <v>0</v>
      </c>
      <c r="T211" s="387" t="str">
        <f>IF(SupplychainTier2[[#This Row],[Calculated emissions (kgCO2e) for this spend]]="","",(SupplychainTier2[[#This Row],[Calculated emissions (kgCO2e) for this spend]]*(1+SupplychainTier2[[#This Row],[RSD]])))</f>
        <v/>
      </c>
      <c r="U211" s="387" t="str">
        <f>IF(SupplychainTier2[[#This Row],[Calculated emissions (kgCO2e) for this spend]]="","",(SupplychainTier2[[#This Row],[Calculated emissions (kgCO2e) for this spend]]*(1-SupplychainTier2[[#This Row],[RSD]])))</f>
        <v/>
      </c>
      <c r="V211" s="255">
        <v>0</v>
      </c>
    </row>
    <row r="212" spans="2:22" ht="15" thickBot="1" x14ac:dyDescent="0.4">
      <c r="B212" s="173" t="str">
        <f t="shared" si="9"/>
        <v/>
      </c>
      <c r="C212" s="285" t="str">
        <f t="shared" si="10"/>
        <v/>
      </c>
      <c r="D212" s="211"/>
      <c r="E212" s="420" t="s">
        <v>163</v>
      </c>
      <c r="F212" s="209"/>
      <c r="G212" s="148"/>
      <c r="H212" s="422" t="s">
        <v>1095</v>
      </c>
      <c r="I212" s="423">
        <f>SupplychainTier2[[#This Row],[Spend for which Tier 2 method accounts]]</f>
        <v>0</v>
      </c>
      <c r="J212" s="423" t="s">
        <v>1095</v>
      </c>
      <c r="K212" s="423" t="str">
        <f>IFERROR(SupplychainTier2[[#This Row],[Calculated emissions (kgCO2e) for this spend]]/SupplychainTier2[[#This Row],[Spend for which Tier 2 method accounts]],"")</f>
        <v/>
      </c>
      <c r="L212" s="442"/>
      <c r="M212" s="201"/>
      <c r="N212" s="201"/>
      <c r="O212" s="255">
        <v>0</v>
      </c>
      <c r="P212" s="255">
        <v>0</v>
      </c>
      <c r="Q212" s="255">
        <f>SupplychainTier2[[#This Row],[Calculated emissions (kgCO2e) for this spend]]</f>
        <v>0</v>
      </c>
      <c r="R212" s="255">
        <v>0</v>
      </c>
      <c r="S212" s="255">
        <v>0</v>
      </c>
      <c r="T212" s="387" t="str">
        <f>IF(SupplychainTier2[[#This Row],[Calculated emissions (kgCO2e) for this spend]]="","",(SupplychainTier2[[#This Row],[Calculated emissions (kgCO2e) for this spend]]*(1+SupplychainTier2[[#This Row],[RSD]])))</f>
        <v/>
      </c>
      <c r="U212" s="387" t="str">
        <f>IF(SupplychainTier2[[#This Row],[Calculated emissions (kgCO2e) for this spend]]="","",(SupplychainTier2[[#This Row],[Calculated emissions (kgCO2e) for this spend]]*(1-SupplychainTier2[[#This Row],[RSD]])))</f>
        <v/>
      </c>
      <c r="V212" s="255">
        <v>0</v>
      </c>
    </row>
    <row r="213" spans="2:22" ht="15" thickBot="1" x14ac:dyDescent="0.4">
      <c r="B213" s="173" t="str">
        <f t="shared" si="9"/>
        <v/>
      </c>
      <c r="C213" s="285" t="str">
        <f t="shared" si="10"/>
        <v/>
      </c>
      <c r="D213" s="211"/>
      <c r="E213" s="420" t="s">
        <v>163</v>
      </c>
      <c r="F213" s="209"/>
      <c r="G213" s="148"/>
      <c r="H213" s="422" t="s">
        <v>1095</v>
      </c>
      <c r="I213" s="423">
        <f>SupplychainTier2[[#This Row],[Spend for which Tier 2 method accounts]]</f>
        <v>0</v>
      </c>
      <c r="J213" s="423" t="s">
        <v>1095</v>
      </c>
      <c r="K213" s="423" t="str">
        <f>IFERROR(SupplychainTier2[[#This Row],[Calculated emissions (kgCO2e) for this spend]]/SupplychainTier2[[#This Row],[Spend for which Tier 2 method accounts]],"")</f>
        <v/>
      </c>
      <c r="L213" s="442"/>
      <c r="M213" s="201"/>
      <c r="N213" s="201"/>
      <c r="O213" s="255">
        <v>0</v>
      </c>
      <c r="P213" s="255">
        <v>0</v>
      </c>
      <c r="Q213" s="255">
        <f>SupplychainTier2[[#This Row],[Calculated emissions (kgCO2e) for this spend]]</f>
        <v>0</v>
      </c>
      <c r="R213" s="255">
        <v>0</v>
      </c>
      <c r="S213" s="255">
        <v>0</v>
      </c>
      <c r="T213" s="387" t="str">
        <f>IF(SupplychainTier2[[#This Row],[Calculated emissions (kgCO2e) for this spend]]="","",(SupplychainTier2[[#This Row],[Calculated emissions (kgCO2e) for this spend]]*(1+SupplychainTier2[[#This Row],[RSD]])))</f>
        <v/>
      </c>
      <c r="U213" s="387" t="str">
        <f>IF(SupplychainTier2[[#This Row],[Calculated emissions (kgCO2e) for this spend]]="","",(SupplychainTier2[[#This Row],[Calculated emissions (kgCO2e) for this spend]]*(1-SupplychainTier2[[#This Row],[RSD]])))</f>
        <v/>
      </c>
      <c r="V213" s="255">
        <v>0</v>
      </c>
    </row>
    <row r="214" spans="2:22" ht="15" thickBot="1" x14ac:dyDescent="0.4">
      <c r="B214" s="173" t="str">
        <f t="shared" si="9"/>
        <v/>
      </c>
      <c r="C214" s="285" t="str">
        <f t="shared" si="10"/>
        <v/>
      </c>
      <c r="D214" s="211"/>
      <c r="E214" s="420" t="s">
        <v>163</v>
      </c>
      <c r="F214" s="209"/>
      <c r="G214" s="148"/>
      <c r="H214" s="422" t="s">
        <v>1095</v>
      </c>
      <c r="I214" s="423">
        <f>SupplychainTier2[[#This Row],[Spend for which Tier 2 method accounts]]</f>
        <v>0</v>
      </c>
      <c r="J214" s="423" t="s">
        <v>1095</v>
      </c>
      <c r="K214" s="423" t="str">
        <f>IFERROR(SupplychainTier2[[#This Row],[Calculated emissions (kgCO2e) for this spend]]/SupplychainTier2[[#This Row],[Spend for which Tier 2 method accounts]],"")</f>
        <v/>
      </c>
      <c r="L214" s="442"/>
      <c r="M214" s="201"/>
      <c r="N214" s="201"/>
      <c r="O214" s="255">
        <v>0</v>
      </c>
      <c r="P214" s="255">
        <v>0</v>
      </c>
      <c r="Q214" s="255">
        <f>SupplychainTier2[[#This Row],[Calculated emissions (kgCO2e) for this spend]]</f>
        <v>0</v>
      </c>
      <c r="R214" s="255">
        <v>0</v>
      </c>
      <c r="S214" s="255">
        <v>0</v>
      </c>
      <c r="T214" s="387" t="str">
        <f>IF(SupplychainTier2[[#This Row],[Calculated emissions (kgCO2e) for this spend]]="","",(SupplychainTier2[[#This Row],[Calculated emissions (kgCO2e) for this spend]]*(1+SupplychainTier2[[#This Row],[RSD]])))</f>
        <v/>
      </c>
      <c r="U214" s="387" t="str">
        <f>IF(SupplychainTier2[[#This Row],[Calculated emissions (kgCO2e) for this spend]]="","",(SupplychainTier2[[#This Row],[Calculated emissions (kgCO2e) for this spend]]*(1-SupplychainTier2[[#This Row],[RSD]])))</f>
        <v/>
      </c>
      <c r="V214" s="255">
        <v>0</v>
      </c>
    </row>
    <row r="215" spans="2:22" ht="15" thickBot="1" x14ac:dyDescent="0.4">
      <c r="B215" s="173" t="str">
        <f t="shared" si="9"/>
        <v/>
      </c>
      <c r="C215" s="285" t="str">
        <f t="shared" si="10"/>
        <v/>
      </c>
      <c r="D215" s="211"/>
      <c r="E215" s="420" t="s">
        <v>163</v>
      </c>
      <c r="F215" s="209"/>
      <c r="G215" s="148"/>
      <c r="H215" s="422" t="s">
        <v>1095</v>
      </c>
      <c r="I215" s="423">
        <f>SupplychainTier2[[#This Row],[Spend for which Tier 2 method accounts]]</f>
        <v>0</v>
      </c>
      <c r="J215" s="423" t="s">
        <v>1095</v>
      </c>
      <c r="K215" s="423" t="str">
        <f>IFERROR(SupplychainTier2[[#This Row],[Calculated emissions (kgCO2e) for this spend]]/SupplychainTier2[[#This Row],[Spend for which Tier 2 method accounts]],"")</f>
        <v/>
      </c>
      <c r="L215" s="442"/>
      <c r="M215" s="201"/>
      <c r="N215" s="201"/>
      <c r="O215" s="255">
        <v>0</v>
      </c>
      <c r="P215" s="255">
        <v>0</v>
      </c>
      <c r="Q215" s="255">
        <f>SupplychainTier2[[#This Row],[Calculated emissions (kgCO2e) for this spend]]</f>
        <v>0</v>
      </c>
      <c r="R215" s="255">
        <v>0</v>
      </c>
      <c r="S215" s="255">
        <v>0</v>
      </c>
      <c r="T215" s="387" t="str">
        <f>IF(SupplychainTier2[[#This Row],[Calculated emissions (kgCO2e) for this spend]]="","",(SupplychainTier2[[#This Row],[Calculated emissions (kgCO2e) for this spend]]*(1+SupplychainTier2[[#This Row],[RSD]])))</f>
        <v/>
      </c>
      <c r="U215" s="387" t="str">
        <f>IF(SupplychainTier2[[#This Row],[Calculated emissions (kgCO2e) for this spend]]="","",(SupplychainTier2[[#This Row],[Calculated emissions (kgCO2e) for this spend]]*(1-SupplychainTier2[[#This Row],[RSD]])))</f>
        <v/>
      </c>
      <c r="V215" s="255">
        <v>0</v>
      </c>
    </row>
    <row r="216" spans="2:22" ht="15" thickBot="1" x14ac:dyDescent="0.4">
      <c r="B216" s="173" t="str">
        <f t="shared" si="9"/>
        <v/>
      </c>
      <c r="C216" s="285" t="str">
        <f t="shared" si="10"/>
        <v/>
      </c>
      <c r="D216" s="211"/>
      <c r="E216" s="420" t="s">
        <v>163</v>
      </c>
      <c r="F216" s="209"/>
      <c r="G216" s="148"/>
      <c r="H216" s="422" t="s">
        <v>1095</v>
      </c>
      <c r="I216" s="423">
        <f>SupplychainTier2[[#This Row],[Spend for which Tier 2 method accounts]]</f>
        <v>0</v>
      </c>
      <c r="J216" s="423" t="s">
        <v>1095</v>
      </c>
      <c r="K216" s="423" t="str">
        <f>IFERROR(SupplychainTier2[[#This Row],[Calculated emissions (kgCO2e) for this spend]]/SupplychainTier2[[#This Row],[Spend for which Tier 2 method accounts]],"")</f>
        <v/>
      </c>
      <c r="L216" s="442"/>
      <c r="M216" s="201"/>
      <c r="N216" s="201"/>
      <c r="O216" s="255">
        <v>0</v>
      </c>
      <c r="P216" s="255">
        <v>0</v>
      </c>
      <c r="Q216" s="255">
        <f>SupplychainTier2[[#This Row],[Calculated emissions (kgCO2e) for this spend]]</f>
        <v>0</v>
      </c>
      <c r="R216" s="255">
        <v>0</v>
      </c>
      <c r="S216" s="255">
        <v>0</v>
      </c>
      <c r="T216" s="387" t="str">
        <f>IF(SupplychainTier2[[#This Row],[Calculated emissions (kgCO2e) for this spend]]="","",(SupplychainTier2[[#This Row],[Calculated emissions (kgCO2e) for this spend]]*(1+SupplychainTier2[[#This Row],[RSD]])))</f>
        <v/>
      </c>
      <c r="U216" s="387" t="str">
        <f>IF(SupplychainTier2[[#This Row],[Calculated emissions (kgCO2e) for this spend]]="","",(SupplychainTier2[[#This Row],[Calculated emissions (kgCO2e) for this spend]]*(1-SupplychainTier2[[#This Row],[RSD]])))</f>
        <v/>
      </c>
      <c r="V216" s="255">
        <v>0</v>
      </c>
    </row>
    <row r="217" spans="2:22" ht="15" thickBot="1" x14ac:dyDescent="0.4">
      <c r="B217" s="173" t="str">
        <f t="shared" si="9"/>
        <v/>
      </c>
      <c r="C217" s="285" t="str">
        <f t="shared" si="10"/>
        <v/>
      </c>
      <c r="D217" s="211"/>
      <c r="E217" s="420" t="s">
        <v>163</v>
      </c>
      <c r="F217" s="209"/>
      <c r="G217" s="148"/>
      <c r="H217" s="422" t="s">
        <v>1095</v>
      </c>
      <c r="I217" s="423">
        <f>SupplychainTier2[[#This Row],[Spend for which Tier 2 method accounts]]</f>
        <v>0</v>
      </c>
      <c r="J217" s="423" t="s">
        <v>1095</v>
      </c>
      <c r="K217" s="423" t="str">
        <f>IFERROR(SupplychainTier2[[#This Row],[Calculated emissions (kgCO2e) for this spend]]/SupplychainTier2[[#This Row],[Spend for which Tier 2 method accounts]],"")</f>
        <v/>
      </c>
      <c r="L217" s="442"/>
      <c r="M217" s="201"/>
      <c r="N217" s="201"/>
      <c r="O217" s="255">
        <v>0</v>
      </c>
      <c r="P217" s="255">
        <v>0</v>
      </c>
      <c r="Q217" s="255">
        <f>SupplychainTier2[[#This Row],[Calculated emissions (kgCO2e) for this spend]]</f>
        <v>0</v>
      </c>
      <c r="R217" s="255">
        <v>0</v>
      </c>
      <c r="S217" s="255">
        <v>0</v>
      </c>
      <c r="T217" s="387" t="str">
        <f>IF(SupplychainTier2[[#This Row],[Calculated emissions (kgCO2e) for this spend]]="","",(SupplychainTier2[[#This Row],[Calculated emissions (kgCO2e) for this spend]]*(1+SupplychainTier2[[#This Row],[RSD]])))</f>
        <v/>
      </c>
      <c r="U217" s="387" t="str">
        <f>IF(SupplychainTier2[[#This Row],[Calculated emissions (kgCO2e) for this spend]]="","",(SupplychainTier2[[#This Row],[Calculated emissions (kgCO2e) for this spend]]*(1-SupplychainTier2[[#This Row],[RSD]])))</f>
        <v/>
      </c>
      <c r="V217" s="255">
        <v>0</v>
      </c>
    </row>
    <row r="218" spans="2:22" ht="15" thickBot="1" x14ac:dyDescent="0.4">
      <c r="B218" s="173" t="str">
        <f t="shared" si="9"/>
        <v/>
      </c>
      <c r="C218" s="285" t="str">
        <f t="shared" si="10"/>
        <v/>
      </c>
      <c r="D218" s="211"/>
      <c r="E218" s="420" t="s">
        <v>163</v>
      </c>
      <c r="F218" s="209"/>
      <c r="G218" s="148"/>
      <c r="H218" s="422" t="s">
        <v>1095</v>
      </c>
      <c r="I218" s="423">
        <f>SupplychainTier2[[#This Row],[Spend for which Tier 2 method accounts]]</f>
        <v>0</v>
      </c>
      <c r="J218" s="423" t="s">
        <v>1095</v>
      </c>
      <c r="K218" s="423" t="str">
        <f>IFERROR(SupplychainTier2[[#This Row],[Calculated emissions (kgCO2e) for this spend]]/SupplychainTier2[[#This Row],[Spend for which Tier 2 method accounts]],"")</f>
        <v/>
      </c>
      <c r="L218" s="442"/>
      <c r="M218" s="201"/>
      <c r="N218" s="201"/>
      <c r="O218" s="255">
        <v>0</v>
      </c>
      <c r="P218" s="255">
        <v>0</v>
      </c>
      <c r="Q218" s="255">
        <f>SupplychainTier2[[#This Row],[Calculated emissions (kgCO2e) for this spend]]</f>
        <v>0</v>
      </c>
      <c r="R218" s="255">
        <v>0</v>
      </c>
      <c r="S218" s="255">
        <v>0</v>
      </c>
      <c r="T218" s="387" t="str">
        <f>IF(SupplychainTier2[[#This Row],[Calculated emissions (kgCO2e) for this spend]]="","",(SupplychainTier2[[#This Row],[Calculated emissions (kgCO2e) for this spend]]*(1+SupplychainTier2[[#This Row],[RSD]])))</f>
        <v/>
      </c>
      <c r="U218" s="387" t="str">
        <f>IF(SupplychainTier2[[#This Row],[Calculated emissions (kgCO2e) for this spend]]="","",(SupplychainTier2[[#This Row],[Calculated emissions (kgCO2e) for this spend]]*(1-SupplychainTier2[[#This Row],[RSD]])))</f>
        <v/>
      </c>
      <c r="V218" s="255">
        <v>0</v>
      </c>
    </row>
    <row r="219" spans="2:22" ht="15" thickBot="1" x14ac:dyDescent="0.4">
      <c r="B219" s="173" t="str">
        <f t="shared" si="9"/>
        <v/>
      </c>
      <c r="C219" s="285" t="str">
        <f t="shared" si="10"/>
        <v/>
      </c>
      <c r="D219" s="211"/>
      <c r="E219" s="420" t="s">
        <v>163</v>
      </c>
      <c r="F219" s="209"/>
      <c r="G219" s="148"/>
      <c r="H219" s="422" t="s">
        <v>1095</v>
      </c>
      <c r="I219" s="423">
        <f>SupplychainTier2[[#This Row],[Spend for which Tier 2 method accounts]]</f>
        <v>0</v>
      </c>
      <c r="J219" s="423" t="s">
        <v>1095</v>
      </c>
      <c r="K219" s="423" t="str">
        <f>IFERROR(SupplychainTier2[[#This Row],[Calculated emissions (kgCO2e) for this spend]]/SupplychainTier2[[#This Row],[Spend for which Tier 2 method accounts]],"")</f>
        <v/>
      </c>
      <c r="L219" s="442"/>
      <c r="M219" s="201"/>
      <c r="N219" s="201"/>
      <c r="O219" s="255">
        <v>0</v>
      </c>
      <c r="P219" s="255">
        <v>0</v>
      </c>
      <c r="Q219" s="255">
        <f>SupplychainTier2[[#This Row],[Calculated emissions (kgCO2e) for this spend]]</f>
        <v>0</v>
      </c>
      <c r="R219" s="255">
        <v>0</v>
      </c>
      <c r="S219" s="255">
        <v>0</v>
      </c>
      <c r="T219" s="387" t="str">
        <f>IF(SupplychainTier2[[#This Row],[Calculated emissions (kgCO2e) for this spend]]="","",(SupplychainTier2[[#This Row],[Calculated emissions (kgCO2e) for this spend]]*(1+SupplychainTier2[[#This Row],[RSD]])))</f>
        <v/>
      </c>
      <c r="U219" s="387" t="str">
        <f>IF(SupplychainTier2[[#This Row],[Calculated emissions (kgCO2e) for this spend]]="","",(SupplychainTier2[[#This Row],[Calculated emissions (kgCO2e) for this spend]]*(1-SupplychainTier2[[#This Row],[RSD]])))</f>
        <v/>
      </c>
      <c r="V219" s="255">
        <v>0</v>
      </c>
    </row>
    <row r="220" spans="2:22" ht="15" thickBot="1" x14ac:dyDescent="0.4">
      <c r="B220" s="173" t="str">
        <f t="shared" ref="B220:B250" si="11">IFERROR(VLOOKUP(D220,SICProductCodeLookup,2,FALSE), "")</f>
        <v/>
      </c>
      <c r="C220" s="285" t="str">
        <f t="shared" ref="C220:C250" si="12">IFERROR((VLOOKUP(D220,SICProductCodeLookup,3,FALSE)), "")</f>
        <v/>
      </c>
      <c r="D220" s="211"/>
      <c r="E220" s="420" t="s">
        <v>163</v>
      </c>
      <c r="F220" s="209"/>
      <c r="G220" s="148"/>
      <c r="H220" s="422" t="s">
        <v>1095</v>
      </c>
      <c r="I220" s="423">
        <f>SupplychainTier2[[#This Row],[Spend for which Tier 2 method accounts]]</f>
        <v>0</v>
      </c>
      <c r="J220" s="423" t="s">
        <v>1095</v>
      </c>
      <c r="K220" s="423" t="str">
        <f>IFERROR(SupplychainTier2[[#This Row],[Calculated emissions (kgCO2e) for this spend]]/SupplychainTier2[[#This Row],[Spend for which Tier 2 method accounts]],"")</f>
        <v/>
      </c>
      <c r="L220" s="442"/>
      <c r="M220" s="201"/>
      <c r="N220" s="201"/>
      <c r="O220" s="255">
        <v>0</v>
      </c>
      <c r="P220" s="255">
        <v>0</v>
      </c>
      <c r="Q220" s="255">
        <f>SupplychainTier2[[#This Row],[Calculated emissions (kgCO2e) for this spend]]</f>
        <v>0</v>
      </c>
      <c r="R220" s="255">
        <v>0</v>
      </c>
      <c r="S220" s="255">
        <v>0</v>
      </c>
      <c r="T220" s="387" t="str">
        <f>IF(SupplychainTier2[[#This Row],[Calculated emissions (kgCO2e) for this spend]]="","",(SupplychainTier2[[#This Row],[Calculated emissions (kgCO2e) for this spend]]*(1+SupplychainTier2[[#This Row],[RSD]])))</f>
        <v/>
      </c>
      <c r="U220" s="387" t="str">
        <f>IF(SupplychainTier2[[#This Row],[Calculated emissions (kgCO2e) for this spend]]="","",(SupplychainTier2[[#This Row],[Calculated emissions (kgCO2e) for this spend]]*(1-SupplychainTier2[[#This Row],[RSD]])))</f>
        <v/>
      </c>
      <c r="V220" s="255">
        <v>0</v>
      </c>
    </row>
    <row r="221" spans="2:22" ht="15" thickBot="1" x14ac:dyDescent="0.4">
      <c r="B221" s="173" t="str">
        <f t="shared" si="11"/>
        <v/>
      </c>
      <c r="C221" s="285" t="str">
        <f t="shared" si="12"/>
        <v/>
      </c>
      <c r="D221" s="211"/>
      <c r="E221" s="420" t="s">
        <v>163</v>
      </c>
      <c r="F221" s="209"/>
      <c r="G221" s="148"/>
      <c r="H221" s="422" t="s">
        <v>1095</v>
      </c>
      <c r="I221" s="423">
        <f>SupplychainTier2[[#This Row],[Spend for which Tier 2 method accounts]]</f>
        <v>0</v>
      </c>
      <c r="J221" s="423" t="s">
        <v>1095</v>
      </c>
      <c r="K221" s="423" t="str">
        <f>IFERROR(SupplychainTier2[[#This Row],[Calculated emissions (kgCO2e) for this spend]]/SupplychainTier2[[#This Row],[Spend for which Tier 2 method accounts]],"")</f>
        <v/>
      </c>
      <c r="L221" s="442"/>
      <c r="M221" s="201"/>
      <c r="N221" s="201"/>
      <c r="O221" s="255">
        <v>0</v>
      </c>
      <c r="P221" s="255">
        <v>0</v>
      </c>
      <c r="Q221" s="255">
        <f>SupplychainTier2[[#This Row],[Calculated emissions (kgCO2e) for this spend]]</f>
        <v>0</v>
      </c>
      <c r="R221" s="255">
        <v>0</v>
      </c>
      <c r="S221" s="255">
        <v>0</v>
      </c>
      <c r="T221" s="387" t="str">
        <f>IF(SupplychainTier2[[#This Row],[Calculated emissions (kgCO2e) for this spend]]="","",(SupplychainTier2[[#This Row],[Calculated emissions (kgCO2e) for this spend]]*(1+SupplychainTier2[[#This Row],[RSD]])))</f>
        <v/>
      </c>
      <c r="U221" s="387" t="str">
        <f>IF(SupplychainTier2[[#This Row],[Calculated emissions (kgCO2e) for this spend]]="","",(SupplychainTier2[[#This Row],[Calculated emissions (kgCO2e) for this spend]]*(1-SupplychainTier2[[#This Row],[RSD]])))</f>
        <v/>
      </c>
      <c r="V221" s="255">
        <v>0</v>
      </c>
    </row>
    <row r="222" spans="2:22" ht="15" thickBot="1" x14ac:dyDescent="0.4">
      <c r="B222" s="173" t="str">
        <f t="shared" si="11"/>
        <v/>
      </c>
      <c r="C222" s="285" t="str">
        <f t="shared" si="12"/>
        <v/>
      </c>
      <c r="D222" s="211"/>
      <c r="E222" s="420" t="s">
        <v>163</v>
      </c>
      <c r="F222" s="209"/>
      <c r="G222" s="148"/>
      <c r="H222" s="422" t="s">
        <v>1095</v>
      </c>
      <c r="I222" s="423">
        <f>SupplychainTier2[[#This Row],[Spend for which Tier 2 method accounts]]</f>
        <v>0</v>
      </c>
      <c r="J222" s="423" t="s">
        <v>1095</v>
      </c>
      <c r="K222" s="423" t="str">
        <f>IFERROR(SupplychainTier2[[#This Row],[Calculated emissions (kgCO2e) for this spend]]/SupplychainTier2[[#This Row],[Spend for which Tier 2 method accounts]],"")</f>
        <v/>
      </c>
      <c r="L222" s="442"/>
      <c r="M222" s="201"/>
      <c r="N222" s="201"/>
      <c r="O222" s="255">
        <v>0</v>
      </c>
      <c r="P222" s="255">
        <v>0</v>
      </c>
      <c r="Q222" s="255">
        <f>SupplychainTier2[[#This Row],[Calculated emissions (kgCO2e) for this spend]]</f>
        <v>0</v>
      </c>
      <c r="R222" s="255">
        <v>0</v>
      </c>
      <c r="S222" s="255">
        <v>0</v>
      </c>
      <c r="T222" s="387" t="str">
        <f>IF(SupplychainTier2[[#This Row],[Calculated emissions (kgCO2e) for this spend]]="","",(SupplychainTier2[[#This Row],[Calculated emissions (kgCO2e) for this spend]]*(1+SupplychainTier2[[#This Row],[RSD]])))</f>
        <v/>
      </c>
      <c r="U222" s="387" t="str">
        <f>IF(SupplychainTier2[[#This Row],[Calculated emissions (kgCO2e) for this spend]]="","",(SupplychainTier2[[#This Row],[Calculated emissions (kgCO2e) for this spend]]*(1-SupplychainTier2[[#This Row],[RSD]])))</f>
        <v/>
      </c>
      <c r="V222" s="255">
        <v>0</v>
      </c>
    </row>
    <row r="223" spans="2:22" ht="15" thickBot="1" x14ac:dyDescent="0.4">
      <c r="B223" s="173" t="str">
        <f t="shared" si="11"/>
        <v/>
      </c>
      <c r="C223" s="285" t="str">
        <f t="shared" si="12"/>
        <v/>
      </c>
      <c r="D223" s="211"/>
      <c r="E223" s="420" t="s">
        <v>163</v>
      </c>
      <c r="F223" s="209"/>
      <c r="G223" s="148"/>
      <c r="H223" s="422" t="s">
        <v>1095</v>
      </c>
      <c r="I223" s="423">
        <f>SupplychainTier2[[#This Row],[Spend for which Tier 2 method accounts]]</f>
        <v>0</v>
      </c>
      <c r="J223" s="423" t="s">
        <v>1095</v>
      </c>
      <c r="K223" s="423" t="str">
        <f>IFERROR(SupplychainTier2[[#This Row],[Calculated emissions (kgCO2e) for this spend]]/SupplychainTier2[[#This Row],[Spend for which Tier 2 method accounts]],"")</f>
        <v/>
      </c>
      <c r="L223" s="442"/>
      <c r="M223" s="201"/>
      <c r="N223" s="201"/>
      <c r="O223" s="255">
        <v>0</v>
      </c>
      <c r="P223" s="255">
        <v>0</v>
      </c>
      <c r="Q223" s="255">
        <f>SupplychainTier2[[#This Row],[Calculated emissions (kgCO2e) for this spend]]</f>
        <v>0</v>
      </c>
      <c r="R223" s="255">
        <v>0</v>
      </c>
      <c r="S223" s="255">
        <v>0</v>
      </c>
      <c r="T223" s="387" t="str">
        <f>IF(SupplychainTier2[[#This Row],[Calculated emissions (kgCO2e) for this spend]]="","",(SupplychainTier2[[#This Row],[Calculated emissions (kgCO2e) for this spend]]*(1+SupplychainTier2[[#This Row],[RSD]])))</f>
        <v/>
      </c>
      <c r="U223" s="387" t="str">
        <f>IF(SupplychainTier2[[#This Row],[Calculated emissions (kgCO2e) for this spend]]="","",(SupplychainTier2[[#This Row],[Calculated emissions (kgCO2e) for this spend]]*(1-SupplychainTier2[[#This Row],[RSD]])))</f>
        <v/>
      </c>
      <c r="V223" s="255">
        <v>0</v>
      </c>
    </row>
    <row r="224" spans="2:22" ht="15" thickBot="1" x14ac:dyDescent="0.4">
      <c r="B224" s="173" t="str">
        <f t="shared" si="11"/>
        <v/>
      </c>
      <c r="C224" s="285" t="str">
        <f t="shared" si="12"/>
        <v/>
      </c>
      <c r="D224" s="211"/>
      <c r="E224" s="420" t="s">
        <v>163</v>
      </c>
      <c r="F224" s="209"/>
      <c r="G224" s="148"/>
      <c r="H224" s="422" t="s">
        <v>1095</v>
      </c>
      <c r="I224" s="423">
        <f>SupplychainTier2[[#This Row],[Spend for which Tier 2 method accounts]]</f>
        <v>0</v>
      </c>
      <c r="J224" s="423" t="s">
        <v>1095</v>
      </c>
      <c r="K224" s="423" t="str">
        <f>IFERROR(SupplychainTier2[[#This Row],[Calculated emissions (kgCO2e) for this spend]]/SupplychainTier2[[#This Row],[Spend for which Tier 2 method accounts]],"")</f>
        <v/>
      </c>
      <c r="L224" s="442"/>
      <c r="M224" s="201"/>
      <c r="N224" s="201"/>
      <c r="O224" s="255">
        <v>0</v>
      </c>
      <c r="P224" s="255">
        <v>0</v>
      </c>
      <c r="Q224" s="255">
        <f>SupplychainTier2[[#This Row],[Calculated emissions (kgCO2e) for this spend]]</f>
        <v>0</v>
      </c>
      <c r="R224" s="255">
        <v>0</v>
      </c>
      <c r="S224" s="255">
        <v>0</v>
      </c>
      <c r="T224" s="387" t="str">
        <f>IF(SupplychainTier2[[#This Row],[Calculated emissions (kgCO2e) for this spend]]="","",(SupplychainTier2[[#This Row],[Calculated emissions (kgCO2e) for this spend]]*(1+SupplychainTier2[[#This Row],[RSD]])))</f>
        <v/>
      </c>
      <c r="U224" s="387" t="str">
        <f>IF(SupplychainTier2[[#This Row],[Calculated emissions (kgCO2e) for this spend]]="","",(SupplychainTier2[[#This Row],[Calculated emissions (kgCO2e) for this spend]]*(1-SupplychainTier2[[#This Row],[RSD]])))</f>
        <v/>
      </c>
      <c r="V224" s="255">
        <v>0</v>
      </c>
    </row>
    <row r="225" spans="2:22" ht="15" thickBot="1" x14ac:dyDescent="0.4">
      <c r="B225" s="173" t="str">
        <f t="shared" si="11"/>
        <v/>
      </c>
      <c r="C225" s="285" t="str">
        <f t="shared" si="12"/>
        <v/>
      </c>
      <c r="D225" s="211"/>
      <c r="E225" s="420" t="s">
        <v>163</v>
      </c>
      <c r="F225" s="209"/>
      <c r="G225" s="148"/>
      <c r="H225" s="422" t="s">
        <v>1095</v>
      </c>
      <c r="I225" s="423">
        <f>SupplychainTier2[[#This Row],[Spend for which Tier 2 method accounts]]</f>
        <v>0</v>
      </c>
      <c r="J225" s="423" t="s">
        <v>1095</v>
      </c>
      <c r="K225" s="423" t="str">
        <f>IFERROR(SupplychainTier2[[#This Row],[Calculated emissions (kgCO2e) for this spend]]/SupplychainTier2[[#This Row],[Spend for which Tier 2 method accounts]],"")</f>
        <v/>
      </c>
      <c r="L225" s="442"/>
      <c r="M225" s="201"/>
      <c r="N225" s="201"/>
      <c r="O225" s="255">
        <v>0</v>
      </c>
      <c r="P225" s="255">
        <v>0</v>
      </c>
      <c r="Q225" s="255">
        <f>SupplychainTier2[[#This Row],[Calculated emissions (kgCO2e) for this spend]]</f>
        <v>0</v>
      </c>
      <c r="R225" s="255">
        <v>0</v>
      </c>
      <c r="S225" s="255">
        <v>0</v>
      </c>
      <c r="T225" s="387" t="str">
        <f>IF(SupplychainTier2[[#This Row],[Calculated emissions (kgCO2e) for this spend]]="","",(SupplychainTier2[[#This Row],[Calculated emissions (kgCO2e) for this spend]]*(1+SupplychainTier2[[#This Row],[RSD]])))</f>
        <v/>
      </c>
      <c r="U225" s="387" t="str">
        <f>IF(SupplychainTier2[[#This Row],[Calculated emissions (kgCO2e) for this spend]]="","",(SupplychainTier2[[#This Row],[Calculated emissions (kgCO2e) for this spend]]*(1-SupplychainTier2[[#This Row],[RSD]])))</f>
        <v/>
      </c>
      <c r="V225" s="255">
        <v>0</v>
      </c>
    </row>
    <row r="226" spans="2:22" ht="15" thickBot="1" x14ac:dyDescent="0.4">
      <c r="B226" s="173" t="str">
        <f t="shared" si="11"/>
        <v/>
      </c>
      <c r="C226" s="285" t="str">
        <f t="shared" si="12"/>
        <v/>
      </c>
      <c r="D226" s="211"/>
      <c r="E226" s="420" t="s">
        <v>163</v>
      </c>
      <c r="F226" s="209"/>
      <c r="G226" s="148"/>
      <c r="H226" s="422" t="s">
        <v>1095</v>
      </c>
      <c r="I226" s="423">
        <f>SupplychainTier2[[#This Row],[Spend for which Tier 2 method accounts]]</f>
        <v>0</v>
      </c>
      <c r="J226" s="423" t="s">
        <v>1095</v>
      </c>
      <c r="K226" s="423" t="str">
        <f>IFERROR(SupplychainTier2[[#This Row],[Calculated emissions (kgCO2e) for this spend]]/SupplychainTier2[[#This Row],[Spend for which Tier 2 method accounts]],"")</f>
        <v/>
      </c>
      <c r="L226" s="442"/>
      <c r="M226" s="201"/>
      <c r="N226" s="201"/>
      <c r="O226" s="255">
        <v>0</v>
      </c>
      <c r="P226" s="255">
        <v>0</v>
      </c>
      <c r="Q226" s="255">
        <f>SupplychainTier2[[#This Row],[Calculated emissions (kgCO2e) for this spend]]</f>
        <v>0</v>
      </c>
      <c r="R226" s="255">
        <v>0</v>
      </c>
      <c r="S226" s="255">
        <v>0</v>
      </c>
      <c r="T226" s="387" t="str">
        <f>IF(SupplychainTier2[[#This Row],[Calculated emissions (kgCO2e) for this spend]]="","",(SupplychainTier2[[#This Row],[Calculated emissions (kgCO2e) for this spend]]*(1+SupplychainTier2[[#This Row],[RSD]])))</f>
        <v/>
      </c>
      <c r="U226" s="387" t="str">
        <f>IF(SupplychainTier2[[#This Row],[Calculated emissions (kgCO2e) for this spend]]="","",(SupplychainTier2[[#This Row],[Calculated emissions (kgCO2e) for this spend]]*(1-SupplychainTier2[[#This Row],[RSD]])))</f>
        <v/>
      </c>
      <c r="V226" s="255">
        <v>0</v>
      </c>
    </row>
    <row r="227" spans="2:22" ht="15" thickBot="1" x14ac:dyDescent="0.4">
      <c r="B227" s="173" t="str">
        <f t="shared" si="11"/>
        <v/>
      </c>
      <c r="C227" s="285" t="str">
        <f t="shared" si="12"/>
        <v/>
      </c>
      <c r="D227" s="211"/>
      <c r="E227" s="420" t="s">
        <v>163</v>
      </c>
      <c r="F227" s="209"/>
      <c r="G227" s="148"/>
      <c r="H227" s="422" t="s">
        <v>1095</v>
      </c>
      <c r="I227" s="423">
        <f>SupplychainTier2[[#This Row],[Spend for which Tier 2 method accounts]]</f>
        <v>0</v>
      </c>
      <c r="J227" s="423" t="s">
        <v>1095</v>
      </c>
      <c r="K227" s="423" t="str">
        <f>IFERROR(SupplychainTier2[[#This Row],[Calculated emissions (kgCO2e) for this spend]]/SupplychainTier2[[#This Row],[Spend for which Tier 2 method accounts]],"")</f>
        <v/>
      </c>
      <c r="L227" s="442"/>
      <c r="M227" s="201"/>
      <c r="N227" s="201"/>
      <c r="O227" s="255">
        <v>0</v>
      </c>
      <c r="P227" s="255">
        <v>0</v>
      </c>
      <c r="Q227" s="255">
        <f>SupplychainTier2[[#This Row],[Calculated emissions (kgCO2e) for this spend]]</f>
        <v>0</v>
      </c>
      <c r="R227" s="255">
        <v>0</v>
      </c>
      <c r="S227" s="255">
        <v>0</v>
      </c>
      <c r="T227" s="387" t="str">
        <f>IF(SupplychainTier2[[#This Row],[Calculated emissions (kgCO2e) for this spend]]="","",(SupplychainTier2[[#This Row],[Calculated emissions (kgCO2e) for this spend]]*(1+SupplychainTier2[[#This Row],[RSD]])))</f>
        <v/>
      </c>
      <c r="U227" s="387" t="str">
        <f>IF(SupplychainTier2[[#This Row],[Calculated emissions (kgCO2e) for this spend]]="","",(SupplychainTier2[[#This Row],[Calculated emissions (kgCO2e) for this spend]]*(1-SupplychainTier2[[#This Row],[RSD]])))</f>
        <v/>
      </c>
      <c r="V227" s="255">
        <v>0</v>
      </c>
    </row>
    <row r="228" spans="2:22" ht="15" thickBot="1" x14ac:dyDescent="0.4">
      <c r="B228" s="173" t="str">
        <f t="shared" si="11"/>
        <v/>
      </c>
      <c r="C228" s="285" t="str">
        <f t="shared" si="12"/>
        <v/>
      </c>
      <c r="D228" s="211"/>
      <c r="E228" s="420" t="s">
        <v>163</v>
      </c>
      <c r="F228" s="209"/>
      <c r="G228" s="148"/>
      <c r="H228" s="422" t="s">
        <v>1095</v>
      </c>
      <c r="I228" s="423">
        <f>SupplychainTier2[[#This Row],[Spend for which Tier 2 method accounts]]</f>
        <v>0</v>
      </c>
      <c r="J228" s="423" t="s">
        <v>1095</v>
      </c>
      <c r="K228" s="423" t="str">
        <f>IFERROR(SupplychainTier2[[#This Row],[Calculated emissions (kgCO2e) for this spend]]/SupplychainTier2[[#This Row],[Spend for which Tier 2 method accounts]],"")</f>
        <v/>
      </c>
      <c r="L228" s="442"/>
      <c r="M228" s="201"/>
      <c r="N228" s="201"/>
      <c r="O228" s="255">
        <v>0</v>
      </c>
      <c r="P228" s="255">
        <v>0</v>
      </c>
      <c r="Q228" s="255">
        <f>SupplychainTier2[[#This Row],[Calculated emissions (kgCO2e) for this spend]]</f>
        <v>0</v>
      </c>
      <c r="R228" s="255">
        <v>0</v>
      </c>
      <c r="S228" s="255">
        <v>0</v>
      </c>
      <c r="T228" s="387" t="str">
        <f>IF(SupplychainTier2[[#This Row],[Calculated emissions (kgCO2e) for this spend]]="","",(SupplychainTier2[[#This Row],[Calculated emissions (kgCO2e) for this spend]]*(1+SupplychainTier2[[#This Row],[RSD]])))</f>
        <v/>
      </c>
      <c r="U228" s="387" t="str">
        <f>IF(SupplychainTier2[[#This Row],[Calculated emissions (kgCO2e) for this spend]]="","",(SupplychainTier2[[#This Row],[Calculated emissions (kgCO2e) for this spend]]*(1-SupplychainTier2[[#This Row],[RSD]])))</f>
        <v/>
      </c>
      <c r="V228" s="255">
        <v>0</v>
      </c>
    </row>
    <row r="229" spans="2:22" ht="15" thickBot="1" x14ac:dyDescent="0.4">
      <c r="B229" s="173" t="str">
        <f t="shared" si="11"/>
        <v/>
      </c>
      <c r="C229" s="285" t="str">
        <f t="shared" si="12"/>
        <v/>
      </c>
      <c r="D229" s="211"/>
      <c r="E229" s="420" t="s">
        <v>163</v>
      </c>
      <c r="F229" s="209"/>
      <c r="G229" s="148"/>
      <c r="H229" s="422" t="s">
        <v>1095</v>
      </c>
      <c r="I229" s="423">
        <f>SupplychainTier2[[#This Row],[Spend for which Tier 2 method accounts]]</f>
        <v>0</v>
      </c>
      <c r="J229" s="423" t="s">
        <v>1095</v>
      </c>
      <c r="K229" s="423" t="str">
        <f>IFERROR(SupplychainTier2[[#This Row],[Calculated emissions (kgCO2e) for this spend]]/SupplychainTier2[[#This Row],[Spend for which Tier 2 method accounts]],"")</f>
        <v/>
      </c>
      <c r="L229" s="442"/>
      <c r="M229" s="201"/>
      <c r="N229" s="201"/>
      <c r="O229" s="255">
        <v>0</v>
      </c>
      <c r="P229" s="255">
        <v>0</v>
      </c>
      <c r="Q229" s="255">
        <f>SupplychainTier2[[#This Row],[Calculated emissions (kgCO2e) for this spend]]</f>
        <v>0</v>
      </c>
      <c r="R229" s="255">
        <v>0</v>
      </c>
      <c r="S229" s="255">
        <v>0</v>
      </c>
      <c r="T229" s="387" t="str">
        <f>IF(SupplychainTier2[[#This Row],[Calculated emissions (kgCO2e) for this spend]]="","",(SupplychainTier2[[#This Row],[Calculated emissions (kgCO2e) for this spend]]*(1+SupplychainTier2[[#This Row],[RSD]])))</f>
        <v/>
      </c>
      <c r="U229" s="387" t="str">
        <f>IF(SupplychainTier2[[#This Row],[Calculated emissions (kgCO2e) for this spend]]="","",(SupplychainTier2[[#This Row],[Calculated emissions (kgCO2e) for this spend]]*(1-SupplychainTier2[[#This Row],[RSD]])))</f>
        <v/>
      </c>
      <c r="V229" s="255">
        <v>0</v>
      </c>
    </row>
    <row r="230" spans="2:22" ht="15" thickBot="1" x14ac:dyDescent="0.4">
      <c r="B230" s="173" t="str">
        <f t="shared" si="11"/>
        <v/>
      </c>
      <c r="C230" s="285" t="str">
        <f t="shared" si="12"/>
        <v/>
      </c>
      <c r="D230" s="211"/>
      <c r="E230" s="420" t="s">
        <v>163</v>
      </c>
      <c r="F230" s="209"/>
      <c r="G230" s="148"/>
      <c r="H230" s="422" t="s">
        <v>1095</v>
      </c>
      <c r="I230" s="423">
        <f>SupplychainTier2[[#This Row],[Spend for which Tier 2 method accounts]]</f>
        <v>0</v>
      </c>
      <c r="J230" s="423" t="s">
        <v>1095</v>
      </c>
      <c r="K230" s="423" t="str">
        <f>IFERROR(SupplychainTier2[[#This Row],[Calculated emissions (kgCO2e) for this spend]]/SupplychainTier2[[#This Row],[Spend for which Tier 2 method accounts]],"")</f>
        <v/>
      </c>
      <c r="L230" s="442"/>
      <c r="M230" s="201"/>
      <c r="N230" s="201"/>
      <c r="O230" s="255">
        <v>0</v>
      </c>
      <c r="P230" s="255">
        <v>0</v>
      </c>
      <c r="Q230" s="255">
        <f>SupplychainTier2[[#This Row],[Calculated emissions (kgCO2e) for this spend]]</f>
        <v>0</v>
      </c>
      <c r="R230" s="255">
        <v>0</v>
      </c>
      <c r="S230" s="255">
        <v>0</v>
      </c>
      <c r="T230" s="387" t="str">
        <f>IF(SupplychainTier2[[#This Row],[Calculated emissions (kgCO2e) for this spend]]="","",(SupplychainTier2[[#This Row],[Calculated emissions (kgCO2e) for this spend]]*(1+SupplychainTier2[[#This Row],[RSD]])))</f>
        <v/>
      </c>
      <c r="U230" s="387" t="str">
        <f>IF(SupplychainTier2[[#This Row],[Calculated emissions (kgCO2e) for this spend]]="","",(SupplychainTier2[[#This Row],[Calculated emissions (kgCO2e) for this spend]]*(1-SupplychainTier2[[#This Row],[RSD]])))</f>
        <v/>
      </c>
      <c r="V230" s="255">
        <v>0</v>
      </c>
    </row>
    <row r="231" spans="2:22" ht="15" thickBot="1" x14ac:dyDescent="0.4">
      <c r="B231" s="173" t="str">
        <f t="shared" si="11"/>
        <v/>
      </c>
      <c r="C231" s="285" t="str">
        <f t="shared" si="12"/>
        <v/>
      </c>
      <c r="D231" s="211"/>
      <c r="E231" s="420" t="s">
        <v>163</v>
      </c>
      <c r="F231" s="209"/>
      <c r="G231" s="148"/>
      <c r="H231" s="422" t="s">
        <v>1095</v>
      </c>
      <c r="I231" s="423">
        <f>SupplychainTier2[[#This Row],[Spend for which Tier 2 method accounts]]</f>
        <v>0</v>
      </c>
      <c r="J231" s="423" t="s">
        <v>1095</v>
      </c>
      <c r="K231" s="423" t="str">
        <f>IFERROR(SupplychainTier2[[#This Row],[Calculated emissions (kgCO2e) for this spend]]/SupplychainTier2[[#This Row],[Spend for which Tier 2 method accounts]],"")</f>
        <v/>
      </c>
      <c r="L231" s="442"/>
      <c r="M231" s="201"/>
      <c r="N231" s="201"/>
      <c r="O231" s="255">
        <v>0</v>
      </c>
      <c r="P231" s="255">
        <v>0</v>
      </c>
      <c r="Q231" s="255">
        <f>SupplychainTier2[[#This Row],[Calculated emissions (kgCO2e) for this spend]]</f>
        <v>0</v>
      </c>
      <c r="R231" s="255">
        <v>0</v>
      </c>
      <c r="S231" s="255">
        <v>0</v>
      </c>
      <c r="T231" s="387" t="str">
        <f>IF(SupplychainTier2[[#This Row],[Calculated emissions (kgCO2e) for this spend]]="","",(SupplychainTier2[[#This Row],[Calculated emissions (kgCO2e) for this spend]]*(1+SupplychainTier2[[#This Row],[RSD]])))</f>
        <v/>
      </c>
      <c r="U231" s="387" t="str">
        <f>IF(SupplychainTier2[[#This Row],[Calculated emissions (kgCO2e) for this spend]]="","",(SupplychainTier2[[#This Row],[Calculated emissions (kgCO2e) for this spend]]*(1-SupplychainTier2[[#This Row],[RSD]])))</f>
        <v/>
      </c>
      <c r="V231" s="255">
        <v>0</v>
      </c>
    </row>
    <row r="232" spans="2:22" ht="15" thickBot="1" x14ac:dyDescent="0.4">
      <c r="B232" s="173" t="str">
        <f t="shared" si="11"/>
        <v/>
      </c>
      <c r="C232" s="285" t="str">
        <f t="shared" si="12"/>
        <v/>
      </c>
      <c r="D232" s="211"/>
      <c r="E232" s="420" t="s">
        <v>163</v>
      </c>
      <c r="F232" s="209"/>
      <c r="G232" s="148"/>
      <c r="H232" s="422" t="s">
        <v>1095</v>
      </c>
      <c r="I232" s="423">
        <f>SupplychainTier2[[#This Row],[Spend for which Tier 2 method accounts]]</f>
        <v>0</v>
      </c>
      <c r="J232" s="423" t="s">
        <v>1095</v>
      </c>
      <c r="K232" s="423" t="str">
        <f>IFERROR(SupplychainTier2[[#This Row],[Calculated emissions (kgCO2e) for this spend]]/SupplychainTier2[[#This Row],[Spend for which Tier 2 method accounts]],"")</f>
        <v/>
      </c>
      <c r="L232" s="442"/>
      <c r="M232" s="201"/>
      <c r="N232" s="201"/>
      <c r="O232" s="255">
        <v>0</v>
      </c>
      <c r="P232" s="255">
        <v>0</v>
      </c>
      <c r="Q232" s="255">
        <f>SupplychainTier2[[#This Row],[Calculated emissions (kgCO2e) for this spend]]</f>
        <v>0</v>
      </c>
      <c r="R232" s="255">
        <v>0</v>
      </c>
      <c r="S232" s="255">
        <v>0</v>
      </c>
      <c r="T232" s="387" t="str">
        <f>IF(SupplychainTier2[[#This Row],[Calculated emissions (kgCO2e) for this spend]]="","",(SupplychainTier2[[#This Row],[Calculated emissions (kgCO2e) for this spend]]*(1+SupplychainTier2[[#This Row],[RSD]])))</f>
        <v/>
      </c>
      <c r="U232" s="387" t="str">
        <f>IF(SupplychainTier2[[#This Row],[Calculated emissions (kgCO2e) for this spend]]="","",(SupplychainTier2[[#This Row],[Calculated emissions (kgCO2e) for this spend]]*(1-SupplychainTier2[[#This Row],[RSD]])))</f>
        <v/>
      </c>
      <c r="V232" s="255">
        <v>0</v>
      </c>
    </row>
    <row r="233" spans="2:22" ht="15" thickBot="1" x14ac:dyDescent="0.4">
      <c r="B233" s="173" t="str">
        <f t="shared" si="11"/>
        <v/>
      </c>
      <c r="C233" s="285" t="str">
        <f t="shared" si="12"/>
        <v/>
      </c>
      <c r="D233" s="211"/>
      <c r="E233" s="420" t="s">
        <v>163</v>
      </c>
      <c r="F233" s="209"/>
      <c r="G233" s="148"/>
      <c r="H233" s="422" t="s">
        <v>1095</v>
      </c>
      <c r="I233" s="423">
        <f>SupplychainTier2[[#This Row],[Spend for which Tier 2 method accounts]]</f>
        <v>0</v>
      </c>
      <c r="J233" s="423" t="s">
        <v>1095</v>
      </c>
      <c r="K233" s="423" t="str">
        <f>IFERROR(SupplychainTier2[[#This Row],[Calculated emissions (kgCO2e) for this spend]]/SupplychainTier2[[#This Row],[Spend for which Tier 2 method accounts]],"")</f>
        <v/>
      </c>
      <c r="L233" s="442"/>
      <c r="M233" s="201"/>
      <c r="N233" s="201"/>
      <c r="O233" s="255">
        <v>0</v>
      </c>
      <c r="P233" s="255">
        <v>0</v>
      </c>
      <c r="Q233" s="255">
        <f>SupplychainTier2[[#This Row],[Calculated emissions (kgCO2e) for this spend]]</f>
        <v>0</v>
      </c>
      <c r="R233" s="255">
        <v>0</v>
      </c>
      <c r="S233" s="255">
        <v>0</v>
      </c>
      <c r="T233" s="387" t="str">
        <f>IF(SupplychainTier2[[#This Row],[Calculated emissions (kgCO2e) for this spend]]="","",(SupplychainTier2[[#This Row],[Calculated emissions (kgCO2e) for this spend]]*(1+SupplychainTier2[[#This Row],[RSD]])))</f>
        <v/>
      </c>
      <c r="U233" s="387" t="str">
        <f>IF(SupplychainTier2[[#This Row],[Calculated emissions (kgCO2e) for this spend]]="","",(SupplychainTier2[[#This Row],[Calculated emissions (kgCO2e) for this spend]]*(1-SupplychainTier2[[#This Row],[RSD]])))</f>
        <v/>
      </c>
      <c r="V233" s="255">
        <v>0</v>
      </c>
    </row>
    <row r="234" spans="2:22" ht="15" thickBot="1" x14ac:dyDescent="0.4">
      <c r="B234" s="173" t="str">
        <f t="shared" si="11"/>
        <v/>
      </c>
      <c r="C234" s="285" t="str">
        <f t="shared" si="12"/>
        <v/>
      </c>
      <c r="D234" s="211"/>
      <c r="E234" s="420" t="s">
        <v>163</v>
      </c>
      <c r="F234" s="209"/>
      <c r="G234" s="148"/>
      <c r="H234" s="422" t="s">
        <v>1095</v>
      </c>
      <c r="I234" s="423">
        <f>SupplychainTier2[[#This Row],[Spend for which Tier 2 method accounts]]</f>
        <v>0</v>
      </c>
      <c r="J234" s="423" t="s">
        <v>1095</v>
      </c>
      <c r="K234" s="423" t="str">
        <f>IFERROR(SupplychainTier2[[#This Row],[Calculated emissions (kgCO2e) for this spend]]/SupplychainTier2[[#This Row],[Spend for which Tier 2 method accounts]],"")</f>
        <v/>
      </c>
      <c r="L234" s="442"/>
      <c r="M234" s="201"/>
      <c r="N234" s="201"/>
      <c r="O234" s="255">
        <v>0</v>
      </c>
      <c r="P234" s="255">
        <v>0</v>
      </c>
      <c r="Q234" s="255">
        <f>SupplychainTier2[[#This Row],[Calculated emissions (kgCO2e) for this spend]]</f>
        <v>0</v>
      </c>
      <c r="R234" s="255">
        <v>0</v>
      </c>
      <c r="S234" s="255">
        <v>0</v>
      </c>
      <c r="T234" s="387" t="str">
        <f>IF(SupplychainTier2[[#This Row],[Calculated emissions (kgCO2e) for this spend]]="","",(SupplychainTier2[[#This Row],[Calculated emissions (kgCO2e) for this spend]]*(1+SupplychainTier2[[#This Row],[RSD]])))</f>
        <v/>
      </c>
      <c r="U234" s="387" t="str">
        <f>IF(SupplychainTier2[[#This Row],[Calculated emissions (kgCO2e) for this spend]]="","",(SupplychainTier2[[#This Row],[Calculated emissions (kgCO2e) for this spend]]*(1-SupplychainTier2[[#This Row],[RSD]])))</f>
        <v/>
      </c>
      <c r="V234" s="255">
        <v>0</v>
      </c>
    </row>
    <row r="235" spans="2:22" ht="15" thickBot="1" x14ac:dyDescent="0.4">
      <c r="B235" s="173" t="str">
        <f t="shared" si="11"/>
        <v/>
      </c>
      <c r="C235" s="285" t="str">
        <f t="shared" si="12"/>
        <v/>
      </c>
      <c r="D235" s="211"/>
      <c r="E235" s="420" t="s">
        <v>163</v>
      </c>
      <c r="F235" s="209"/>
      <c r="G235" s="148"/>
      <c r="H235" s="422" t="s">
        <v>1095</v>
      </c>
      <c r="I235" s="423">
        <f>SupplychainTier2[[#This Row],[Spend for which Tier 2 method accounts]]</f>
        <v>0</v>
      </c>
      <c r="J235" s="423" t="s">
        <v>1095</v>
      </c>
      <c r="K235" s="423" t="str">
        <f>IFERROR(SupplychainTier2[[#This Row],[Calculated emissions (kgCO2e) for this spend]]/SupplychainTier2[[#This Row],[Spend for which Tier 2 method accounts]],"")</f>
        <v/>
      </c>
      <c r="L235" s="442"/>
      <c r="M235" s="201"/>
      <c r="N235" s="201"/>
      <c r="O235" s="255">
        <v>0</v>
      </c>
      <c r="P235" s="255">
        <v>0</v>
      </c>
      <c r="Q235" s="255">
        <f>SupplychainTier2[[#This Row],[Calculated emissions (kgCO2e) for this spend]]</f>
        <v>0</v>
      </c>
      <c r="R235" s="255">
        <v>0</v>
      </c>
      <c r="S235" s="255">
        <v>0</v>
      </c>
      <c r="T235" s="387" t="str">
        <f>IF(SupplychainTier2[[#This Row],[Calculated emissions (kgCO2e) for this spend]]="","",(SupplychainTier2[[#This Row],[Calculated emissions (kgCO2e) for this spend]]*(1+SupplychainTier2[[#This Row],[RSD]])))</f>
        <v/>
      </c>
      <c r="U235" s="387" t="str">
        <f>IF(SupplychainTier2[[#This Row],[Calculated emissions (kgCO2e) for this spend]]="","",(SupplychainTier2[[#This Row],[Calculated emissions (kgCO2e) for this spend]]*(1-SupplychainTier2[[#This Row],[RSD]])))</f>
        <v/>
      </c>
      <c r="V235" s="255">
        <v>0</v>
      </c>
    </row>
    <row r="236" spans="2:22" ht="15" thickBot="1" x14ac:dyDescent="0.4">
      <c r="B236" s="173" t="str">
        <f t="shared" si="11"/>
        <v/>
      </c>
      <c r="C236" s="285" t="str">
        <f t="shared" si="12"/>
        <v/>
      </c>
      <c r="D236" s="211"/>
      <c r="E236" s="420" t="s">
        <v>163</v>
      </c>
      <c r="F236" s="209"/>
      <c r="G236" s="148"/>
      <c r="H236" s="422" t="s">
        <v>1095</v>
      </c>
      <c r="I236" s="423">
        <f>SupplychainTier2[[#This Row],[Spend for which Tier 2 method accounts]]</f>
        <v>0</v>
      </c>
      <c r="J236" s="423" t="s">
        <v>1095</v>
      </c>
      <c r="K236" s="423" t="str">
        <f>IFERROR(SupplychainTier2[[#This Row],[Calculated emissions (kgCO2e) for this spend]]/SupplychainTier2[[#This Row],[Spend for which Tier 2 method accounts]],"")</f>
        <v/>
      </c>
      <c r="L236" s="442"/>
      <c r="M236" s="201"/>
      <c r="N236" s="201"/>
      <c r="O236" s="255">
        <v>0</v>
      </c>
      <c r="P236" s="255">
        <v>0</v>
      </c>
      <c r="Q236" s="255">
        <f>SupplychainTier2[[#This Row],[Calculated emissions (kgCO2e) for this spend]]</f>
        <v>0</v>
      </c>
      <c r="R236" s="255">
        <v>0</v>
      </c>
      <c r="S236" s="255">
        <v>0</v>
      </c>
      <c r="T236" s="387" t="str">
        <f>IF(SupplychainTier2[[#This Row],[Calculated emissions (kgCO2e) for this spend]]="","",(SupplychainTier2[[#This Row],[Calculated emissions (kgCO2e) for this spend]]*(1+SupplychainTier2[[#This Row],[RSD]])))</f>
        <v/>
      </c>
      <c r="U236" s="387" t="str">
        <f>IF(SupplychainTier2[[#This Row],[Calculated emissions (kgCO2e) for this spend]]="","",(SupplychainTier2[[#This Row],[Calculated emissions (kgCO2e) for this spend]]*(1-SupplychainTier2[[#This Row],[RSD]])))</f>
        <v/>
      </c>
      <c r="V236" s="255">
        <v>0</v>
      </c>
    </row>
    <row r="237" spans="2:22" ht="15" thickBot="1" x14ac:dyDescent="0.4">
      <c r="B237" s="173" t="str">
        <f t="shared" si="11"/>
        <v/>
      </c>
      <c r="C237" s="285" t="str">
        <f t="shared" si="12"/>
        <v/>
      </c>
      <c r="D237" s="211"/>
      <c r="E237" s="420" t="s">
        <v>163</v>
      </c>
      <c r="F237" s="209"/>
      <c r="G237" s="148"/>
      <c r="H237" s="422" t="s">
        <v>1095</v>
      </c>
      <c r="I237" s="423">
        <f>SupplychainTier2[[#This Row],[Spend for which Tier 2 method accounts]]</f>
        <v>0</v>
      </c>
      <c r="J237" s="423" t="s">
        <v>1095</v>
      </c>
      <c r="K237" s="423" t="str">
        <f>IFERROR(SupplychainTier2[[#This Row],[Calculated emissions (kgCO2e) for this spend]]/SupplychainTier2[[#This Row],[Spend for which Tier 2 method accounts]],"")</f>
        <v/>
      </c>
      <c r="L237" s="442"/>
      <c r="M237" s="201"/>
      <c r="N237" s="201"/>
      <c r="O237" s="255">
        <v>0</v>
      </c>
      <c r="P237" s="255">
        <v>0</v>
      </c>
      <c r="Q237" s="255">
        <f>SupplychainTier2[[#This Row],[Calculated emissions (kgCO2e) for this spend]]</f>
        <v>0</v>
      </c>
      <c r="R237" s="255">
        <v>0</v>
      </c>
      <c r="S237" s="255">
        <v>0</v>
      </c>
      <c r="T237" s="387" t="str">
        <f>IF(SupplychainTier2[[#This Row],[Calculated emissions (kgCO2e) for this spend]]="","",(SupplychainTier2[[#This Row],[Calculated emissions (kgCO2e) for this spend]]*(1+SupplychainTier2[[#This Row],[RSD]])))</f>
        <v/>
      </c>
      <c r="U237" s="387" t="str">
        <f>IF(SupplychainTier2[[#This Row],[Calculated emissions (kgCO2e) for this spend]]="","",(SupplychainTier2[[#This Row],[Calculated emissions (kgCO2e) for this spend]]*(1-SupplychainTier2[[#This Row],[RSD]])))</f>
        <v/>
      </c>
      <c r="V237" s="255">
        <v>0</v>
      </c>
    </row>
    <row r="238" spans="2:22" ht="15" thickBot="1" x14ac:dyDescent="0.4">
      <c r="B238" s="173" t="str">
        <f t="shared" si="11"/>
        <v/>
      </c>
      <c r="C238" s="285" t="str">
        <f t="shared" si="12"/>
        <v/>
      </c>
      <c r="D238" s="211"/>
      <c r="E238" s="420" t="s">
        <v>163</v>
      </c>
      <c r="F238" s="209"/>
      <c r="G238" s="148"/>
      <c r="H238" s="422" t="s">
        <v>1095</v>
      </c>
      <c r="I238" s="423">
        <f>SupplychainTier2[[#This Row],[Spend for which Tier 2 method accounts]]</f>
        <v>0</v>
      </c>
      <c r="J238" s="423" t="s">
        <v>1095</v>
      </c>
      <c r="K238" s="423" t="str">
        <f>IFERROR(SupplychainTier2[[#This Row],[Calculated emissions (kgCO2e) for this spend]]/SupplychainTier2[[#This Row],[Spend for which Tier 2 method accounts]],"")</f>
        <v/>
      </c>
      <c r="L238" s="442"/>
      <c r="M238" s="201"/>
      <c r="N238" s="201"/>
      <c r="O238" s="255">
        <v>0</v>
      </c>
      <c r="P238" s="255">
        <v>0</v>
      </c>
      <c r="Q238" s="255">
        <f>SupplychainTier2[[#This Row],[Calculated emissions (kgCO2e) for this spend]]</f>
        <v>0</v>
      </c>
      <c r="R238" s="255">
        <v>0</v>
      </c>
      <c r="S238" s="255">
        <v>0</v>
      </c>
      <c r="T238" s="387" t="str">
        <f>IF(SupplychainTier2[[#This Row],[Calculated emissions (kgCO2e) for this spend]]="","",(SupplychainTier2[[#This Row],[Calculated emissions (kgCO2e) for this spend]]*(1+SupplychainTier2[[#This Row],[RSD]])))</f>
        <v/>
      </c>
      <c r="U238" s="387" t="str">
        <f>IF(SupplychainTier2[[#This Row],[Calculated emissions (kgCO2e) for this spend]]="","",(SupplychainTier2[[#This Row],[Calculated emissions (kgCO2e) for this spend]]*(1-SupplychainTier2[[#This Row],[RSD]])))</f>
        <v/>
      </c>
      <c r="V238" s="255">
        <v>0</v>
      </c>
    </row>
    <row r="239" spans="2:22" ht="15" thickBot="1" x14ac:dyDescent="0.4">
      <c r="B239" s="173" t="str">
        <f t="shared" si="11"/>
        <v/>
      </c>
      <c r="C239" s="285" t="str">
        <f t="shared" si="12"/>
        <v/>
      </c>
      <c r="D239" s="211"/>
      <c r="E239" s="420" t="s">
        <v>163</v>
      </c>
      <c r="F239" s="209"/>
      <c r="G239" s="148"/>
      <c r="H239" s="422" t="s">
        <v>1095</v>
      </c>
      <c r="I239" s="423">
        <f>SupplychainTier2[[#This Row],[Spend for which Tier 2 method accounts]]</f>
        <v>0</v>
      </c>
      <c r="J239" s="423" t="s">
        <v>1095</v>
      </c>
      <c r="K239" s="423" t="str">
        <f>IFERROR(SupplychainTier2[[#This Row],[Calculated emissions (kgCO2e) for this spend]]/SupplychainTier2[[#This Row],[Spend for which Tier 2 method accounts]],"")</f>
        <v/>
      </c>
      <c r="L239" s="442"/>
      <c r="M239" s="201"/>
      <c r="N239" s="201"/>
      <c r="O239" s="255">
        <v>0</v>
      </c>
      <c r="P239" s="255">
        <v>0</v>
      </c>
      <c r="Q239" s="255">
        <f>SupplychainTier2[[#This Row],[Calculated emissions (kgCO2e) for this spend]]</f>
        <v>0</v>
      </c>
      <c r="R239" s="255">
        <v>0</v>
      </c>
      <c r="S239" s="255">
        <v>0</v>
      </c>
      <c r="T239" s="387" t="str">
        <f>IF(SupplychainTier2[[#This Row],[Calculated emissions (kgCO2e) for this spend]]="","",(SupplychainTier2[[#This Row],[Calculated emissions (kgCO2e) for this spend]]*(1+SupplychainTier2[[#This Row],[RSD]])))</f>
        <v/>
      </c>
      <c r="U239" s="387" t="str">
        <f>IF(SupplychainTier2[[#This Row],[Calculated emissions (kgCO2e) for this spend]]="","",(SupplychainTier2[[#This Row],[Calculated emissions (kgCO2e) for this spend]]*(1-SupplychainTier2[[#This Row],[RSD]])))</f>
        <v/>
      </c>
      <c r="V239" s="255">
        <v>0</v>
      </c>
    </row>
    <row r="240" spans="2:22" ht="15" thickBot="1" x14ac:dyDescent="0.4">
      <c r="B240" s="173" t="str">
        <f t="shared" si="11"/>
        <v/>
      </c>
      <c r="C240" s="285" t="str">
        <f t="shared" si="12"/>
        <v/>
      </c>
      <c r="D240" s="211"/>
      <c r="E240" s="420" t="s">
        <v>163</v>
      </c>
      <c r="F240" s="209"/>
      <c r="G240" s="148"/>
      <c r="H240" s="422" t="s">
        <v>1095</v>
      </c>
      <c r="I240" s="423">
        <f>SupplychainTier2[[#This Row],[Spend for which Tier 2 method accounts]]</f>
        <v>0</v>
      </c>
      <c r="J240" s="423" t="s">
        <v>1095</v>
      </c>
      <c r="K240" s="423" t="str">
        <f>IFERROR(SupplychainTier2[[#This Row],[Calculated emissions (kgCO2e) for this spend]]/SupplychainTier2[[#This Row],[Spend for which Tier 2 method accounts]],"")</f>
        <v/>
      </c>
      <c r="L240" s="442"/>
      <c r="M240" s="201"/>
      <c r="N240" s="201"/>
      <c r="O240" s="255">
        <v>0</v>
      </c>
      <c r="P240" s="255">
        <v>0</v>
      </c>
      <c r="Q240" s="255">
        <f>SupplychainTier2[[#This Row],[Calculated emissions (kgCO2e) for this spend]]</f>
        <v>0</v>
      </c>
      <c r="R240" s="255">
        <v>0</v>
      </c>
      <c r="S240" s="255">
        <v>0</v>
      </c>
      <c r="T240" s="387" t="str">
        <f>IF(SupplychainTier2[[#This Row],[Calculated emissions (kgCO2e) for this spend]]="","",(SupplychainTier2[[#This Row],[Calculated emissions (kgCO2e) for this spend]]*(1+SupplychainTier2[[#This Row],[RSD]])))</f>
        <v/>
      </c>
      <c r="U240" s="387" t="str">
        <f>IF(SupplychainTier2[[#This Row],[Calculated emissions (kgCO2e) for this spend]]="","",(SupplychainTier2[[#This Row],[Calculated emissions (kgCO2e) for this spend]]*(1-SupplychainTier2[[#This Row],[RSD]])))</f>
        <v/>
      </c>
      <c r="V240" s="255">
        <v>0</v>
      </c>
    </row>
    <row r="241" spans="2:22" ht="15" thickBot="1" x14ac:dyDescent="0.4">
      <c r="B241" s="173" t="str">
        <f t="shared" si="11"/>
        <v/>
      </c>
      <c r="C241" s="285" t="str">
        <f t="shared" si="12"/>
        <v/>
      </c>
      <c r="D241" s="211"/>
      <c r="E241" s="420" t="s">
        <v>163</v>
      </c>
      <c r="F241" s="209"/>
      <c r="G241" s="148"/>
      <c r="H241" s="422" t="s">
        <v>1095</v>
      </c>
      <c r="I241" s="423">
        <f>SupplychainTier2[[#This Row],[Spend for which Tier 2 method accounts]]</f>
        <v>0</v>
      </c>
      <c r="J241" s="423" t="s">
        <v>1095</v>
      </c>
      <c r="K241" s="423" t="str">
        <f>IFERROR(SupplychainTier2[[#This Row],[Calculated emissions (kgCO2e) for this spend]]/SupplychainTier2[[#This Row],[Spend for which Tier 2 method accounts]],"")</f>
        <v/>
      </c>
      <c r="L241" s="442"/>
      <c r="M241" s="201"/>
      <c r="N241" s="201"/>
      <c r="O241" s="255">
        <v>0</v>
      </c>
      <c r="P241" s="255">
        <v>0</v>
      </c>
      <c r="Q241" s="255">
        <f>SupplychainTier2[[#This Row],[Calculated emissions (kgCO2e) for this spend]]</f>
        <v>0</v>
      </c>
      <c r="R241" s="255">
        <v>0</v>
      </c>
      <c r="S241" s="255">
        <v>0</v>
      </c>
      <c r="T241" s="387" t="str">
        <f>IF(SupplychainTier2[[#This Row],[Calculated emissions (kgCO2e) for this spend]]="","",(SupplychainTier2[[#This Row],[Calculated emissions (kgCO2e) for this spend]]*(1+SupplychainTier2[[#This Row],[RSD]])))</f>
        <v/>
      </c>
      <c r="U241" s="387" t="str">
        <f>IF(SupplychainTier2[[#This Row],[Calculated emissions (kgCO2e) for this spend]]="","",(SupplychainTier2[[#This Row],[Calculated emissions (kgCO2e) for this spend]]*(1-SupplychainTier2[[#This Row],[RSD]])))</f>
        <v/>
      </c>
      <c r="V241" s="255">
        <v>0</v>
      </c>
    </row>
    <row r="242" spans="2:22" ht="15" thickBot="1" x14ac:dyDescent="0.4">
      <c r="B242" s="173" t="str">
        <f t="shared" si="11"/>
        <v/>
      </c>
      <c r="C242" s="285" t="str">
        <f t="shared" si="12"/>
        <v/>
      </c>
      <c r="D242" s="211"/>
      <c r="E242" s="420" t="s">
        <v>163</v>
      </c>
      <c r="F242" s="209"/>
      <c r="G242" s="148"/>
      <c r="H242" s="422" t="s">
        <v>1095</v>
      </c>
      <c r="I242" s="423">
        <f>SupplychainTier2[[#This Row],[Spend for which Tier 2 method accounts]]</f>
        <v>0</v>
      </c>
      <c r="J242" s="423" t="s">
        <v>1095</v>
      </c>
      <c r="K242" s="423" t="str">
        <f>IFERROR(SupplychainTier2[[#This Row],[Calculated emissions (kgCO2e) for this spend]]/SupplychainTier2[[#This Row],[Spend for which Tier 2 method accounts]],"")</f>
        <v/>
      </c>
      <c r="L242" s="442"/>
      <c r="M242" s="201"/>
      <c r="N242" s="201"/>
      <c r="O242" s="255">
        <v>0</v>
      </c>
      <c r="P242" s="255">
        <v>0</v>
      </c>
      <c r="Q242" s="255">
        <f>SupplychainTier2[[#This Row],[Calculated emissions (kgCO2e) for this spend]]</f>
        <v>0</v>
      </c>
      <c r="R242" s="255">
        <v>0</v>
      </c>
      <c r="S242" s="255">
        <v>0</v>
      </c>
      <c r="T242" s="387" t="str">
        <f>IF(SupplychainTier2[[#This Row],[Calculated emissions (kgCO2e) for this spend]]="","",(SupplychainTier2[[#This Row],[Calculated emissions (kgCO2e) for this spend]]*(1+SupplychainTier2[[#This Row],[RSD]])))</f>
        <v/>
      </c>
      <c r="U242" s="387" t="str">
        <f>IF(SupplychainTier2[[#This Row],[Calculated emissions (kgCO2e) for this spend]]="","",(SupplychainTier2[[#This Row],[Calculated emissions (kgCO2e) for this spend]]*(1-SupplychainTier2[[#This Row],[RSD]])))</f>
        <v/>
      </c>
      <c r="V242" s="255">
        <v>0</v>
      </c>
    </row>
    <row r="243" spans="2:22" ht="15" thickBot="1" x14ac:dyDescent="0.4">
      <c r="B243" s="173" t="str">
        <f t="shared" si="11"/>
        <v/>
      </c>
      <c r="C243" s="285" t="str">
        <f t="shared" si="12"/>
        <v/>
      </c>
      <c r="D243" s="211"/>
      <c r="E243" s="420" t="s">
        <v>163</v>
      </c>
      <c r="F243" s="209"/>
      <c r="G243" s="148"/>
      <c r="H243" s="422" t="s">
        <v>1095</v>
      </c>
      <c r="I243" s="423">
        <f>SupplychainTier2[[#This Row],[Spend for which Tier 2 method accounts]]</f>
        <v>0</v>
      </c>
      <c r="J243" s="423" t="s">
        <v>1095</v>
      </c>
      <c r="K243" s="423" t="str">
        <f>IFERROR(SupplychainTier2[[#This Row],[Calculated emissions (kgCO2e) for this spend]]/SupplychainTier2[[#This Row],[Spend for which Tier 2 method accounts]],"")</f>
        <v/>
      </c>
      <c r="L243" s="442"/>
      <c r="M243" s="201"/>
      <c r="N243" s="201"/>
      <c r="O243" s="255">
        <v>0</v>
      </c>
      <c r="P243" s="255">
        <v>0</v>
      </c>
      <c r="Q243" s="255">
        <f>SupplychainTier2[[#This Row],[Calculated emissions (kgCO2e) for this spend]]</f>
        <v>0</v>
      </c>
      <c r="R243" s="255">
        <v>0</v>
      </c>
      <c r="S243" s="255">
        <v>0</v>
      </c>
      <c r="T243" s="387" t="str">
        <f>IF(SupplychainTier2[[#This Row],[Calculated emissions (kgCO2e) for this spend]]="","",(SupplychainTier2[[#This Row],[Calculated emissions (kgCO2e) for this spend]]*(1+SupplychainTier2[[#This Row],[RSD]])))</f>
        <v/>
      </c>
      <c r="U243" s="387" t="str">
        <f>IF(SupplychainTier2[[#This Row],[Calculated emissions (kgCO2e) for this spend]]="","",(SupplychainTier2[[#This Row],[Calculated emissions (kgCO2e) for this spend]]*(1-SupplychainTier2[[#This Row],[RSD]])))</f>
        <v/>
      </c>
      <c r="V243" s="255">
        <v>0</v>
      </c>
    </row>
    <row r="244" spans="2:22" ht="15" thickBot="1" x14ac:dyDescent="0.4">
      <c r="B244" s="173" t="str">
        <f t="shared" si="11"/>
        <v/>
      </c>
      <c r="C244" s="285" t="str">
        <f t="shared" si="12"/>
        <v/>
      </c>
      <c r="D244" s="211"/>
      <c r="E244" s="420" t="s">
        <v>163</v>
      </c>
      <c r="F244" s="209"/>
      <c r="G244" s="148"/>
      <c r="H244" s="422" t="s">
        <v>1095</v>
      </c>
      <c r="I244" s="423">
        <f>SupplychainTier2[[#This Row],[Spend for which Tier 2 method accounts]]</f>
        <v>0</v>
      </c>
      <c r="J244" s="423" t="s">
        <v>1095</v>
      </c>
      <c r="K244" s="423" t="str">
        <f>IFERROR(SupplychainTier2[[#This Row],[Calculated emissions (kgCO2e) for this spend]]/SupplychainTier2[[#This Row],[Spend for which Tier 2 method accounts]],"")</f>
        <v/>
      </c>
      <c r="L244" s="442"/>
      <c r="M244" s="201"/>
      <c r="N244" s="201"/>
      <c r="O244" s="255">
        <v>0</v>
      </c>
      <c r="P244" s="255">
        <v>0</v>
      </c>
      <c r="Q244" s="255">
        <f>SupplychainTier2[[#This Row],[Calculated emissions (kgCO2e) for this spend]]</f>
        <v>0</v>
      </c>
      <c r="R244" s="255">
        <v>0</v>
      </c>
      <c r="S244" s="255">
        <v>0</v>
      </c>
      <c r="T244" s="387" t="str">
        <f>IF(SupplychainTier2[[#This Row],[Calculated emissions (kgCO2e) for this spend]]="","",(SupplychainTier2[[#This Row],[Calculated emissions (kgCO2e) for this spend]]*(1+SupplychainTier2[[#This Row],[RSD]])))</f>
        <v/>
      </c>
      <c r="U244" s="387" t="str">
        <f>IF(SupplychainTier2[[#This Row],[Calculated emissions (kgCO2e) for this spend]]="","",(SupplychainTier2[[#This Row],[Calculated emissions (kgCO2e) for this spend]]*(1-SupplychainTier2[[#This Row],[RSD]])))</f>
        <v/>
      </c>
      <c r="V244" s="255">
        <v>0</v>
      </c>
    </row>
    <row r="245" spans="2:22" ht="15" thickBot="1" x14ac:dyDescent="0.4">
      <c r="B245" s="173" t="str">
        <f t="shared" si="11"/>
        <v/>
      </c>
      <c r="C245" s="285" t="str">
        <f t="shared" si="12"/>
        <v/>
      </c>
      <c r="D245" s="211"/>
      <c r="E245" s="420" t="s">
        <v>163</v>
      </c>
      <c r="F245" s="209"/>
      <c r="G245" s="148"/>
      <c r="H245" s="422" t="s">
        <v>1095</v>
      </c>
      <c r="I245" s="423">
        <f>SupplychainTier2[[#This Row],[Spend for which Tier 2 method accounts]]</f>
        <v>0</v>
      </c>
      <c r="J245" s="423" t="s">
        <v>1095</v>
      </c>
      <c r="K245" s="423" t="str">
        <f>IFERROR(SupplychainTier2[[#This Row],[Calculated emissions (kgCO2e) for this spend]]/SupplychainTier2[[#This Row],[Spend for which Tier 2 method accounts]],"")</f>
        <v/>
      </c>
      <c r="L245" s="442"/>
      <c r="M245" s="201"/>
      <c r="N245" s="201"/>
      <c r="O245" s="255">
        <v>0</v>
      </c>
      <c r="P245" s="255">
        <v>0</v>
      </c>
      <c r="Q245" s="255">
        <f>SupplychainTier2[[#This Row],[Calculated emissions (kgCO2e) for this spend]]</f>
        <v>0</v>
      </c>
      <c r="R245" s="255">
        <v>0</v>
      </c>
      <c r="S245" s="255">
        <v>0</v>
      </c>
      <c r="T245" s="387" t="str">
        <f>IF(SupplychainTier2[[#This Row],[Calculated emissions (kgCO2e) for this spend]]="","",(SupplychainTier2[[#This Row],[Calculated emissions (kgCO2e) for this spend]]*(1+SupplychainTier2[[#This Row],[RSD]])))</f>
        <v/>
      </c>
      <c r="U245" s="387" t="str">
        <f>IF(SupplychainTier2[[#This Row],[Calculated emissions (kgCO2e) for this spend]]="","",(SupplychainTier2[[#This Row],[Calculated emissions (kgCO2e) for this spend]]*(1-SupplychainTier2[[#This Row],[RSD]])))</f>
        <v/>
      </c>
      <c r="V245" s="255">
        <v>0</v>
      </c>
    </row>
    <row r="246" spans="2:22" ht="15" thickBot="1" x14ac:dyDescent="0.4">
      <c r="B246" s="173" t="str">
        <f t="shared" si="11"/>
        <v/>
      </c>
      <c r="C246" s="285" t="str">
        <f t="shared" si="12"/>
        <v/>
      </c>
      <c r="D246" s="211"/>
      <c r="E246" s="420" t="s">
        <v>163</v>
      </c>
      <c r="F246" s="209"/>
      <c r="G246" s="148"/>
      <c r="H246" s="422" t="s">
        <v>1095</v>
      </c>
      <c r="I246" s="423">
        <f>SupplychainTier2[[#This Row],[Spend for which Tier 2 method accounts]]</f>
        <v>0</v>
      </c>
      <c r="J246" s="423" t="s">
        <v>1095</v>
      </c>
      <c r="K246" s="423" t="str">
        <f>IFERROR(SupplychainTier2[[#This Row],[Calculated emissions (kgCO2e) for this spend]]/SupplychainTier2[[#This Row],[Spend for which Tier 2 method accounts]],"")</f>
        <v/>
      </c>
      <c r="L246" s="442"/>
      <c r="M246" s="201"/>
      <c r="N246" s="201"/>
      <c r="O246" s="255">
        <v>0</v>
      </c>
      <c r="P246" s="255">
        <v>0</v>
      </c>
      <c r="Q246" s="255">
        <f>SupplychainTier2[[#This Row],[Calculated emissions (kgCO2e) for this spend]]</f>
        <v>0</v>
      </c>
      <c r="R246" s="255">
        <v>0</v>
      </c>
      <c r="S246" s="255">
        <v>0</v>
      </c>
      <c r="T246" s="387" t="str">
        <f>IF(SupplychainTier2[[#This Row],[Calculated emissions (kgCO2e) for this spend]]="","",(SupplychainTier2[[#This Row],[Calculated emissions (kgCO2e) for this spend]]*(1+SupplychainTier2[[#This Row],[RSD]])))</f>
        <v/>
      </c>
      <c r="U246" s="387" t="str">
        <f>IF(SupplychainTier2[[#This Row],[Calculated emissions (kgCO2e) for this spend]]="","",(SupplychainTier2[[#This Row],[Calculated emissions (kgCO2e) for this spend]]*(1-SupplychainTier2[[#This Row],[RSD]])))</f>
        <v/>
      </c>
      <c r="V246" s="255">
        <v>0</v>
      </c>
    </row>
    <row r="247" spans="2:22" ht="15" thickBot="1" x14ac:dyDescent="0.4">
      <c r="B247" s="173" t="str">
        <f t="shared" si="11"/>
        <v/>
      </c>
      <c r="C247" s="285" t="str">
        <f t="shared" si="12"/>
        <v/>
      </c>
      <c r="D247" s="211"/>
      <c r="E247" s="420" t="s">
        <v>163</v>
      </c>
      <c r="F247" s="209"/>
      <c r="G247" s="148"/>
      <c r="H247" s="422" t="s">
        <v>1095</v>
      </c>
      <c r="I247" s="423">
        <f>SupplychainTier2[[#This Row],[Spend for which Tier 2 method accounts]]</f>
        <v>0</v>
      </c>
      <c r="J247" s="423" t="s">
        <v>1095</v>
      </c>
      <c r="K247" s="423" t="str">
        <f>IFERROR(SupplychainTier2[[#This Row],[Calculated emissions (kgCO2e) for this spend]]/SupplychainTier2[[#This Row],[Spend for which Tier 2 method accounts]],"")</f>
        <v/>
      </c>
      <c r="L247" s="442"/>
      <c r="M247" s="201"/>
      <c r="N247" s="201"/>
      <c r="O247" s="255">
        <v>0</v>
      </c>
      <c r="P247" s="255">
        <v>0</v>
      </c>
      <c r="Q247" s="255">
        <f>SupplychainTier2[[#This Row],[Calculated emissions (kgCO2e) for this spend]]</f>
        <v>0</v>
      </c>
      <c r="R247" s="255">
        <v>0</v>
      </c>
      <c r="S247" s="255">
        <v>0</v>
      </c>
      <c r="T247" s="387" t="str">
        <f>IF(SupplychainTier2[[#This Row],[Calculated emissions (kgCO2e) for this spend]]="","",(SupplychainTier2[[#This Row],[Calculated emissions (kgCO2e) for this spend]]*(1+SupplychainTier2[[#This Row],[RSD]])))</f>
        <v/>
      </c>
      <c r="U247" s="387" t="str">
        <f>IF(SupplychainTier2[[#This Row],[Calculated emissions (kgCO2e) for this spend]]="","",(SupplychainTier2[[#This Row],[Calculated emissions (kgCO2e) for this spend]]*(1-SupplychainTier2[[#This Row],[RSD]])))</f>
        <v/>
      </c>
      <c r="V247" s="255">
        <v>0</v>
      </c>
    </row>
    <row r="248" spans="2:22" ht="15" thickBot="1" x14ac:dyDescent="0.4">
      <c r="B248" s="173" t="str">
        <f t="shared" si="11"/>
        <v/>
      </c>
      <c r="C248" s="285" t="str">
        <f t="shared" si="12"/>
        <v/>
      </c>
      <c r="D248" s="211"/>
      <c r="E248" s="420" t="s">
        <v>163</v>
      </c>
      <c r="F248" s="209"/>
      <c r="G248" s="148"/>
      <c r="H248" s="422" t="s">
        <v>1095</v>
      </c>
      <c r="I248" s="423">
        <f>SupplychainTier2[[#This Row],[Spend for which Tier 2 method accounts]]</f>
        <v>0</v>
      </c>
      <c r="J248" s="423" t="s">
        <v>1095</v>
      </c>
      <c r="K248" s="423" t="str">
        <f>IFERROR(SupplychainTier2[[#This Row],[Calculated emissions (kgCO2e) for this spend]]/SupplychainTier2[[#This Row],[Spend for which Tier 2 method accounts]],"")</f>
        <v/>
      </c>
      <c r="L248" s="442"/>
      <c r="M248" s="201"/>
      <c r="N248" s="201"/>
      <c r="O248" s="255">
        <v>0</v>
      </c>
      <c r="P248" s="255">
        <v>0</v>
      </c>
      <c r="Q248" s="255">
        <f>SupplychainTier2[[#This Row],[Calculated emissions (kgCO2e) for this spend]]</f>
        <v>0</v>
      </c>
      <c r="R248" s="255">
        <v>0</v>
      </c>
      <c r="S248" s="255">
        <v>0</v>
      </c>
      <c r="T248" s="387" t="str">
        <f>IF(SupplychainTier2[[#This Row],[Calculated emissions (kgCO2e) for this spend]]="","",(SupplychainTier2[[#This Row],[Calculated emissions (kgCO2e) for this spend]]*(1+SupplychainTier2[[#This Row],[RSD]])))</f>
        <v/>
      </c>
      <c r="U248" s="387" t="str">
        <f>IF(SupplychainTier2[[#This Row],[Calculated emissions (kgCO2e) for this spend]]="","",(SupplychainTier2[[#This Row],[Calculated emissions (kgCO2e) for this spend]]*(1-SupplychainTier2[[#This Row],[RSD]])))</f>
        <v/>
      </c>
      <c r="V248" s="255">
        <v>0</v>
      </c>
    </row>
    <row r="249" spans="2:22" ht="15" thickBot="1" x14ac:dyDescent="0.4">
      <c r="B249" s="173" t="str">
        <f t="shared" si="11"/>
        <v/>
      </c>
      <c r="C249" s="285" t="str">
        <f t="shared" si="12"/>
        <v/>
      </c>
      <c r="D249" s="211"/>
      <c r="E249" s="420" t="s">
        <v>163</v>
      </c>
      <c r="F249" s="209"/>
      <c r="G249" s="148"/>
      <c r="H249" s="422" t="s">
        <v>1095</v>
      </c>
      <c r="I249" s="423">
        <f>SupplychainTier2[[#This Row],[Spend for which Tier 2 method accounts]]</f>
        <v>0</v>
      </c>
      <c r="J249" s="423" t="s">
        <v>1095</v>
      </c>
      <c r="K249" s="423" t="str">
        <f>IFERROR(SupplychainTier2[[#This Row],[Calculated emissions (kgCO2e) for this spend]]/SupplychainTier2[[#This Row],[Spend for which Tier 2 method accounts]],"")</f>
        <v/>
      </c>
      <c r="L249" s="442"/>
      <c r="M249" s="201"/>
      <c r="N249" s="201"/>
      <c r="O249" s="255">
        <v>0</v>
      </c>
      <c r="P249" s="255">
        <v>0</v>
      </c>
      <c r="Q249" s="255">
        <f>SupplychainTier2[[#This Row],[Calculated emissions (kgCO2e) for this spend]]</f>
        <v>0</v>
      </c>
      <c r="R249" s="255">
        <v>0</v>
      </c>
      <c r="S249" s="255">
        <v>0</v>
      </c>
      <c r="T249" s="387" t="str">
        <f>IF(SupplychainTier2[[#This Row],[Calculated emissions (kgCO2e) for this spend]]="","",(SupplychainTier2[[#This Row],[Calculated emissions (kgCO2e) for this spend]]*(1+SupplychainTier2[[#This Row],[RSD]])))</f>
        <v/>
      </c>
      <c r="U249" s="387" t="str">
        <f>IF(SupplychainTier2[[#This Row],[Calculated emissions (kgCO2e) for this spend]]="","",(SupplychainTier2[[#This Row],[Calculated emissions (kgCO2e) for this spend]]*(1-SupplychainTier2[[#This Row],[RSD]])))</f>
        <v/>
      </c>
      <c r="V249" s="255">
        <v>0</v>
      </c>
    </row>
    <row r="250" spans="2:22" ht="15" thickBot="1" x14ac:dyDescent="0.4">
      <c r="B250" s="173" t="str">
        <f t="shared" si="11"/>
        <v/>
      </c>
      <c r="C250" s="285" t="str">
        <f t="shared" si="12"/>
        <v/>
      </c>
      <c r="D250" s="211"/>
      <c r="E250" s="420" t="s">
        <v>163</v>
      </c>
      <c r="F250" s="209"/>
      <c r="G250" s="148"/>
      <c r="H250" s="422" t="s">
        <v>1095</v>
      </c>
      <c r="I250" s="423">
        <f>SupplychainTier2[[#This Row],[Spend for which Tier 2 method accounts]]</f>
        <v>0</v>
      </c>
      <c r="J250" s="423" t="s">
        <v>1095</v>
      </c>
      <c r="K250" s="423" t="str">
        <f>IFERROR(SupplychainTier2[[#This Row],[Calculated emissions (kgCO2e) for this spend]]/SupplychainTier2[[#This Row],[Spend for which Tier 2 method accounts]],"")</f>
        <v/>
      </c>
      <c r="L250" s="442"/>
      <c r="M250" s="201"/>
      <c r="N250" s="201"/>
      <c r="O250" s="255">
        <v>0</v>
      </c>
      <c r="P250" s="255">
        <v>0</v>
      </c>
      <c r="Q250" s="255">
        <f>SupplychainTier2[[#This Row],[Calculated emissions (kgCO2e) for this spend]]</f>
        <v>0</v>
      </c>
      <c r="R250" s="255">
        <v>0</v>
      </c>
      <c r="S250" s="255">
        <v>0</v>
      </c>
      <c r="T250" s="387" t="str">
        <f>IF(SupplychainTier2[[#This Row],[Calculated emissions (kgCO2e) for this spend]]="","",(SupplychainTier2[[#This Row],[Calculated emissions (kgCO2e) for this spend]]*(1+SupplychainTier2[[#This Row],[RSD]])))</f>
        <v/>
      </c>
      <c r="U250" s="387" t="str">
        <f>IF(SupplychainTier2[[#This Row],[Calculated emissions (kgCO2e) for this spend]]="","",(SupplychainTier2[[#This Row],[Calculated emissions (kgCO2e) for this spend]]*(1-SupplychainTier2[[#This Row],[RSD]])))</f>
        <v/>
      </c>
      <c r="V250" s="255">
        <v>0</v>
      </c>
    </row>
    <row r="251" spans="2:22" ht="15" thickBot="1" x14ac:dyDescent="0.4">
      <c r="B251" s="173" t="str">
        <f t="shared" ref="B251:B272" si="13">IFERROR(VLOOKUP(D251,SICProductCodeLookup,2,FALSE), "")</f>
        <v/>
      </c>
      <c r="C251" s="285" t="str">
        <f t="shared" ref="C251:C272" si="14">IFERROR((VLOOKUP(D251,SICProductCodeLookup,3,FALSE)), "")</f>
        <v/>
      </c>
      <c r="D251" s="211"/>
      <c r="E251" s="420" t="s">
        <v>163</v>
      </c>
      <c r="F251" s="209"/>
      <c r="G251" s="148"/>
      <c r="H251" s="422" t="s">
        <v>1095</v>
      </c>
      <c r="I251" s="423" t="e">
        <f>SupplychainTier2[[#This Row],[Spend for which Tier 2 method accounts]]</f>
        <v>#VALUE!</v>
      </c>
      <c r="J251" s="423" t="s">
        <v>1095</v>
      </c>
      <c r="K251" s="423" t="str">
        <f>IFERROR(SupplychainTier2[[#This Row],[Calculated emissions (kgCO2e) for this spend]]/SupplychainTier2[[#This Row],[Spend for which Tier 2 method accounts]],"")</f>
        <v/>
      </c>
      <c r="L251" s="442"/>
      <c r="M251" s="201"/>
      <c r="N251" s="201"/>
      <c r="O251" s="255">
        <v>0</v>
      </c>
      <c r="P251" s="255">
        <v>0</v>
      </c>
      <c r="Q251" s="255" t="e">
        <f>SupplychainTier2[[#This Row],[Calculated emissions (kgCO2e) for this spend]]</f>
        <v>#VALUE!</v>
      </c>
      <c r="R251" s="255">
        <v>0</v>
      </c>
      <c r="S251" s="255">
        <v>0</v>
      </c>
      <c r="T251" s="387" t="e">
        <f>IF(SupplychainTier2[[#This Row],[Calculated emissions (kgCO2e) for this spend]]="","",(SupplychainTier2[[#This Row],[Calculated emissions (kgCO2e) for this spend]]*(1+SupplychainTier2[[#This Row],[RSD]])))</f>
        <v>#VALUE!</v>
      </c>
      <c r="U251" s="387" t="e">
        <f>IF(SupplychainTier2[[#This Row],[Calculated emissions (kgCO2e) for this spend]]="","",(SupplychainTier2[[#This Row],[Calculated emissions (kgCO2e) for this spend]]*(1-SupplychainTier2[[#This Row],[RSD]])))</f>
        <v>#VALUE!</v>
      </c>
      <c r="V251" s="255">
        <v>0</v>
      </c>
    </row>
    <row r="252" spans="2:22" ht="15" thickBot="1" x14ac:dyDescent="0.4">
      <c r="B252" s="173" t="str">
        <f t="shared" si="13"/>
        <v/>
      </c>
      <c r="C252" s="285" t="str">
        <f t="shared" si="14"/>
        <v/>
      </c>
      <c r="D252" s="211"/>
      <c r="E252" s="420" t="s">
        <v>163</v>
      </c>
      <c r="F252" s="209"/>
      <c r="G252" s="148"/>
      <c r="H252" s="422" t="s">
        <v>1095</v>
      </c>
      <c r="I252" s="423" t="e">
        <f>SupplychainTier2[[#This Row],[Spend for which Tier 2 method accounts]]</f>
        <v>#VALUE!</v>
      </c>
      <c r="J252" s="423" t="s">
        <v>1095</v>
      </c>
      <c r="K252" s="423" t="str">
        <f>IFERROR(SupplychainTier2[[#This Row],[Calculated emissions (kgCO2e) for this spend]]/SupplychainTier2[[#This Row],[Spend for which Tier 2 method accounts]],"")</f>
        <v/>
      </c>
      <c r="L252" s="442"/>
      <c r="M252" s="201"/>
      <c r="N252" s="201"/>
      <c r="O252" s="255">
        <v>0</v>
      </c>
      <c r="P252" s="255">
        <v>0</v>
      </c>
      <c r="Q252" s="255" t="e">
        <f>SupplychainTier2[[#This Row],[Calculated emissions (kgCO2e) for this spend]]</f>
        <v>#VALUE!</v>
      </c>
      <c r="R252" s="255">
        <v>0</v>
      </c>
      <c r="S252" s="255">
        <v>0</v>
      </c>
      <c r="T252" s="387" t="e">
        <f>IF(SupplychainTier2[[#This Row],[Calculated emissions (kgCO2e) for this spend]]="","",(SupplychainTier2[[#This Row],[Calculated emissions (kgCO2e) for this spend]]*(1+SupplychainTier2[[#This Row],[RSD]])))</f>
        <v>#VALUE!</v>
      </c>
      <c r="U252" s="387" t="e">
        <f>IF(SupplychainTier2[[#This Row],[Calculated emissions (kgCO2e) for this spend]]="","",(SupplychainTier2[[#This Row],[Calculated emissions (kgCO2e) for this spend]]*(1-SupplychainTier2[[#This Row],[RSD]])))</f>
        <v>#VALUE!</v>
      </c>
      <c r="V252" s="255">
        <v>0</v>
      </c>
    </row>
    <row r="253" spans="2:22" ht="15" thickBot="1" x14ac:dyDescent="0.4">
      <c r="B253" s="173" t="str">
        <f t="shared" si="13"/>
        <v/>
      </c>
      <c r="C253" s="285" t="str">
        <f t="shared" si="14"/>
        <v/>
      </c>
      <c r="D253" s="211"/>
      <c r="E253" s="420" t="s">
        <v>163</v>
      </c>
      <c r="F253" s="209"/>
      <c r="G253" s="148"/>
      <c r="H253" s="422" t="s">
        <v>1095</v>
      </c>
      <c r="I253" s="423" t="e">
        <f>SupplychainTier2[[#This Row],[Spend for which Tier 2 method accounts]]</f>
        <v>#VALUE!</v>
      </c>
      <c r="J253" s="423" t="s">
        <v>1095</v>
      </c>
      <c r="K253" s="423" t="str">
        <f>IFERROR(SupplychainTier2[[#This Row],[Calculated emissions (kgCO2e) for this spend]]/SupplychainTier2[[#This Row],[Spend for which Tier 2 method accounts]],"")</f>
        <v/>
      </c>
      <c r="L253" s="442"/>
      <c r="M253" s="201"/>
      <c r="N253" s="201"/>
      <c r="O253" s="255">
        <v>0</v>
      </c>
      <c r="P253" s="255">
        <v>0</v>
      </c>
      <c r="Q253" s="255" t="e">
        <f>SupplychainTier2[[#This Row],[Calculated emissions (kgCO2e) for this spend]]</f>
        <v>#VALUE!</v>
      </c>
      <c r="R253" s="255">
        <v>0</v>
      </c>
      <c r="S253" s="255">
        <v>0</v>
      </c>
      <c r="T253" s="387" t="e">
        <f>IF(SupplychainTier2[[#This Row],[Calculated emissions (kgCO2e) for this spend]]="","",(SupplychainTier2[[#This Row],[Calculated emissions (kgCO2e) for this spend]]*(1+SupplychainTier2[[#This Row],[RSD]])))</f>
        <v>#VALUE!</v>
      </c>
      <c r="U253" s="387" t="e">
        <f>IF(SupplychainTier2[[#This Row],[Calculated emissions (kgCO2e) for this spend]]="","",(SupplychainTier2[[#This Row],[Calculated emissions (kgCO2e) for this spend]]*(1-SupplychainTier2[[#This Row],[RSD]])))</f>
        <v>#VALUE!</v>
      </c>
      <c r="V253" s="255">
        <v>0</v>
      </c>
    </row>
    <row r="254" spans="2:22" ht="15" thickBot="1" x14ac:dyDescent="0.4">
      <c r="B254" s="173" t="str">
        <f t="shared" si="13"/>
        <v/>
      </c>
      <c r="C254" s="285" t="str">
        <f t="shared" si="14"/>
        <v/>
      </c>
      <c r="D254" s="211"/>
      <c r="E254" s="420" t="s">
        <v>163</v>
      </c>
      <c r="F254" s="209"/>
      <c r="G254" s="148"/>
      <c r="H254" s="422" t="s">
        <v>1095</v>
      </c>
      <c r="I254" s="423" t="e">
        <f>SupplychainTier2[[#This Row],[Spend for which Tier 2 method accounts]]</f>
        <v>#VALUE!</v>
      </c>
      <c r="J254" s="423" t="s">
        <v>1095</v>
      </c>
      <c r="K254" s="423" t="str">
        <f>IFERROR(SupplychainTier2[[#This Row],[Calculated emissions (kgCO2e) for this spend]]/SupplychainTier2[[#This Row],[Spend for which Tier 2 method accounts]],"")</f>
        <v/>
      </c>
      <c r="L254" s="442"/>
      <c r="M254" s="201"/>
      <c r="N254" s="201"/>
      <c r="O254" s="255">
        <v>0</v>
      </c>
      <c r="P254" s="255">
        <v>0</v>
      </c>
      <c r="Q254" s="255" t="e">
        <f>SupplychainTier2[[#This Row],[Calculated emissions (kgCO2e) for this spend]]</f>
        <v>#VALUE!</v>
      </c>
      <c r="R254" s="255">
        <v>0</v>
      </c>
      <c r="S254" s="255">
        <v>0</v>
      </c>
      <c r="T254" s="387" t="e">
        <f>IF(SupplychainTier2[[#This Row],[Calculated emissions (kgCO2e) for this spend]]="","",(SupplychainTier2[[#This Row],[Calculated emissions (kgCO2e) for this spend]]*(1+SupplychainTier2[[#This Row],[RSD]])))</f>
        <v>#VALUE!</v>
      </c>
      <c r="U254" s="387" t="e">
        <f>IF(SupplychainTier2[[#This Row],[Calculated emissions (kgCO2e) for this spend]]="","",(SupplychainTier2[[#This Row],[Calculated emissions (kgCO2e) for this spend]]*(1-SupplychainTier2[[#This Row],[RSD]])))</f>
        <v>#VALUE!</v>
      </c>
      <c r="V254" s="255">
        <v>0</v>
      </c>
    </row>
    <row r="255" spans="2:22" ht="15" thickBot="1" x14ac:dyDescent="0.4">
      <c r="B255" s="173" t="str">
        <f t="shared" si="13"/>
        <v/>
      </c>
      <c r="C255" s="285" t="str">
        <f t="shared" si="14"/>
        <v/>
      </c>
      <c r="D255" s="211"/>
      <c r="E255" s="420" t="s">
        <v>163</v>
      </c>
      <c r="F255" s="209"/>
      <c r="G255" s="148"/>
      <c r="H255" s="422" t="s">
        <v>1095</v>
      </c>
      <c r="I255" s="423" t="e">
        <f>SupplychainTier2[[#This Row],[Spend for which Tier 2 method accounts]]</f>
        <v>#VALUE!</v>
      </c>
      <c r="J255" s="423" t="s">
        <v>1095</v>
      </c>
      <c r="K255" s="423" t="str">
        <f>IFERROR(SupplychainTier2[[#This Row],[Calculated emissions (kgCO2e) for this spend]]/SupplychainTier2[[#This Row],[Spend for which Tier 2 method accounts]],"")</f>
        <v/>
      </c>
      <c r="L255" s="442"/>
      <c r="M255" s="201"/>
      <c r="N255" s="201"/>
      <c r="O255" s="255">
        <v>0</v>
      </c>
      <c r="P255" s="255">
        <v>0</v>
      </c>
      <c r="Q255" s="255" t="e">
        <f>SupplychainTier2[[#This Row],[Calculated emissions (kgCO2e) for this spend]]</f>
        <v>#VALUE!</v>
      </c>
      <c r="R255" s="255">
        <v>0</v>
      </c>
      <c r="S255" s="255">
        <v>0</v>
      </c>
      <c r="T255" s="387" t="e">
        <f>IF(SupplychainTier2[[#This Row],[Calculated emissions (kgCO2e) for this spend]]="","",(SupplychainTier2[[#This Row],[Calculated emissions (kgCO2e) for this spend]]*(1+SupplychainTier2[[#This Row],[RSD]])))</f>
        <v>#VALUE!</v>
      </c>
      <c r="U255" s="387" t="e">
        <f>IF(SupplychainTier2[[#This Row],[Calculated emissions (kgCO2e) for this spend]]="","",(SupplychainTier2[[#This Row],[Calculated emissions (kgCO2e) for this spend]]*(1-SupplychainTier2[[#This Row],[RSD]])))</f>
        <v>#VALUE!</v>
      </c>
      <c r="V255" s="255">
        <v>0</v>
      </c>
    </row>
    <row r="256" spans="2:22" ht="15" thickBot="1" x14ac:dyDescent="0.4">
      <c r="B256" s="173" t="str">
        <f t="shared" si="13"/>
        <v/>
      </c>
      <c r="C256" s="285" t="str">
        <f t="shared" si="14"/>
        <v/>
      </c>
      <c r="D256" s="211"/>
      <c r="E256" s="420" t="s">
        <v>163</v>
      </c>
      <c r="F256" s="209"/>
      <c r="G256" s="148"/>
      <c r="H256" s="422" t="s">
        <v>1095</v>
      </c>
      <c r="I256" s="423" t="e">
        <f>SupplychainTier2[[#This Row],[Spend for which Tier 2 method accounts]]</f>
        <v>#VALUE!</v>
      </c>
      <c r="J256" s="423" t="s">
        <v>1095</v>
      </c>
      <c r="K256" s="423" t="str">
        <f>IFERROR(SupplychainTier2[[#This Row],[Calculated emissions (kgCO2e) for this spend]]/SupplychainTier2[[#This Row],[Spend for which Tier 2 method accounts]],"")</f>
        <v/>
      </c>
      <c r="L256" s="442"/>
      <c r="M256" s="201"/>
      <c r="N256" s="201"/>
      <c r="O256" s="255">
        <v>0</v>
      </c>
      <c r="P256" s="255">
        <v>0</v>
      </c>
      <c r="Q256" s="255" t="e">
        <f>SupplychainTier2[[#This Row],[Calculated emissions (kgCO2e) for this spend]]</f>
        <v>#VALUE!</v>
      </c>
      <c r="R256" s="255">
        <v>0</v>
      </c>
      <c r="S256" s="255">
        <v>0</v>
      </c>
      <c r="T256" s="387" t="e">
        <f>IF(SupplychainTier2[[#This Row],[Calculated emissions (kgCO2e) for this spend]]="","",(SupplychainTier2[[#This Row],[Calculated emissions (kgCO2e) for this spend]]*(1+SupplychainTier2[[#This Row],[RSD]])))</f>
        <v>#VALUE!</v>
      </c>
      <c r="U256" s="387" t="e">
        <f>IF(SupplychainTier2[[#This Row],[Calculated emissions (kgCO2e) for this spend]]="","",(SupplychainTier2[[#This Row],[Calculated emissions (kgCO2e) for this spend]]*(1-SupplychainTier2[[#This Row],[RSD]])))</f>
        <v>#VALUE!</v>
      </c>
      <c r="V256" s="255">
        <v>0</v>
      </c>
    </row>
    <row r="257" spans="2:22" ht="15" thickBot="1" x14ac:dyDescent="0.4">
      <c r="B257" s="173" t="str">
        <f t="shared" si="13"/>
        <v/>
      </c>
      <c r="C257" s="285" t="str">
        <f t="shared" si="14"/>
        <v/>
      </c>
      <c r="D257" s="211"/>
      <c r="E257" s="420" t="s">
        <v>163</v>
      </c>
      <c r="F257" s="209"/>
      <c r="G257" s="148"/>
      <c r="H257" s="422" t="s">
        <v>1095</v>
      </c>
      <c r="I257" s="423" t="e">
        <f>SupplychainTier2[[#This Row],[Spend for which Tier 2 method accounts]]</f>
        <v>#VALUE!</v>
      </c>
      <c r="J257" s="423" t="s">
        <v>1095</v>
      </c>
      <c r="K257" s="423" t="str">
        <f>IFERROR(SupplychainTier2[[#This Row],[Calculated emissions (kgCO2e) for this spend]]/SupplychainTier2[[#This Row],[Spend for which Tier 2 method accounts]],"")</f>
        <v/>
      </c>
      <c r="L257" s="442"/>
      <c r="M257" s="201"/>
      <c r="N257" s="201"/>
      <c r="O257" s="255">
        <v>0</v>
      </c>
      <c r="P257" s="255">
        <v>0</v>
      </c>
      <c r="Q257" s="255" t="e">
        <f>SupplychainTier2[[#This Row],[Calculated emissions (kgCO2e) for this spend]]</f>
        <v>#VALUE!</v>
      </c>
      <c r="R257" s="255">
        <v>0</v>
      </c>
      <c r="S257" s="255">
        <v>0</v>
      </c>
      <c r="T257" s="387" t="e">
        <f>IF(SupplychainTier2[[#This Row],[Calculated emissions (kgCO2e) for this spend]]="","",(SupplychainTier2[[#This Row],[Calculated emissions (kgCO2e) for this spend]]*(1+SupplychainTier2[[#This Row],[RSD]])))</f>
        <v>#VALUE!</v>
      </c>
      <c r="U257" s="387" t="e">
        <f>IF(SupplychainTier2[[#This Row],[Calculated emissions (kgCO2e) for this spend]]="","",(SupplychainTier2[[#This Row],[Calculated emissions (kgCO2e) for this spend]]*(1-SupplychainTier2[[#This Row],[RSD]])))</f>
        <v>#VALUE!</v>
      </c>
      <c r="V257" s="255">
        <v>0</v>
      </c>
    </row>
    <row r="258" spans="2:22" ht="15" thickBot="1" x14ac:dyDescent="0.4">
      <c r="B258" s="173" t="str">
        <f t="shared" si="13"/>
        <v/>
      </c>
      <c r="C258" s="285" t="str">
        <f t="shared" si="14"/>
        <v/>
      </c>
      <c r="D258" s="211"/>
      <c r="E258" s="420" t="s">
        <v>163</v>
      </c>
      <c r="F258" s="209"/>
      <c r="G258" s="148"/>
      <c r="H258" s="422" t="s">
        <v>1095</v>
      </c>
      <c r="I258" s="423" t="e">
        <f>SupplychainTier2[[#This Row],[Spend for which Tier 2 method accounts]]</f>
        <v>#VALUE!</v>
      </c>
      <c r="J258" s="423" t="s">
        <v>1095</v>
      </c>
      <c r="K258" s="423" t="str">
        <f>IFERROR(SupplychainTier2[[#This Row],[Calculated emissions (kgCO2e) for this spend]]/SupplychainTier2[[#This Row],[Spend for which Tier 2 method accounts]],"")</f>
        <v/>
      </c>
      <c r="L258" s="442"/>
      <c r="M258" s="201"/>
      <c r="N258" s="201"/>
      <c r="O258" s="255">
        <v>0</v>
      </c>
      <c r="P258" s="255">
        <v>0</v>
      </c>
      <c r="Q258" s="255" t="e">
        <f>SupplychainTier2[[#This Row],[Calculated emissions (kgCO2e) for this spend]]</f>
        <v>#VALUE!</v>
      </c>
      <c r="R258" s="255">
        <v>0</v>
      </c>
      <c r="S258" s="255">
        <v>0</v>
      </c>
      <c r="T258" s="387" t="e">
        <f>IF(SupplychainTier2[[#This Row],[Calculated emissions (kgCO2e) for this spend]]="","",(SupplychainTier2[[#This Row],[Calculated emissions (kgCO2e) for this spend]]*(1+SupplychainTier2[[#This Row],[RSD]])))</f>
        <v>#VALUE!</v>
      </c>
      <c r="U258" s="387" t="e">
        <f>IF(SupplychainTier2[[#This Row],[Calculated emissions (kgCO2e) for this spend]]="","",(SupplychainTier2[[#This Row],[Calculated emissions (kgCO2e) for this spend]]*(1-SupplychainTier2[[#This Row],[RSD]])))</f>
        <v>#VALUE!</v>
      </c>
      <c r="V258" s="255">
        <v>0</v>
      </c>
    </row>
    <row r="259" spans="2:22" ht="15" thickBot="1" x14ac:dyDescent="0.4">
      <c r="B259" s="173" t="str">
        <f t="shared" si="13"/>
        <v/>
      </c>
      <c r="C259" s="285" t="str">
        <f t="shared" si="14"/>
        <v/>
      </c>
      <c r="D259" s="211"/>
      <c r="E259" s="420" t="s">
        <v>163</v>
      </c>
      <c r="F259" s="209"/>
      <c r="G259" s="148"/>
      <c r="H259" s="422" t="s">
        <v>1095</v>
      </c>
      <c r="I259" s="423" t="e">
        <f>SupplychainTier2[[#This Row],[Spend for which Tier 2 method accounts]]</f>
        <v>#VALUE!</v>
      </c>
      <c r="J259" s="423" t="s">
        <v>1095</v>
      </c>
      <c r="K259" s="423" t="str">
        <f>IFERROR(SupplychainTier2[[#This Row],[Calculated emissions (kgCO2e) for this spend]]/SupplychainTier2[[#This Row],[Spend for which Tier 2 method accounts]],"")</f>
        <v/>
      </c>
      <c r="L259" s="442"/>
      <c r="M259" s="201"/>
      <c r="N259" s="201"/>
      <c r="O259" s="255">
        <v>0</v>
      </c>
      <c r="P259" s="255">
        <v>0</v>
      </c>
      <c r="Q259" s="255" t="e">
        <f>SupplychainTier2[[#This Row],[Calculated emissions (kgCO2e) for this spend]]</f>
        <v>#VALUE!</v>
      </c>
      <c r="R259" s="255">
        <v>0</v>
      </c>
      <c r="S259" s="255">
        <v>0</v>
      </c>
      <c r="T259" s="387" t="e">
        <f>IF(SupplychainTier2[[#This Row],[Calculated emissions (kgCO2e) for this spend]]="","",(SupplychainTier2[[#This Row],[Calculated emissions (kgCO2e) for this spend]]*(1+SupplychainTier2[[#This Row],[RSD]])))</f>
        <v>#VALUE!</v>
      </c>
      <c r="U259" s="387" t="e">
        <f>IF(SupplychainTier2[[#This Row],[Calculated emissions (kgCO2e) for this spend]]="","",(SupplychainTier2[[#This Row],[Calculated emissions (kgCO2e) for this spend]]*(1-SupplychainTier2[[#This Row],[RSD]])))</f>
        <v>#VALUE!</v>
      </c>
      <c r="V259" s="255">
        <v>0</v>
      </c>
    </row>
    <row r="260" spans="2:22" ht="15" thickBot="1" x14ac:dyDescent="0.4">
      <c r="B260" s="173" t="str">
        <f t="shared" si="13"/>
        <v/>
      </c>
      <c r="C260" s="285" t="str">
        <f t="shared" si="14"/>
        <v/>
      </c>
      <c r="D260" s="211"/>
      <c r="E260" s="420" t="s">
        <v>163</v>
      </c>
      <c r="F260" s="209"/>
      <c r="G260" s="148"/>
      <c r="H260" s="422" t="s">
        <v>1095</v>
      </c>
      <c r="I260" s="423" t="e">
        <f>SupplychainTier2[[#This Row],[Spend for which Tier 2 method accounts]]</f>
        <v>#VALUE!</v>
      </c>
      <c r="J260" s="423" t="s">
        <v>1095</v>
      </c>
      <c r="K260" s="423" t="str">
        <f>IFERROR(SupplychainTier2[[#This Row],[Calculated emissions (kgCO2e) for this spend]]/SupplychainTier2[[#This Row],[Spend for which Tier 2 method accounts]],"")</f>
        <v/>
      </c>
      <c r="L260" s="442"/>
      <c r="M260" s="201"/>
      <c r="N260" s="201"/>
      <c r="O260" s="255">
        <v>0</v>
      </c>
      <c r="P260" s="255">
        <v>0</v>
      </c>
      <c r="Q260" s="255" t="e">
        <f>SupplychainTier2[[#This Row],[Calculated emissions (kgCO2e) for this spend]]</f>
        <v>#VALUE!</v>
      </c>
      <c r="R260" s="255">
        <v>0</v>
      </c>
      <c r="S260" s="255">
        <v>0</v>
      </c>
      <c r="T260" s="387" t="e">
        <f>IF(SupplychainTier2[[#This Row],[Calculated emissions (kgCO2e) for this spend]]="","",(SupplychainTier2[[#This Row],[Calculated emissions (kgCO2e) for this spend]]*(1+SupplychainTier2[[#This Row],[RSD]])))</f>
        <v>#VALUE!</v>
      </c>
      <c r="U260" s="387" t="e">
        <f>IF(SupplychainTier2[[#This Row],[Calculated emissions (kgCO2e) for this spend]]="","",(SupplychainTier2[[#This Row],[Calculated emissions (kgCO2e) for this spend]]*(1-SupplychainTier2[[#This Row],[RSD]])))</f>
        <v>#VALUE!</v>
      </c>
      <c r="V260" s="255">
        <v>0</v>
      </c>
    </row>
    <row r="261" spans="2:22" ht="15" thickBot="1" x14ac:dyDescent="0.4">
      <c r="B261" s="173" t="str">
        <f t="shared" si="13"/>
        <v/>
      </c>
      <c r="C261" s="285" t="str">
        <f t="shared" si="14"/>
        <v/>
      </c>
      <c r="D261" s="211"/>
      <c r="E261" s="420" t="s">
        <v>163</v>
      </c>
      <c r="F261" s="209"/>
      <c r="G261" s="148"/>
      <c r="H261" s="422" t="s">
        <v>1095</v>
      </c>
      <c r="I261" s="423" t="e">
        <f>SupplychainTier2[[#This Row],[Spend for which Tier 2 method accounts]]</f>
        <v>#VALUE!</v>
      </c>
      <c r="J261" s="423" t="s">
        <v>1095</v>
      </c>
      <c r="K261" s="423" t="str">
        <f>IFERROR(SupplychainTier2[[#This Row],[Calculated emissions (kgCO2e) for this spend]]/SupplychainTier2[[#This Row],[Spend for which Tier 2 method accounts]],"")</f>
        <v/>
      </c>
      <c r="L261" s="442"/>
      <c r="M261" s="201"/>
      <c r="N261" s="201"/>
      <c r="O261" s="255">
        <v>0</v>
      </c>
      <c r="P261" s="255">
        <v>0</v>
      </c>
      <c r="Q261" s="255" t="e">
        <f>SupplychainTier2[[#This Row],[Calculated emissions (kgCO2e) for this spend]]</f>
        <v>#VALUE!</v>
      </c>
      <c r="R261" s="255">
        <v>0</v>
      </c>
      <c r="S261" s="255">
        <v>0</v>
      </c>
      <c r="T261" s="387" t="e">
        <f>IF(SupplychainTier2[[#This Row],[Calculated emissions (kgCO2e) for this spend]]="","",(SupplychainTier2[[#This Row],[Calculated emissions (kgCO2e) for this spend]]*(1+SupplychainTier2[[#This Row],[RSD]])))</f>
        <v>#VALUE!</v>
      </c>
      <c r="U261" s="387" t="e">
        <f>IF(SupplychainTier2[[#This Row],[Calculated emissions (kgCO2e) for this spend]]="","",(SupplychainTier2[[#This Row],[Calculated emissions (kgCO2e) for this spend]]*(1-SupplychainTier2[[#This Row],[RSD]])))</f>
        <v>#VALUE!</v>
      </c>
      <c r="V261" s="255">
        <v>0</v>
      </c>
    </row>
    <row r="262" spans="2:22" ht="15" thickBot="1" x14ac:dyDescent="0.4">
      <c r="B262" s="173" t="str">
        <f t="shared" si="13"/>
        <v/>
      </c>
      <c r="C262" s="285" t="str">
        <f t="shared" si="14"/>
        <v/>
      </c>
      <c r="D262" s="211"/>
      <c r="E262" s="420" t="s">
        <v>163</v>
      </c>
      <c r="F262" s="209"/>
      <c r="G262" s="148"/>
      <c r="H262" s="422" t="s">
        <v>1095</v>
      </c>
      <c r="I262" s="423" t="e">
        <f>SupplychainTier2[[#This Row],[Spend for which Tier 2 method accounts]]</f>
        <v>#VALUE!</v>
      </c>
      <c r="J262" s="423" t="s">
        <v>1095</v>
      </c>
      <c r="K262" s="423" t="str">
        <f>IFERROR(SupplychainTier2[[#This Row],[Calculated emissions (kgCO2e) for this spend]]/SupplychainTier2[[#This Row],[Spend for which Tier 2 method accounts]],"")</f>
        <v/>
      </c>
      <c r="L262" s="442"/>
      <c r="M262" s="201"/>
      <c r="N262" s="201"/>
      <c r="O262" s="255">
        <v>0</v>
      </c>
      <c r="P262" s="255">
        <v>0</v>
      </c>
      <c r="Q262" s="255" t="e">
        <f>SupplychainTier2[[#This Row],[Calculated emissions (kgCO2e) for this spend]]</f>
        <v>#VALUE!</v>
      </c>
      <c r="R262" s="255">
        <v>0</v>
      </c>
      <c r="S262" s="255">
        <v>0</v>
      </c>
      <c r="T262" s="387" t="e">
        <f>IF(SupplychainTier2[[#This Row],[Calculated emissions (kgCO2e) for this spend]]="","",(SupplychainTier2[[#This Row],[Calculated emissions (kgCO2e) for this spend]]*(1+SupplychainTier2[[#This Row],[RSD]])))</f>
        <v>#VALUE!</v>
      </c>
      <c r="U262" s="387" t="e">
        <f>IF(SupplychainTier2[[#This Row],[Calculated emissions (kgCO2e) for this spend]]="","",(SupplychainTier2[[#This Row],[Calculated emissions (kgCO2e) for this spend]]*(1-SupplychainTier2[[#This Row],[RSD]])))</f>
        <v>#VALUE!</v>
      </c>
      <c r="V262" s="255">
        <v>0</v>
      </c>
    </row>
    <row r="263" spans="2:22" ht="15" thickBot="1" x14ac:dyDescent="0.4">
      <c r="B263" s="173" t="str">
        <f t="shared" si="13"/>
        <v/>
      </c>
      <c r="C263" s="285" t="str">
        <f t="shared" si="14"/>
        <v/>
      </c>
      <c r="D263" s="211"/>
      <c r="E263" s="420" t="s">
        <v>163</v>
      </c>
      <c r="F263" s="209"/>
      <c r="G263" s="148"/>
      <c r="H263" s="422" t="s">
        <v>1095</v>
      </c>
      <c r="I263" s="423" t="e">
        <f>SupplychainTier2[[#This Row],[Spend for which Tier 2 method accounts]]</f>
        <v>#VALUE!</v>
      </c>
      <c r="J263" s="423" t="s">
        <v>1095</v>
      </c>
      <c r="K263" s="423" t="str">
        <f>IFERROR(SupplychainTier2[[#This Row],[Calculated emissions (kgCO2e) for this spend]]/SupplychainTier2[[#This Row],[Spend for which Tier 2 method accounts]],"")</f>
        <v/>
      </c>
      <c r="L263" s="442"/>
      <c r="M263" s="201"/>
      <c r="N263" s="201"/>
      <c r="O263" s="255">
        <v>0</v>
      </c>
      <c r="P263" s="255">
        <v>0</v>
      </c>
      <c r="Q263" s="255" t="e">
        <f>SupplychainTier2[[#This Row],[Calculated emissions (kgCO2e) for this spend]]</f>
        <v>#VALUE!</v>
      </c>
      <c r="R263" s="255">
        <v>0</v>
      </c>
      <c r="S263" s="255">
        <v>0</v>
      </c>
      <c r="T263" s="387" t="e">
        <f>IF(SupplychainTier2[[#This Row],[Calculated emissions (kgCO2e) for this spend]]="","",(SupplychainTier2[[#This Row],[Calculated emissions (kgCO2e) for this spend]]*(1+SupplychainTier2[[#This Row],[RSD]])))</f>
        <v>#VALUE!</v>
      </c>
      <c r="U263" s="387" t="e">
        <f>IF(SupplychainTier2[[#This Row],[Calculated emissions (kgCO2e) for this spend]]="","",(SupplychainTier2[[#This Row],[Calculated emissions (kgCO2e) for this spend]]*(1-SupplychainTier2[[#This Row],[RSD]])))</f>
        <v>#VALUE!</v>
      </c>
      <c r="V263" s="255">
        <v>0</v>
      </c>
    </row>
    <row r="264" spans="2:22" ht="15" thickBot="1" x14ac:dyDescent="0.4">
      <c r="B264" s="173" t="str">
        <f t="shared" si="13"/>
        <v/>
      </c>
      <c r="C264" s="285" t="str">
        <f t="shared" si="14"/>
        <v/>
      </c>
      <c r="D264" s="211"/>
      <c r="E264" s="420" t="s">
        <v>163</v>
      </c>
      <c r="F264" s="209"/>
      <c r="G264" s="148"/>
      <c r="H264" s="422" t="s">
        <v>1095</v>
      </c>
      <c r="I264" s="423" t="e">
        <f>SupplychainTier2[[#This Row],[Spend for which Tier 2 method accounts]]</f>
        <v>#VALUE!</v>
      </c>
      <c r="J264" s="423" t="s">
        <v>1095</v>
      </c>
      <c r="K264" s="423" t="str">
        <f>IFERROR(SupplychainTier2[[#This Row],[Calculated emissions (kgCO2e) for this spend]]/SupplychainTier2[[#This Row],[Spend for which Tier 2 method accounts]],"")</f>
        <v/>
      </c>
      <c r="L264" s="442"/>
      <c r="M264" s="201"/>
      <c r="N264" s="201"/>
      <c r="O264" s="255">
        <v>0</v>
      </c>
      <c r="P264" s="255">
        <v>0</v>
      </c>
      <c r="Q264" s="255" t="e">
        <f>SupplychainTier2[[#This Row],[Calculated emissions (kgCO2e) for this spend]]</f>
        <v>#VALUE!</v>
      </c>
      <c r="R264" s="255">
        <v>0</v>
      </c>
      <c r="S264" s="255">
        <v>0</v>
      </c>
      <c r="T264" s="387" t="e">
        <f>IF(SupplychainTier2[[#This Row],[Calculated emissions (kgCO2e) for this spend]]="","",(SupplychainTier2[[#This Row],[Calculated emissions (kgCO2e) for this spend]]*(1+SupplychainTier2[[#This Row],[RSD]])))</f>
        <v>#VALUE!</v>
      </c>
      <c r="U264" s="387" t="e">
        <f>IF(SupplychainTier2[[#This Row],[Calculated emissions (kgCO2e) for this spend]]="","",(SupplychainTier2[[#This Row],[Calculated emissions (kgCO2e) for this spend]]*(1-SupplychainTier2[[#This Row],[RSD]])))</f>
        <v>#VALUE!</v>
      </c>
      <c r="V264" s="255">
        <v>0</v>
      </c>
    </row>
    <row r="265" spans="2:22" ht="15" thickBot="1" x14ac:dyDescent="0.4">
      <c r="B265" s="173" t="str">
        <f t="shared" si="13"/>
        <v/>
      </c>
      <c r="C265" s="285" t="str">
        <f t="shared" si="14"/>
        <v/>
      </c>
      <c r="D265" s="211"/>
      <c r="E265" s="420" t="s">
        <v>163</v>
      </c>
      <c r="F265" s="209"/>
      <c r="G265" s="148"/>
      <c r="H265" s="422" t="s">
        <v>1095</v>
      </c>
      <c r="I265" s="423" t="e">
        <f>SupplychainTier2[[#This Row],[Spend for which Tier 2 method accounts]]</f>
        <v>#VALUE!</v>
      </c>
      <c r="J265" s="423" t="s">
        <v>1095</v>
      </c>
      <c r="K265" s="423" t="str">
        <f>IFERROR(SupplychainTier2[[#This Row],[Calculated emissions (kgCO2e) for this spend]]/SupplychainTier2[[#This Row],[Spend for which Tier 2 method accounts]],"")</f>
        <v/>
      </c>
      <c r="L265" s="442"/>
      <c r="M265" s="201"/>
      <c r="N265" s="201"/>
      <c r="O265" s="255">
        <v>0</v>
      </c>
      <c r="P265" s="255">
        <v>0</v>
      </c>
      <c r="Q265" s="255" t="e">
        <f>SupplychainTier2[[#This Row],[Calculated emissions (kgCO2e) for this spend]]</f>
        <v>#VALUE!</v>
      </c>
      <c r="R265" s="255">
        <v>0</v>
      </c>
      <c r="S265" s="255">
        <v>0</v>
      </c>
      <c r="T265" s="387" t="e">
        <f>IF(SupplychainTier2[[#This Row],[Calculated emissions (kgCO2e) for this spend]]="","",(SupplychainTier2[[#This Row],[Calculated emissions (kgCO2e) for this spend]]*(1+SupplychainTier2[[#This Row],[RSD]])))</f>
        <v>#VALUE!</v>
      </c>
      <c r="U265" s="387" t="e">
        <f>IF(SupplychainTier2[[#This Row],[Calculated emissions (kgCO2e) for this spend]]="","",(SupplychainTier2[[#This Row],[Calculated emissions (kgCO2e) for this spend]]*(1-SupplychainTier2[[#This Row],[RSD]])))</f>
        <v>#VALUE!</v>
      </c>
      <c r="V265" s="255">
        <v>0</v>
      </c>
    </row>
    <row r="266" spans="2:22" ht="15" thickBot="1" x14ac:dyDescent="0.4">
      <c r="B266" s="173" t="str">
        <f t="shared" si="13"/>
        <v/>
      </c>
      <c r="C266" s="285" t="str">
        <f t="shared" si="14"/>
        <v/>
      </c>
      <c r="D266" s="211"/>
      <c r="E266" s="420" t="s">
        <v>163</v>
      </c>
      <c r="F266" s="209"/>
      <c r="G266" s="148"/>
      <c r="H266" s="422" t="s">
        <v>1095</v>
      </c>
      <c r="I266" s="423" t="e">
        <f>SupplychainTier2[[#This Row],[Spend for which Tier 2 method accounts]]</f>
        <v>#VALUE!</v>
      </c>
      <c r="J266" s="423" t="s">
        <v>1095</v>
      </c>
      <c r="K266" s="423" t="str">
        <f>IFERROR(SupplychainTier2[[#This Row],[Calculated emissions (kgCO2e) for this spend]]/SupplychainTier2[[#This Row],[Spend for which Tier 2 method accounts]],"")</f>
        <v/>
      </c>
      <c r="L266" s="442"/>
      <c r="M266" s="201"/>
      <c r="N266" s="201"/>
      <c r="O266" s="255">
        <v>0</v>
      </c>
      <c r="P266" s="255">
        <v>0</v>
      </c>
      <c r="Q266" s="255" t="e">
        <f>SupplychainTier2[[#This Row],[Calculated emissions (kgCO2e) for this spend]]</f>
        <v>#VALUE!</v>
      </c>
      <c r="R266" s="255">
        <v>0</v>
      </c>
      <c r="S266" s="255">
        <v>0</v>
      </c>
      <c r="T266" s="387" t="e">
        <f>IF(SupplychainTier2[[#This Row],[Calculated emissions (kgCO2e) for this spend]]="","",(SupplychainTier2[[#This Row],[Calculated emissions (kgCO2e) for this spend]]*(1+SupplychainTier2[[#This Row],[RSD]])))</f>
        <v>#VALUE!</v>
      </c>
      <c r="U266" s="387" t="e">
        <f>IF(SupplychainTier2[[#This Row],[Calculated emissions (kgCO2e) for this spend]]="","",(SupplychainTier2[[#This Row],[Calculated emissions (kgCO2e) for this spend]]*(1-SupplychainTier2[[#This Row],[RSD]])))</f>
        <v>#VALUE!</v>
      </c>
      <c r="V266" s="255">
        <v>0</v>
      </c>
    </row>
    <row r="267" spans="2:22" ht="15" thickBot="1" x14ac:dyDescent="0.4">
      <c r="B267" s="173" t="str">
        <f t="shared" si="13"/>
        <v/>
      </c>
      <c r="C267" s="285" t="str">
        <f t="shared" si="14"/>
        <v/>
      </c>
      <c r="D267" s="211"/>
      <c r="E267" s="420" t="s">
        <v>163</v>
      </c>
      <c r="F267" s="209"/>
      <c r="G267" s="148"/>
      <c r="H267" s="422" t="s">
        <v>1095</v>
      </c>
      <c r="I267" s="423" t="e">
        <f>SupplychainTier2[[#This Row],[Spend for which Tier 2 method accounts]]</f>
        <v>#VALUE!</v>
      </c>
      <c r="J267" s="423" t="s">
        <v>1095</v>
      </c>
      <c r="K267" s="423" t="str">
        <f>IFERROR(SupplychainTier2[[#This Row],[Calculated emissions (kgCO2e) for this spend]]/SupplychainTier2[[#This Row],[Spend for which Tier 2 method accounts]],"")</f>
        <v/>
      </c>
      <c r="L267" s="442"/>
      <c r="M267" s="201"/>
      <c r="N267" s="201"/>
      <c r="O267" s="255">
        <v>0</v>
      </c>
      <c r="P267" s="255">
        <v>0</v>
      </c>
      <c r="Q267" s="255" t="e">
        <f>SupplychainTier2[[#This Row],[Calculated emissions (kgCO2e) for this spend]]</f>
        <v>#VALUE!</v>
      </c>
      <c r="R267" s="255">
        <v>0</v>
      </c>
      <c r="S267" s="255">
        <v>0</v>
      </c>
      <c r="T267" s="387" t="e">
        <f>IF(SupplychainTier2[[#This Row],[Calculated emissions (kgCO2e) for this spend]]="","",(SupplychainTier2[[#This Row],[Calculated emissions (kgCO2e) for this spend]]*(1+SupplychainTier2[[#This Row],[RSD]])))</f>
        <v>#VALUE!</v>
      </c>
      <c r="U267" s="387" t="e">
        <f>IF(SupplychainTier2[[#This Row],[Calculated emissions (kgCO2e) for this spend]]="","",(SupplychainTier2[[#This Row],[Calculated emissions (kgCO2e) for this spend]]*(1-SupplychainTier2[[#This Row],[RSD]])))</f>
        <v>#VALUE!</v>
      </c>
      <c r="V267" s="255">
        <v>0</v>
      </c>
    </row>
    <row r="268" spans="2:22" ht="15" thickBot="1" x14ac:dyDescent="0.4">
      <c r="B268" s="173" t="str">
        <f t="shared" si="13"/>
        <v/>
      </c>
      <c r="C268" s="285" t="str">
        <f t="shared" si="14"/>
        <v/>
      </c>
      <c r="D268" s="211"/>
      <c r="E268" s="420" t="s">
        <v>163</v>
      </c>
      <c r="F268" s="209"/>
      <c r="G268" s="148"/>
      <c r="H268" s="422" t="s">
        <v>1095</v>
      </c>
      <c r="I268" s="423" t="e">
        <f>SupplychainTier2[[#This Row],[Spend for which Tier 2 method accounts]]</f>
        <v>#VALUE!</v>
      </c>
      <c r="J268" s="423" t="s">
        <v>1095</v>
      </c>
      <c r="K268" s="423" t="str">
        <f>IFERROR(SupplychainTier2[[#This Row],[Calculated emissions (kgCO2e) for this spend]]/SupplychainTier2[[#This Row],[Spend for which Tier 2 method accounts]],"")</f>
        <v/>
      </c>
      <c r="L268" s="442"/>
      <c r="M268" s="201"/>
      <c r="N268" s="201"/>
      <c r="O268" s="255">
        <v>0</v>
      </c>
      <c r="P268" s="255">
        <v>0</v>
      </c>
      <c r="Q268" s="255" t="e">
        <f>SupplychainTier2[[#This Row],[Calculated emissions (kgCO2e) for this spend]]</f>
        <v>#VALUE!</v>
      </c>
      <c r="R268" s="255">
        <v>0</v>
      </c>
      <c r="S268" s="255">
        <v>0</v>
      </c>
      <c r="T268" s="387" t="e">
        <f>IF(SupplychainTier2[[#This Row],[Calculated emissions (kgCO2e) for this spend]]="","",(SupplychainTier2[[#This Row],[Calculated emissions (kgCO2e) for this spend]]*(1+SupplychainTier2[[#This Row],[RSD]])))</f>
        <v>#VALUE!</v>
      </c>
      <c r="U268" s="387" t="e">
        <f>IF(SupplychainTier2[[#This Row],[Calculated emissions (kgCO2e) for this spend]]="","",(SupplychainTier2[[#This Row],[Calculated emissions (kgCO2e) for this spend]]*(1-SupplychainTier2[[#This Row],[RSD]])))</f>
        <v>#VALUE!</v>
      </c>
      <c r="V268" s="255">
        <v>0</v>
      </c>
    </row>
    <row r="269" spans="2:22" ht="15" thickBot="1" x14ac:dyDescent="0.4">
      <c r="B269" s="173" t="str">
        <f t="shared" si="13"/>
        <v/>
      </c>
      <c r="C269" s="285" t="str">
        <f t="shared" si="14"/>
        <v/>
      </c>
      <c r="D269" s="211"/>
      <c r="E269" s="420" t="s">
        <v>163</v>
      </c>
      <c r="F269" s="209"/>
      <c r="G269" s="148"/>
      <c r="H269" s="422" t="s">
        <v>1095</v>
      </c>
      <c r="I269" s="423" t="e">
        <f>SupplychainTier2[[#This Row],[Spend for which Tier 2 method accounts]]</f>
        <v>#VALUE!</v>
      </c>
      <c r="J269" s="423" t="s">
        <v>1095</v>
      </c>
      <c r="K269" s="423" t="str">
        <f>IFERROR(SupplychainTier2[[#This Row],[Calculated emissions (kgCO2e) for this spend]]/SupplychainTier2[[#This Row],[Spend for which Tier 2 method accounts]],"")</f>
        <v/>
      </c>
      <c r="L269" s="442"/>
      <c r="M269" s="201"/>
      <c r="N269" s="201"/>
      <c r="O269" s="255">
        <v>0</v>
      </c>
      <c r="P269" s="255">
        <v>0</v>
      </c>
      <c r="Q269" s="255" t="e">
        <f>SupplychainTier2[[#This Row],[Calculated emissions (kgCO2e) for this spend]]</f>
        <v>#VALUE!</v>
      </c>
      <c r="R269" s="255">
        <v>0</v>
      </c>
      <c r="S269" s="255">
        <v>0</v>
      </c>
      <c r="T269" s="387" t="e">
        <f>IF(SupplychainTier2[[#This Row],[Calculated emissions (kgCO2e) for this spend]]="","",(SupplychainTier2[[#This Row],[Calculated emissions (kgCO2e) for this spend]]*(1+SupplychainTier2[[#This Row],[RSD]])))</f>
        <v>#VALUE!</v>
      </c>
      <c r="U269" s="387" t="e">
        <f>IF(SupplychainTier2[[#This Row],[Calculated emissions (kgCO2e) for this spend]]="","",(SupplychainTier2[[#This Row],[Calculated emissions (kgCO2e) for this spend]]*(1-SupplychainTier2[[#This Row],[RSD]])))</f>
        <v>#VALUE!</v>
      </c>
      <c r="V269" s="255">
        <v>0</v>
      </c>
    </row>
    <row r="270" spans="2:22" ht="15" thickBot="1" x14ac:dyDescent="0.4">
      <c r="B270" s="173" t="str">
        <f t="shared" si="13"/>
        <v/>
      </c>
      <c r="C270" s="285" t="str">
        <f t="shared" si="14"/>
        <v/>
      </c>
      <c r="D270" s="211"/>
      <c r="E270" s="420" t="s">
        <v>163</v>
      </c>
      <c r="F270" s="209"/>
      <c r="G270" s="148"/>
      <c r="H270" s="422" t="s">
        <v>1095</v>
      </c>
      <c r="I270" s="423" t="e">
        <f>SupplychainTier2[[#This Row],[Spend for which Tier 2 method accounts]]</f>
        <v>#VALUE!</v>
      </c>
      <c r="J270" s="423" t="s">
        <v>1095</v>
      </c>
      <c r="K270" s="423" t="str">
        <f>IFERROR(SupplychainTier2[[#This Row],[Calculated emissions (kgCO2e) for this spend]]/SupplychainTier2[[#This Row],[Spend for which Tier 2 method accounts]],"")</f>
        <v/>
      </c>
      <c r="L270" s="442"/>
      <c r="M270" s="201"/>
      <c r="N270" s="201"/>
      <c r="O270" s="255">
        <v>0</v>
      </c>
      <c r="P270" s="255">
        <v>0</v>
      </c>
      <c r="Q270" s="255" t="e">
        <f>SupplychainTier2[[#This Row],[Calculated emissions (kgCO2e) for this spend]]</f>
        <v>#VALUE!</v>
      </c>
      <c r="R270" s="255">
        <v>0</v>
      </c>
      <c r="S270" s="255">
        <v>0</v>
      </c>
      <c r="T270" s="387" t="e">
        <f>IF(SupplychainTier2[[#This Row],[Calculated emissions (kgCO2e) for this spend]]="","",(SupplychainTier2[[#This Row],[Calculated emissions (kgCO2e) for this spend]]*(1+SupplychainTier2[[#This Row],[RSD]])))</f>
        <v>#VALUE!</v>
      </c>
      <c r="U270" s="387" t="e">
        <f>IF(SupplychainTier2[[#This Row],[Calculated emissions (kgCO2e) for this spend]]="","",(SupplychainTier2[[#This Row],[Calculated emissions (kgCO2e) for this spend]]*(1-SupplychainTier2[[#This Row],[RSD]])))</f>
        <v>#VALUE!</v>
      </c>
      <c r="V270" s="255">
        <v>0</v>
      </c>
    </row>
    <row r="271" spans="2:22" ht="15" thickBot="1" x14ac:dyDescent="0.4">
      <c r="B271" s="173" t="str">
        <f t="shared" si="13"/>
        <v/>
      </c>
      <c r="C271" s="285" t="str">
        <f t="shared" si="14"/>
        <v/>
      </c>
      <c r="D271" s="211"/>
      <c r="E271" s="420" t="s">
        <v>163</v>
      </c>
      <c r="F271" s="209"/>
      <c r="G271" s="148"/>
      <c r="H271" s="422" t="s">
        <v>1095</v>
      </c>
      <c r="I271" s="423" t="e">
        <f>SupplychainTier2[[#This Row],[Spend for which Tier 2 method accounts]]</f>
        <v>#VALUE!</v>
      </c>
      <c r="J271" s="423" t="s">
        <v>1095</v>
      </c>
      <c r="K271" s="423" t="str">
        <f>IFERROR(SupplychainTier2[[#This Row],[Calculated emissions (kgCO2e) for this spend]]/SupplychainTier2[[#This Row],[Spend for which Tier 2 method accounts]],"")</f>
        <v/>
      </c>
      <c r="L271" s="442"/>
      <c r="M271" s="201"/>
      <c r="N271" s="201"/>
      <c r="O271" s="255">
        <v>0</v>
      </c>
      <c r="P271" s="255">
        <v>0</v>
      </c>
      <c r="Q271" s="255" t="e">
        <f>SupplychainTier2[[#This Row],[Calculated emissions (kgCO2e) for this spend]]</f>
        <v>#VALUE!</v>
      </c>
      <c r="R271" s="255">
        <v>0</v>
      </c>
      <c r="S271" s="255">
        <v>0</v>
      </c>
      <c r="T271" s="387" t="e">
        <f>IF(SupplychainTier2[[#This Row],[Calculated emissions (kgCO2e) for this spend]]="","",(SupplychainTier2[[#This Row],[Calculated emissions (kgCO2e) for this spend]]*(1+SupplychainTier2[[#This Row],[RSD]])))</f>
        <v>#VALUE!</v>
      </c>
      <c r="U271" s="387" t="e">
        <f>IF(SupplychainTier2[[#This Row],[Calculated emissions (kgCO2e) for this spend]]="","",(SupplychainTier2[[#This Row],[Calculated emissions (kgCO2e) for this spend]]*(1-SupplychainTier2[[#This Row],[RSD]])))</f>
        <v>#VALUE!</v>
      </c>
      <c r="V271" s="255">
        <v>0</v>
      </c>
    </row>
    <row r="272" spans="2:22" ht="15" thickBot="1" x14ac:dyDescent="0.4">
      <c r="B272" s="173" t="str">
        <f t="shared" si="13"/>
        <v/>
      </c>
      <c r="C272" s="285" t="str">
        <f t="shared" si="14"/>
        <v/>
      </c>
      <c r="D272" s="211"/>
      <c r="E272" s="420" t="s">
        <v>163</v>
      </c>
      <c r="F272" s="209"/>
      <c r="G272" s="148"/>
      <c r="H272" s="422" t="s">
        <v>1095</v>
      </c>
      <c r="I272" s="423" t="e">
        <f>SupplychainTier2[[#This Row],[Spend for which Tier 2 method accounts]]</f>
        <v>#VALUE!</v>
      </c>
      <c r="J272" s="423" t="s">
        <v>1095</v>
      </c>
      <c r="K272" s="423" t="str">
        <f>IFERROR(SupplychainTier2[[#This Row],[Calculated emissions (kgCO2e) for this spend]]/SupplychainTier2[[#This Row],[Spend for which Tier 2 method accounts]],"")</f>
        <v/>
      </c>
      <c r="L272" s="442"/>
      <c r="M272" s="201"/>
      <c r="N272" s="201"/>
      <c r="O272" s="255">
        <v>0</v>
      </c>
      <c r="P272" s="255">
        <v>0</v>
      </c>
      <c r="Q272" s="255" t="e">
        <f>SupplychainTier2[[#This Row],[Calculated emissions (kgCO2e) for this spend]]</f>
        <v>#VALUE!</v>
      </c>
      <c r="R272" s="255">
        <v>0</v>
      </c>
      <c r="S272" s="255">
        <v>0</v>
      </c>
      <c r="T272" s="387" t="e">
        <f>IF(SupplychainTier2[[#This Row],[Calculated emissions (kgCO2e) for this spend]]="","",(SupplychainTier2[[#This Row],[Calculated emissions (kgCO2e) for this spend]]*(1+SupplychainTier2[[#This Row],[RSD]])))</f>
        <v>#VALUE!</v>
      </c>
      <c r="U272" s="387" t="e">
        <f>IF(SupplychainTier2[[#This Row],[Calculated emissions (kgCO2e) for this spend]]="","",(SupplychainTier2[[#This Row],[Calculated emissions (kgCO2e) for this spend]]*(1-SupplychainTier2[[#This Row],[RSD]])))</f>
        <v>#VALUE!</v>
      </c>
      <c r="V272" s="255">
        <v>0</v>
      </c>
    </row>
    <row r="273" spans="2:22" ht="15" thickBot="1" x14ac:dyDescent="0.4">
      <c r="B273" s="173" t="str">
        <f t="shared" ref="B273:B294" si="15">IFERROR(VLOOKUP(D273,SICProductCodeLookup,2,FALSE), "")</f>
        <v/>
      </c>
      <c r="C273" s="285" t="str">
        <f t="shared" ref="C273:C294" si="16">IFERROR((VLOOKUP(D273,SICProductCodeLookup,3,FALSE)), "")</f>
        <v/>
      </c>
      <c r="D273" s="211"/>
      <c r="E273" s="420" t="s">
        <v>163</v>
      </c>
      <c r="F273" s="209"/>
      <c r="G273" s="148"/>
      <c r="H273" s="422" t="s">
        <v>1095</v>
      </c>
      <c r="I273" s="423" t="e">
        <f>SupplychainTier2[[#This Row],[Spend for which Tier 2 method accounts]]</f>
        <v>#VALUE!</v>
      </c>
      <c r="J273" s="423" t="s">
        <v>1095</v>
      </c>
      <c r="K273" s="423" t="str">
        <f>IFERROR(SupplychainTier2[[#This Row],[Calculated emissions (kgCO2e) for this spend]]/SupplychainTier2[[#This Row],[Spend for which Tier 2 method accounts]],"")</f>
        <v/>
      </c>
      <c r="L273" s="442"/>
      <c r="M273" s="201"/>
      <c r="N273" s="201"/>
      <c r="O273" s="255">
        <v>0</v>
      </c>
      <c r="P273" s="255">
        <v>0</v>
      </c>
      <c r="Q273" s="255" t="e">
        <f>SupplychainTier2[[#This Row],[Calculated emissions (kgCO2e) for this spend]]</f>
        <v>#VALUE!</v>
      </c>
      <c r="R273" s="255">
        <v>0</v>
      </c>
      <c r="S273" s="255">
        <v>0</v>
      </c>
      <c r="T273" s="387" t="e">
        <f>IF(SupplychainTier2[[#This Row],[Calculated emissions (kgCO2e) for this spend]]="","",(SupplychainTier2[[#This Row],[Calculated emissions (kgCO2e) for this spend]]*(1+SupplychainTier2[[#This Row],[RSD]])))</f>
        <v>#VALUE!</v>
      </c>
      <c r="U273" s="387" t="e">
        <f>IF(SupplychainTier2[[#This Row],[Calculated emissions (kgCO2e) for this spend]]="","",(SupplychainTier2[[#This Row],[Calculated emissions (kgCO2e) for this spend]]*(1-SupplychainTier2[[#This Row],[RSD]])))</f>
        <v>#VALUE!</v>
      </c>
      <c r="V273" s="255">
        <v>0</v>
      </c>
    </row>
    <row r="274" spans="2:22" ht="15" thickBot="1" x14ac:dyDescent="0.4">
      <c r="B274" s="173" t="str">
        <f t="shared" si="15"/>
        <v/>
      </c>
      <c r="C274" s="285" t="str">
        <f t="shared" si="16"/>
        <v/>
      </c>
      <c r="D274" s="211"/>
      <c r="E274" s="420" t="s">
        <v>163</v>
      </c>
      <c r="F274" s="209"/>
      <c r="G274" s="148"/>
      <c r="H274" s="422" t="s">
        <v>1095</v>
      </c>
      <c r="I274" s="423" t="e">
        <f>SupplychainTier2[[#This Row],[Spend for which Tier 2 method accounts]]</f>
        <v>#VALUE!</v>
      </c>
      <c r="J274" s="423" t="s">
        <v>1095</v>
      </c>
      <c r="K274" s="423" t="str">
        <f>IFERROR(SupplychainTier2[[#This Row],[Calculated emissions (kgCO2e) for this spend]]/SupplychainTier2[[#This Row],[Spend for which Tier 2 method accounts]],"")</f>
        <v/>
      </c>
      <c r="L274" s="442"/>
      <c r="M274" s="201"/>
      <c r="N274" s="201"/>
      <c r="O274" s="255">
        <v>0</v>
      </c>
      <c r="P274" s="255">
        <v>0</v>
      </c>
      <c r="Q274" s="255" t="e">
        <f>SupplychainTier2[[#This Row],[Calculated emissions (kgCO2e) for this spend]]</f>
        <v>#VALUE!</v>
      </c>
      <c r="R274" s="255">
        <v>0</v>
      </c>
      <c r="S274" s="255">
        <v>0</v>
      </c>
      <c r="T274" s="387" t="e">
        <f>IF(SupplychainTier2[[#This Row],[Calculated emissions (kgCO2e) for this spend]]="","",(SupplychainTier2[[#This Row],[Calculated emissions (kgCO2e) for this spend]]*(1+SupplychainTier2[[#This Row],[RSD]])))</f>
        <v>#VALUE!</v>
      </c>
      <c r="U274" s="387" t="e">
        <f>IF(SupplychainTier2[[#This Row],[Calculated emissions (kgCO2e) for this spend]]="","",(SupplychainTier2[[#This Row],[Calculated emissions (kgCO2e) for this spend]]*(1-SupplychainTier2[[#This Row],[RSD]])))</f>
        <v>#VALUE!</v>
      </c>
      <c r="V274" s="255">
        <v>0</v>
      </c>
    </row>
    <row r="275" spans="2:22" ht="15" thickBot="1" x14ac:dyDescent="0.4">
      <c r="B275" s="173" t="str">
        <f t="shared" si="15"/>
        <v/>
      </c>
      <c r="C275" s="285" t="str">
        <f t="shared" si="16"/>
        <v/>
      </c>
      <c r="D275" s="211"/>
      <c r="E275" s="420" t="s">
        <v>163</v>
      </c>
      <c r="F275" s="209"/>
      <c r="G275" s="148"/>
      <c r="H275" s="422" t="s">
        <v>1095</v>
      </c>
      <c r="I275" s="423" t="e">
        <f>SupplychainTier2[[#This Row],[Spend for which Tier 2 method accounts]]</f>
        <v>#VALUE!</v>
      </c>
      <c r="J275" s="423" t="s">
        <v>1095</v>
      </c>
      <c r="K275" s="423" t="str">
        <f>IFERROR(SupplychainTier2[[#This Row],[Calculated emissions (kgCO2e) for this spend]]/SupplychainTier2[[#This Row],[Spend for which Tier 2 method accounts]],"")</f>
        <v/>
      </c>
      <c r="L275" s="442"/>
      <c r="M275" s="201"/>
      <c r="N275" s="201"/>
      <c r="O275" s="255">
        <v>0</v>
      </c>
      <c r="P275" s="255">
        <v>0</v>
      </c>
      <c r="Q275" s="255" t="e">
        <f>SupplychainTier2[[#This Row],[Calculated emissions (kgCO2e) for this spend]]</f>
        <v>#VALUE!</v>
      </c>
      <c r="R275" s="255">
        <v>0</v>
      </c>
      <c r="S275" s="255">
        <v>0</v>
      </c>
      <c r="T275" s="387" t="e">
        <f>IF(SupplychainTier2[[#This Row],[Calculated emissions (kgCO2e) for this spend]]="","",(SupplychainTier2[[#This Row],[Calculated emissions (kgCO2e) for this spend]]*(1+SupplychainTier2[[#This Row],[RSD]])))</f>
        <v>#VALUE!</v>
      </c>
      <c r="U275" s="387" t="e">
        <f>IF(SupplychainTier2[[#This Row],[Calculated emissions (kgCO2e) for this spend]]="","",(SupplychainTier2[[#This Row],[Calculated emissions (kgCO2e) for this spend]]*(1-SupplychainTier2[[#This Row],[RSD]])))</f>
        <v>#VALUE!</v>
      </c>
      <c r="V275" s="255">
        <v>0</v>
      </c>
    </row>
    <row r="276" spans="2:22" ht="15" thickBot="1" x14ac:dyDescent="0.4">
      <c r="B276" s="173" t="str">
        <f t="shared" si="15"/>
        <v/>
      </c>
      <c r="C276" s="285" t="str">
        <f t="shared" si="16"/>
        <v/>
      </c>
      <c r="D276" s="211"/>
      <c r="E276" s="420" t="s">
        <v>163</v>
      </c>
      <c r="F276" s="209"/>
      <c r="G276" s="148"/>
      <c r="H276" s="422" t="s">
        <v>1095</v>
      </c>
      <c r="I276" s="423" t="e">
        <f>SupplychainTier2[[#This Row],[Spend for which Tier 2 method accounts]]</f>
        <v>#VALUE!</v>
      </c>
      <c r="J276" s="423" t="s">
        <v>1095</v>
      </c>
      <c r="K276" s="423" t="str">
        <f>IFERROR(SupplychainTier2[[#This Row],[Calculated emissions (kgCO2e) for this spend]]/SupplychainTier2[[#This Row],[Spend for which Tier 2 method accounts]],"")</f>
        <v/>
      </c>
      <c r="L276" s="442"/>
      <c r="M276" s="201"/>
      <c r="N276" s="201"/>
      <c r="O276" s="255">
        <v>0</v>
      </c>
      <c r="P276" s="255">
        <v>0</v>
      </c>
      <c r="Q276" s="255" t="e">
        <f>SupplychainTier2[[#This Row],[Calculated emissions (kgCO2e) for this spend]]</f>
        <v>#VALUE!</v>
      </c>
      <c r="R276" s="255">
        <v>0</v>
      </c>
      <c r="S276" s="255">
        <v>0</v>
      </c>
      <c r="T276" s="387" t="e">
        <f>IF(SupplychainTier2[[#This Row],[Calculated emissions (kgCO2e) for this spend]]="","",(SupplychainTier2[[#This Row],[Calculated emissions (kgCO2e) for this spend]]*(1+SupplychainTier2[[#This Row],[RSD]])))</f>
        <v>#VALUE!</v>
      </c>
      <c r="U276" s="387" t="e">
        <f>IF(SupplychainTier2[[#This Row],[Calculated emissions (kgCO2e) for this spend]]="","",(SupplychainTier2[[#This Row],[Calculated emissions (kgCO2e) for this spend]]*(1-SupplychainTier2[[#This Row],[RSD]])))</f>
        <v>#VALUE!</v>
      </c>
      <c r="V276" s="255">
        <v>0</v>
      </c>
    </row>
    <row r="277" spans="2:22" ht="15" thickBot="1" x14ac:dyDescent="0.4">
      <c r="B277" s="173" t="str">
        <f t="shared" si="15"/>
        <v/>
      </c>
      <c r="C277" s="285" t="str">
        <f t="shared" si="16"/>
        <v/>
      </c>
      <c r="D277" s="211"/>
      <c r="E277" s="420" t="s">
        <v>163</v>
      </c>
      <c r="F277" s="209"/>
      <c r="G277" s="148"/>
      <c r="H277" s="422" t="s">
        <v>1095</v>
      </c>
      <c r="I277" s="423" t="e">
        <f>SupplychainTier2[[#This Row],[Spend for which Tier 2 method accounts]]</f>
        <v>#VALUE!</v>
      </c>
      <c r="J277" s="423" t="s">
        <v>1095</v>
      </c>
      <c r="K277" s="423" t="str">
        <f>IFERROR(SupplychainTier2[[#This Row],[Calculated emissions (kgCO2e) for this spend]]/SupplychainTier2[[#This Row],[Spend for which Tier 2 method accounts]],"")</f>
        <v/>
      </c>
      <c r="L277" s="442"/>
      <c r="M277" s="201"/>
      <c r="N277" s="201"/>
      <c r="O277" s="255">
        <v>0</v>
      </c>
      <c r="P277" s="255">
        <v>0</v>
      </c>
      <c r="Q277" s="255" t="e">
        <f>SupplychainTier2[[#This Row],[Calculated emissions (kgCO2e) for this spend]]</f>
        <v>#VALUE!</v>
      </c>
      <c r="R277" s="255">
        <v>0</v>
      </c>
      <c r="S277" s="255">
        <v>0</v>
      </c>
      <c r="T277" s="387" t="e">
        <f>IF(SupplychainTier2[[#This Row],[Calculated emissions (kgCO2e) for this spend]]="","",(SupplychainTier2[[#This Row],[Calculated emissions (kgCO2e) for this spend]]*(1+SupplychainTier2[[#This Row],[RSD]])))</f>
        <v>#VALUE!</v>
      </c>
      <c r="U277" s="387" t="e">
        <f>IF(SupplychainTier2[[#This Row],[Calculated emissions (kgCO2e) for this spend]]="","",(SupplychainTier2[[#This Row],[Calculated emissions (kgCO2e) for this spend]]*(1-SupplychainTier2[[#This Row],[RSD]])))</f>
        <v>#VALUE!</v>
      </c>
      <c r="V277" s="255">
        <v>0</v>
      </c>
    </row>
    <row r="278" spans="2:22" ht="15" thickBot="1" x14ac:dyDescent="0.4">
      <c r="B278" s="173" t="str">
        <f t="shared" si="15"/>
        <v/>
      </c>
      <c r="C278" s="285" t="str">
        <f t="shared" si="16"/>
        <v/>
      </c>
      <c r="D278" s="211"/>
      <c r="E278" s="420" t="s">
        <v>163</v>
      </c>
      <c r="F278" s="209"/>
      <c r="G278" s="148"/>
      <c r="H278" s="422" t="s">
        <v>1095</v>
      </c>
      <c r="I278" s="423" t="e">
        <f>SupplychainTier2[[#This Row],[Spend for which Tier 2 method accounts]]</f>
        <v>#VALUE!</v>
      </c>
      <c r="J278" s="423" t="s">
        <v>1095</v>
      </c>
      <c r="K278" s="423" t="str">
        <f>IFERROR(SupplychainTier2[[#This Row],[Calculated emissions (kgCO2e) for this spend]]/SupplychainTier2[[#This Row],[Spend for which Tier 2 method accounts]],"")</f>
        <v/>
      </c>
      <c r="L278" s="442"/>
      <c r="M278" s="201"/>
      <c r="N278" s="201"/>
      <c r="O278" s="255">
        <v>0</v>
      </c>
      <c r="P278" s="255">
        <v>0</v>
      </c>
      <c r="Q278" s="255" t="e">
        <f>SupplychainTier2[[#This Row],[Calculated emissions (kgCO2e) for this spend]]</f>
        <v>#VALUE!</v>
      </c>
      <c r="R278" s="255">
        <v>0</v>
      </c>
      <c r="S278" s="255">
        <v>0</v>
      </c>
      <c r="T278" s="387" t="e">
        <f>IF(SupplychainTier2[[#This Row],[Calculated emissions (kgCO2e) for this spend]]="","",(SupplychainTier2[[#This Row],[Calculated emissions (kgCO2e) for this spend]]*(1+SupplychainTier2[[#This Row],[RSD]])))</f>
        <v>#VALUE!</v>
      </c>
      <c r="U278" s="387" t="e">
        <f>IF(SupplychainTier2[[#This Row],[Calculated emissions (kgCO2e) for this spend]]="","",(SupplychainTier2[[#This Row],[Calculated emissions (kgCO2e) for this spend]]*(1-SupplychainTier2[[#This Row],[RSD]])))</f>
        <v>#VALUE!</v>
      </c>
      <c r="V278" s="255">
        <v>0</v>
      </c>
    </row>
    <row r="279" spans="2:22" ht="15" thickBot="1" x14ac:dyDescent="0.4">
      <c r="B279" s="173" t="str">
        <f t="shared" si="15"/>
        <v/>
      </c>
      <c r="C279" s="285" t="str">
        <f t="shared" si="16"/>
        <v/>
      </c>
      <c r="D279" s="211"/>
      <c r="E279" s="420" t="s">
        <v>163</v>
      </c>
      <c r="F279" s="209"/>
      <c r="G279" s="148"/>
      <c r="H279" s="422" t="s">
        <v>1095</v>
      </c>
      <c r="I279" s="423" t="e">
        <f>SupplychainTier2[[#This Row],[Spend for which Tier 2 method accounts]]</f>
        <v>#VALUE!</v>
      </c>
      <c r="J279" s="423" t="s">
        <v>1095</v>
      </c>
      <c r="K279" s="423" t="str">
        <f>IFERROR(SupplychainTier2[[#This Row],[Calculated emissions (kgCO2e) for this spend]]/SupplychainTier2[[#This Row],[Spend for which Tier 2 method accounts]],"")</f>
        <v/>
      </c>
      <c r="L279" s="442"/>
      <c r="M279" s="201"/>
      <c r="N279" s="201"/>
      <c r="O279" s="255">
        <v>0</v>
      </c>
      <c r="P279" s="255">
        <v>0</v>
      </c>
      <c r="Q279" s="255" t="e">
        <f>SupplychainTier2[[#This Row],[Calculated emissions (kgCO2e) for this spend]]</f>
        <v>#VALUE!</v>
      </c>
      <c r="R279" s="255">
        <v>0</v>
      </c>
      <c r="S279" s="255">
        <v>0</v>
      </c>
      <c r="T279" s="387" t="e">
        <f>IF(SupplychainTier2[[#This Row],[Calculated emissions (kgCO2e) for this spend]]="","",(SupplychainTier2[[#This Row],[Calculated emissions (kgCO2e) for this spend]]*(1+SupplychainTier2[[#This Row],[RSD]])))</f>
        <v>#VALUE!</v>
      </c>
      <c r="U279" s="387" t="e">
        <f>IF(SupplychainTier2[[#This Row],[Calculated emissions (kgCO2e) for this spend]]="","",(SupplychainTier2[[#This Row],[Calculated emissions (kgCO2e) for this spend]]*(1-SupplychainTier2[[#This Row],[RSD]])))</f>
        <v>#VALUE!</v>
      </c>
      <c r="V279" s="255">
        <v>0</v>
      </c>
    </row>
    <row r="280" spans="2:22" ht="15" thickBot="1" x14ac:dyDescent="0.4">
      <c r="B280" s="173" t="str">
        <f t="shared" si="15"/>
        <v/>
      </c>
      <c r="C280" s="285" t="str">
        <f t="shared" si="16"/>
        <v/>
      </c>
      <c r="D280" s="211"/>
      <c r="E280" s="420" t="s">
        <v>163</v>
      </c>
      <c r="F280" s="209"/>
      <c r="G280" s="148"/>
      <c r="H280" s="422" t="s">
        <v>1095</v>
      </c>
      <c r="I280" s="423" t="e">
        <f>SupplychainTier2[[#This Row],[Spend for which Tier 2 method accounts]]</f>
        <v>#VALUE!</v>
      </c>
      <c r="J280" s="423" t="s">
        <v>1095</v>
      </c>
      <c r="K280" s="423" t="str">
        <f>IFERROR(SupplychainTier2[[#This Row],[Calculated emissions (kgCO2e) for this spend]]/SupplychainTier2[[#This Row],[Spend for which Tier 2 method accounts]],"")</f>
        <v/>
      </c>
      <c r="L280" s="442"/>
      <c r="M280" s="201"/>
      <c r="N280" s="201"/>
      <c r="O280" s="255">
        <v>0</v>
      </c>
      <c r="P280" s="255">
        <v>0</v>
      </c>
      <c r="Q280" s="255" t="e">
        <f>SupplychainTier2[[#This Row],[Calculated emissions (kgCO2e) for this spend]]</f>
        <v>#VALUE!</v>
      </c>
      <c r="R280" s="255">
        <v>0</v>
      </c>
      <c r="S280" s="255">
        <v>0</v>
      </c>
      <c r="T280" s="387" t="e">
        <f>IF(SupplychainTier2[[#This Row],[Calculated emissions (kgCO2e) for this spend]]="","",(SupplychainTier2[[#This Row],[Calculated emissions (kgCO2e) for this spend]]*(1+SupplychainTier2[[#This Row],[RSD]])))</f>
        <v>#VALUE!</v>
      </c>
      <c r="U280" s="387" t="e">
        <f>IF(SupplychainTier2[[#This Row],[Calculated emissions (kgCO2e) for this spend]]="","",(SupplychainTier2[[#This Row],[Calculated emissions (kgCO2e) for this spend]]*(1-SupplychainTier2[[#This Row],[RSD]])))</f>
        <v>#VALUE!</v>
      </c>
      <c r="V280" s="255">
        <v>0</v>
      </c>
    </row>
    <row r="281" spans="2:22" ht="15" thickBot="1" x14ac:dyDescent="0.4">
      <c r="B281" s="173" t="str">
        <f t="shared" si="15"/>
        <v/>
      </c>
      <c r="C281" s="285" t="str">
        <f t="shared" si="16"/>
        <v/>
      </c>
      <c r="D281" s="211"/>
      <c r="E281" s="420" t="s">
        <v>163</v>
      </c>
      <c r="F281" s="209"/>
      <c r="G281" s="148"/>
      <c r="H281" s="422" t="s">
        <v>1095</v>
      </c>
      <c r="I281" s="423" t="e">
        <f>SupplychainTier2[[#This Row],[Spend for which Tier 2 method accounts]]</f>
        <v>#VALUE!</v>
      </c>
      <c r="J281" s="423" t="s">
        <v>1095</v>
      </c>
      <c r="K281" s="423" t="str">
        <f>IFERROR(SupplychainTier2[[#This Row],[Calculated emissions (kgCO2e) for this spend]]/SupplychainTier2[[#This Row],[Spend for which Tier 2 method accounts]],"")</f>
        <v/>
      </c>
      <c r="L281" s="442"/>
      <c r="M281" s="201"/>
      <c r="N281" s="201"/>
      <c r="O281" s="255">
        <v>0</v>
      </c>
      <c r="P281" s="255">
        <v>0</v>
      </c>
      <c r="Q281" s="255" t="e">
        <f>SupplychainTier2[[#This Row],[Calculated emissions (kgCO2e) for this spend]]</f>
        <v>#VALUE!</v>
      </c>
      <c r="R281" s="255">
        <v>0</v>
      </c>
      <c r="S281" s="255">
        <v>0</v>
      </c>
      <c r="T281" s="387" t="e">
        <f>IF(SupplychainTier2[[#This Row],[Calculated emissions (kgCO2e) for this spend]]="","",(SupplychainTier2[[#This Row],[Calculated emissions (kgCO2e) for this spend]]*(1+SupplychainTier2[[#This Row],[RSD]])))</f>
        <v>#VALUE!</v>
      </c>
      <c r="U281" s="387" t="e">
        <f>IF(SupplychainTier2[[#This Row],[Calculated emissions (kgCO2e) for this spend]]="","",(SupplychainTier2[[#This Row],[Calculated emissions (kgCO2e) for this spend]]*(1-SupplychainTier2[[#This Row],[RSD]])))</f>
        <v>#VALUE!</v>
      </c>
      <c r="V281" s="255">
        <v>0</v>
      </c>
    </row>
    <row r="282" spans="2:22" ht="15" thickBot="1" x14ac:dyDescent="0.4">
      <c r="B282" s="173" t="str">
        <f t="shared" si="15"/>
        <v/>
      </c>
      <c r="C282" s="285" t="str">
        <f t="shared" si="16"/>
        <v/>
      </c>
      <c r="D282" s="211"/>
      <c r="E282" s="420" t="s">
        <v>163</v>
      </c>
      <c r="F282" s="209"/>
      <c r="G282" s="148"/>
      <c r="H282" s="422" t="s">
        <v>1095</v>
      </c>
      <c r="I282" s="423" t="e">
        <f>SupplychainTier2[[#This Row],[Spend for which Tier 2 method accounts]]</f>
        <v>#VALUE!</v>
      </c>
      <c r="J282" s="423" t="s">
        <v>1095</v>
      </c>
      <c r="K282" s="423" t="str">
        <f>IFERROR(SupplychainTier2[[#This Row],[Calculated emissions (kgCO2e) for this spend]]/SupplychainTier2[[#This Row],[Spend for which Tier 2 method accounts]],"")</f>
        <v/>
      </c>
      <c r="L282" s="442"/>
      <c r="M282" s="201"/>
      <c r="N282" s="201"/>
      <c r="O282" s="255">
        <v>0</v>
      </c>
      <c r="P282" s="255">
        <v>0</v>
      </c>
      <c r="Q282" s="255" t="e">
        <f>SupplychainTier2[[#This Row],[Calculated emissions (kgCO2e) for this spend]]</f>
        <v>#VALUE!</v>
      </c>
      <c r="R282" s="255">
        <v>0</v>
      </c>
      <c r="S282" s="255">
        <v>0</v>
      </c>
      <c r="T282" s="387" t="e">
        <f>IF(SupplychainTier2[[#This Row],[Calculated emissions (kgCO2e) for this spend]]="","",(SupplychainTier2[[#This Row],[Calculated emissions (kgCO2e) for this spend]]*(1+SupplychainTier2[[#This Row],[RSD]])))</f>
        <v>#VALUE!</v>
      </c>
      <c r="U282" s="387" t="e">
        <f>IF(SupplychainTier2[[#This Row],[Calculated emissions (kgCO2e) for this spend]]="","",(SupplychainTier2[[#This Row],[Calculated emissions (kgCO2e) for this spend]]*(1-SupplychainTier2[[#This Row],[RSD]])))</f>
        <v>#VALUE!</v>
      </c>
      <c r="V282" s="255">
        <v>0</v>
      </c>
    </row>
    <row r="283" spans="2:22" ht="15" thickBot="1" x14ac:dyDescent="0.4">
      <c r="B283" s="173" t="str">
        <f t="shared" si="15"/>
        <v/>
      </c>
      <c r="C283" s="285" t="str">
        <f t="shared" si="16"/>
        <v/>
      </c>
      <c r="D283" s="211"/>
      <c r="E283" s="420" t="s">
        <v>163</v>
      </c>
      <c r="F283" s="209"/>
      <c r="G283" s="148"/>
      <c r="H283" s="422" t="s">
        <v>1095</v>
      </c>
      <c r="I283" s="423" t="e">
        <f>SupplychainTier2[[#This Row],[Spend for which Tier 2 method accounts]]</f>
        <v>#VALUE!</v>
      </c>
      <c r="J283" s="423" t="s">
        <v>1095</v>
      </c>
      <c r="K283" s="423" t="str">
        <f>IFERROR(SupplychainTier2[[#This Row],[Calculated emissions (kgCO2e) for this spend]]/SupplychainTier2[[#This Row],[Spend for which Tier 2 method accounts]],"")</f>
        <v/>
      </c>
      <c r="L283" s="442"/>
      <c r="M283" s="201"/>
      <c r="N283" s="201"/>
      <c r="O283" s="255">
        <v>0</v>
      </c>
      <c r="P283" s="255">
        <v>0</v>
      </c>
      <c r="Q283" s="255" t="e">
        <f>SupplychainTier2[[#This Row],[Calculated emissions (kgCO2e) for this spend]]</f>
        <v>#VALUE!</v>
      </c>
      <c r="R283" s="255">
        <v>0</v>
      </c>
      <c r="S283" s="255">
        <v>0</v>
      </c>
      <c r="T283" s="387" t="e">
        <f>IF(SupplychainTier2[[#This Row],[Calculated emissions (kgCO2e) for this spend]]="","",(SupplychainTier2[[#This Row],[Calculated emissions (kgCO2e) for this spend]]*(1+SupplychainTier2[[#This Row],[RSD]])))</f>
        <v>#VALUE!</v>
      </c>
      <c r="U283" s="387" t="e">
        <f>IF(SupplychainTier2[[#This Row],[Calculated emissions (kgCO2e) for this spend]]="","",(SupplychainTier2[[#This Row],[Calculated emissions (kgCO2e) for this spend]]*(1-SupplychainTier2[[#This Row],[RSD]])))</f>
        <v>#VALUE!</v>
      </c>
      <c r="V283" s="255">
        <v>0</v>
      </c>
    </row>
    <row r="284" spans="2:22" ht="15" thickBot="1" x14ac:dyDescent="0.4">
      <c r="B284" s="173" t="str">
        <f t="shared" si="15"/>
        <v/>
      </c>
      <c r="C284" s="285" t="str">
        <f t="shared" si="16"/>
        <v/>
      </c>
      <c r="D284" s="211"/>
      <c r="E284" s="420" t="s">
        <v>163</v>
      </c>
      <c r="F284" s="209"/>
      <c r="G284" s="148"/>
      <c r="H284" s="422" t="s">
        <v>1095</v>
      </c>
      <c r="I284" s="423" t="e">
        <f>SupplychainTier2[[#This Row],[Spend for which Tier 2 method accounts]]</f>
        <v>#VALUE!</v>
      </c>
      <c r="J284" s="423" t="s">
        <v>1095</v>
      </c>
      <c r="K284" s="423" t="str">
        <f>IFERROR(SupplychainTier2[[#This Row],[Calculated emissions (kgCO2e) for this spend]]/SupplychainTier2[[#This Row],[Spend for which Tier 2 method accounts]],"")</f>
        <v/>
      </c>
      <c r="L284" s="442"/>
      <c r="M284" s="201"/>
      <c r="N284" s="201"/>
      <c r="O284" s="255">
        <v>0</v>
      </c>
      <c r="P284" s="255">
        <v>0</v>
      </c>
      <c r="Q284" s="255" t="e">
        <f>SupplychainTier2[[#This Row],[Calculated emissions (kgCO2e) for this spend]]</f>
        <v>#VALUE!</v>
      </c>
      <c r="R284" s="255">
        <v>0</v>
      </c>
      <c r="S284" s="255">
        <v>0</v>
      </c>
      <c r="T284" s="387" t="e">
        <f>IF(SupplychainTier2[[#This Row],[Calculated emissions (kgCO2e) for this spend]]="","",(SupplychainTier2[[#This Row],[Calculated emissions (kgCO2e) for this spend]]*(1+SupplychainTier2[[#This Row],[RSD]])))</f>
        <v>#VALUE!</v>
      </c>
      <c r="U284" s="387" t="e">
        <f>IF(SupplychainTier2[[#This Row],[Calculated emissions (kgCO2e) for this spend]]="","",(SupplychainTier2[[#This Row],[Calculated emissions (kgCO2e) for this spend]]*(1-SupplychainTier2[[#This Row],[RSD]])))</f>
        <v>#VALUE!</v>
      </c>
      <c r="V284" s="255">
        <v>0</v>
      </c>
    </row>
    <row r="285" spans="2:22" ht="15" thickBot="1" x14ac:dyDescent="0.4">
      <c r="B285" s="173" t="str">
        <f t="shared" si="15"/>
        <v/>
      </c>
      <c r="C285" s="285" t="str">
        <f t="shared" si="16"/>
        <v/>
      </c>
      <c r="D285" s="211"/>
      <c r="E285" s="420" t="s">
        <v>163</v>
      </c>
      <c r="F285" s="209"/>
      <c r="G285" s="148"/>
      <c r="H285" s="422" t="s">
        <v>1095</v>
      </c>
      <c r="I285" s="423" t="e">
        <f>SupplychainTier2[[#This Row],[Spend for which Tier 2 method accounts]]</f>
        <v>#VALUE!</v>
      </c>
      <c r="J285" s="423" t="s">
        <v>1095</v>
      </c>
      <c r="K285" s="423" t="str">
        <f>IFERROR(SupplychainTier2[[#This Row],[Calculated emissions (kgCO2e) for this spend]]/SupplychainTier2[[#This Row],[Spend for which Tier 2 method accounts]],"")</f>
        <v/>
      </c>
      <c r="L285" s="442"/>
      <c r="M285" s="201"/>
      <c r="N285" s="201"/>
      <c r="O285" s="255">
        <v>0</v>
      </c>
      <c r="P285" s="255">
        <v>0</v>
      </c>
      <c r="Q285" s="255" t="e">
        <f>SupplychainTier2[[#This Row],[Calculated emissions (kgCO2e) for this spend]]</f>
        <v>#VALUE!</v>
      </c>
      <c r="R285" s="255">
        <v>0</v>
      </c>
      <c r="S285" s="255">
        <v>0</v>
      </c>
      <c r="T285" s="387" t="e">
        <f>IF(SupplychainTier2[[#This Row],[Calculated emissions (kgCO2e) for this spend]]="","",(SupplychainTier2[[#This Row],[Calculated emissions (kgCO2e) for this spend]]*(1+SupplychainTier2[[#This Row],[RSD]])))</f>
        <v>#VALUE!</v>
      </c>
      <c r="U285" s="387" t="e">
        <f>IF(SupplychainTier2[[#This Row],[Calculated emissions (kgCO2e) for this spend]]="","",(SupplychainTier2[[#This Row],[Calculated emissions (kgCO2e) for this spend]]*(1-SupplychainTier2[[#This Row],[RSD]])))</f>
        <v>#VALUE!</v>
      </c>
      <c r="V285" s="255">
        <v>0</v>
      </c>
    </row>
    <row r="286" spans="2:22" ht="15" thickBot="1" x14ac:dyDescent="0.4">
      <c r="B286" s="173" t="str">
        <f t="shared" si="15"/>
        <v/>
      </c>
      <c r="C286" s="285" t="str">
        <f t="shared" si="16"/>
        <v/>
      </c>
      <c r="D286" s="211"/>
      <c r="E286" s="420" t="s">
        <v>163</v>
      </c>
      <c r="F286" s="209"/>
      <c r="G286" s="148"/>
      <c r="H286" s="422" t="s">
        <v>1095</v>
      </c>
      <c r="I286" s="423" t="e">
        <f>SupplychainTier2[[#This Row],[Spend for which Tier 2 method accounts]]</f>
        <v>#VALUE!</v>
      </c>
      <c r="J286" s="423" t="s">
        <v>1095</v>
      </c>
      <c r="K286" s="423" t="str">
        <f>IFERROR(SupplychainTier2[[#This Row],[Calculated emissions (kgCO2e) for this spend]]/SupplychainTier2[[#This Row],[Spend for which Tier 2 method accounts]],"")</f>
        <v/>
      </c>
      <c r="L286" s="442"/>
      <c r="M286" s="201"/>
      <c r="N286" s="201"/>
      <c r="O286" s="255">
        <v>0</v>
      </c>
      <c r="P286" s="255">
        <v>0</v>
      </c>
      <c r="Q286" s="255" t="e">
        <f>SupplychainTier2[[#This Row],[Calculated emissions (kgCO2e) for this spend]]</f>
        <v>#VALUE!</v>
      </c>
      <c r="R286" s="255">
        <v>0</v>
      </c>
      <c r="S286" s="255">
        <v>0</v>
      </c>
      <c r="T286" s="387" t="e">
        <f>IF(SupplychainTier2[[#This Row],[Calculated emissions (kgCO2e) for this spend]]="","",(SupplychainTier2[[#This Row],[Calculated emissions (kgCO2e) for this spend]]*(1+SupplychainTier2[[#This Row],[RSD]])))</f>
        <v>#VALUE!</v>
      </c>
      <c r="U286" s="387" t="e">
        <f>IF(SupplychainTier2[[#This Row],[Calculated emissions (kgCO2e) for this spend]]="","",(SupplychainTier2[[#This Row],[Calculated emissions (kgCO2e) for this spend]]*(1-SupplychainTier2[[#This Row],[RSD]])))</f>
        <v>#VALUE!</v>
      </c>
      <c r="V286" s="255">
        <v>0</v>
      </c>
    </row>
    <row r="287" spans="2:22" ht="15" thickBot="1" x14ac:dyDescent="0.4">
      <c r="B287" s="173" t="str">
        <f t="shared" si="15"/>
        <v/>
      </c>
      <c r="C287" s="285" t="str">
        <f t="shared" si="16"/>
        <v/>
      </c>
      <c r="D287" s="211"/>
      <c r="E287" s="420" t="s">
        <v>163</v>
      </c>
      <c r="F287" s="209"/>
      <c r="G287" s="148"/>
      <c r="H287" s="422" t="s">
        <v>1095</v>
      </c>
      <c r="I287" s="423" t="e">
        <f>SupplychainTier2[[#This Row],[Spend for which Tier 2 method accounts]]</f>
        <v>#VALUE!</v>
      </c>
      <c r="J287" s="423" t="s">
        <v>1095</v>
      </c>
      <c r="K287" s="423" t="str">
        <f>IFERROR(SupplychainTier2[[#This Row],[Calculated emissions (kgCO2e) for this spend]]/SupplychainTier2[[#This Row],[Spend for which Tier 2 method accounts]],"")</f>
        <v/>
      </c>
      <c r="L287" s="442"/>
      <c r="M287" s="201"/>
      <c r="N287" s="201"/>
      <c r="O287" s="255">
        <v>0</v>
      </c>
      <c r="P287" s="255">
        <v>0</v>
      </c>
      <c r="Q287" s="255" t="e">
        <f>SupplychainTier2[[#This Row],[Calculated emissions (kgCO2e) for this spend]]</f>
        <v>#VALUE!</v>
      </c>
      <c r="R287" s="255">
        <v>0</v>
      </c>
      <c r="S287" s="255">
        <v>0</v>
      </c>
      <c r="T287" s="387" t="e">
        <f>IF(SupplychainTier2[[#This Row],[Calculated emissions (kgCO2e) for this spend]]="","",(SupplychainTier2[[#This Row],[Calculated emissions (kgCO2e) for this spend]]*(1+SupplychainTier2[[#This Row],[RSD]])))</f>
        <v>#VALUE!</v>
      </c>
      <c r="U287" s="387" t="e">
        <f>IF(SupplychainTier2[[#This Row],[Calculated emissions (kgCO2e) for this spend]]="","",(SupplychainTier2[[#This Row],[Calculated emissions (kgCO2e) for this spend]]*(1-SupplychainTier2[[#This Row],[RSD]])))</f>
        <v>#VALUE!</v>
      </c>
      <c r="V287" s="255">
        <v>0</v>
      </c>
    </row>
    <row r="288" spans="2:22" ht="15" thickBot="1" x14ac:dyDescent="0.4">
      <c r="B288" s="173" t="str">
        <f t="shared" si="15"/>
        <v/>
      </c>
      <c r="C288" s="285" t="str">
        <f t="shared" si="16"/>
        <v/>
      </c>
      <c r="D288" s="211"/>
      <c r="E288" s="420" t="s">
        <v>163</v>
      </c>
      <c r="F288" s="209"/>
      <c r="G288" s="148"/>
      <c r="H288" s="422" t="s">
        <v>1095</v>
      </c>
      <c r="I288" s="423" t="e">
        <f>SupplychainTier2[[#This Row],[Spend for which Tier 2 method accounts]]</f>
        <v>#VALUE!</v>
      </c>
      <c r="J288" s="423" t="s">
        <v>1095</v>
      </c>
      <c r="K288" s="423" t="str">
        <f>IFERROR(SupplychainTier2[[#This Row],[Calculated emissions (kgCO2e) for this spend]]/SupplychainTier2[[#This Row],[Spend for which Tier 2 method accounts]],"")</f>
        <v/>
      </c>
      <c r="L288" s="442"/>
      <c r="M288" s="201"/>
      <c r="N288" s="201"/>
      <c r="O288" s="255">
        <v>0</v>
      </c>
      <c r="P288" s="255">
        <v>0</v>
      </c>
      <c r="Q288" s="255" t="e">
        <f>SupplychainTier2[[#This Row],[Calculated emissions (kgCO2e) for this spend]]</f>
        <v>#VALUE!</v>
      </c>
      <c r="R288" s="255">
        <v>0</v>
      </c>
      <c r="S288" s="255">
        <v>0</v>
      </c>
      <c r="T288" s="387" t="e">
        <f>IF(SupplychainTier2[[#This Row],[Calculated emissions (kgCO2e) for this spend]]="","",(SupplychainTier2[[#This Row],[Calculated emissions (kgCO2e) for this spend]]*(1+SupplychainTier2[[#This Row],[RSD]])))</f>
        <v>#VALUE!</v>
      </c>
      <c r="U288" s="387" t="e">
        <f>IF(SupplychainTier2[[#This Row],[Calculated emissions (kgCO2e) for this spend]]="","",(SupplychainTier2[[#This Row],[Calculated emissions (kgCO2e) for this spend]]*(1-SupplychainTier2[[#This Row],[RSD]])))</f>
        <v>#VALUE!</v>
      </c>
      <c r="V288" s="255">
        <v>0</v>
      </c>
    </row>
    <row r="289" spans="2:22" ht="15" thickBot="1" x14ac:dyDescent="0.4">
      <c r="B289" s="173" t="str">
        <f t="shared" si="15"/>
        <v/>
      </c>
      <c r="C289" s="285" t="str">
        <f t="shared" si="16"/>
        <v/>
      </c>
      <c r="D289" s="211"/>
      <c r="E289" s="420" t="s">
        <v>163</v>
      </c>
      <c r="F289" s="209"/>
      <c r="G289" s="148"/>
      <c r="H289" s="422" t="s">
        <v>1095</v>
      </c>
      <c r="I289" s="423" t="e">
        <f>SupplychainTier2[[#This Row],[Spend for which Tier 2 method accounts]]</f>
        <v>#VALUE!</v>
      </c>
      <c r="J289" s="423" t="s">
        <v>1095</v>
      </c>
      <c r="K289" s="423" t="str">
        <f>IFERROR(SupplychainTier2[[#This Row],[Calculated emissions (kgCO2e) for this spend]]/SupplychainTier2[[#This Row],[Spend for which Tier 2 method accounts]],"")</f>
        <v/>
      </c>
      <c r="L289" s="442"/>
      <c r="M289" s="201"/>
      <c r="N289" s="201"/>
      <c r="O289" s="255">
        <v>0</v>
      </c>
      <c r="P289" s="255">
        <v>0</v>
      </c>
      <c r="Q289" s="255" t="e">
        <f>SupplychainTier2[[#This Row],[Calculated emissions (kgCO2e) for this spend]]</f>
        <v>#VALUE!</v>
      </c>
      <c r="R289" s="255">
        <v>0</v>
      </c>
      <c r="S289" s="255">
        <v>0</v>
      </c>
      <c r="T289" s="387" t="e">
        <f>IF(SupplychainTier2[[#This Row],[Calculated emissions (kgCO2e) for this spend]]="","",(SupplychainTier2[[#This Row],[Calculated emissions (kgCO2e) for this spend]]*(1+SupplychainTier2[[#This Row],[RSD]])))</f>
        <v>#VALUE!</v>
      </c>
      <c r="U289" s="387" t="e">
        <f>IF(SupplychainTier2[[#This Row],[Calculated emissions (kgCO2e) for this spend]]="","",(SupplychainTier2[[#This Row],[Calculated emissions (kgCO2e) for this spend]]*(1-SupplychainTier2[[#This Row],[RSD]])))</f>
        <v>#VALUE!</v>
      </c>
      <c r="V289" s="255">
        <v>0</v>
      </c>
    </row>
    <row r="290" spans="2:22" ht="15" thickBot="1" x14ac:dyDescent="0.4">
      <c r="B290" s="173" t="str">
        <f t="shared" si="15"/>
        <v/>
      </c>
      <c r="C290" s="285" t="str">
        <f t="shared" si="16"/>
        <v/>
      </c>
      <c r="D290" s="211"/>
      <c r="E290" s="420" t="s">
        <v>163</v>
      </c>
      <c r="F290" s="209"/>
      <c r="G290" s="148"/>
      <c r="H290" s="422" t="s">
        <v>1095</v>
      </c>
      <c r="I290" s="423" t="e">
        <f>SupplychainTier2[[#This Row],[Spend for which Tier 2 method accounts]]</f>
        <v>#VALUE!</v>
      </c>
      <c r="J290" s="423" t="s">
        <v>1095</v>
      </c>
      <c r="K290" s="423" t="str">
        <f>IFERROR(SupplychainTier2[[#This Row],[Calculated emissions (kgCO2e) for this spend]]/SupplychainTier2[[#This Row],[Spend for which Tier 2 method accounts]],"")</f>
        <v/>
      </c>
      <c r="L290" s="442"/>
      <c r="M290" s="201"/>
      <c r="N290" s="201"/>
      <c r="O290" s="255">
        <v>0</v>
      </c>
      <c r="P290" s="255">
        <v>0</v>
      </c>
      <c r="Q290" s="255" t="e">
        <f>SupplychainTier2[[#This Row],[Calculated emissions (kgCO2e) for this spend]]</f>
        <v>#VALUE!</v>
      </c>
      <c r="R290" s="255">
        <v>0</v>
      </c>
      <c r="S290" s="255">
        <v>0</v>
      </c>
      <c r="T290" s="387" t="e">
        <f>IF(SupplychainTier2[[#This Row],[Calculated emissions (kgCO2e) for this spend]]="","",(SupplychainTier2[[#This Row],[Calculated emissions (kgCO2e) for this spend]]*(1+SupplychainTier2[[#This Row],[RSD]])))</f>
        <v>#VALUE!</v>
      </c>
      <c r="U290" s="387" t="e">
        <f>IF(SupplychainTier2[[#This Row],[Calculated emissions (kgCO2e) for this spend]]="","",(SupplychainTier2[[#This Row],[Calculated emissions (kgCO2e) for this spend]]*(1-SupplychainTier2[[#This Row],[RSD]])))</f>
        <v>#VALUE!</v>
      </c>
      <c r="V290" s="255">
        <v>0</v>
      </c>
    </row>
    <row r="291" spans="2:22" ht="15" thickBot="1" x14ac:dyDescent="0.4">
      <c r="B291" s="173" t="str">
        <f t="shared" si="15"/>
        <v/>
      </c>
      <c r="C291" s="285" t="str">
        <f t="shared" si="16"/>
        <v/>
      </c>
      <c r="D291" s="211"/>
      <c r="E291" s="420" t="s">
        <v>163</v>
      </c>
      <c r="F291" s="209"/>
      <c r="G291" s="148"/>
      <c r="H291" s="422" t="s">
        <v>1095</v>
      </c>
      <c r="I291" s="423" t="e">
        <f>SupplychainTier2[[#This Row],[Spend for which Tier 2 method accounts]]</f>
        <v>#VALUE!</v>
      </c>
      <c r="J291" s="423" t="s">
        <v>1095</v>
      </c>
      <c r="K291" s="423" t="str">
        <f>IFERROR(SupplychainTier2[[#This Row],[Calculated emissions (kgCO2e) for this spend]]/SupplychainTier2[[#This Row],[Spend for which Tier 2 method accounts]],"")</f>
        <v/>
      </c>
      <c r="L291" s="442"/>
      <c r="M291" s="201"/>
      <c r="N291" s="201"/>
      <c r="O291" s="255">
        <v>0</v>
      </c>
      <c r="P291" s="255">
        <v>0</v>
      </c>
      <c r="Q291" s="255" t="e">
        <f>SupplychainTier2[[#This Row],[Calculated emissions (kgCO2e) for this spend]]</f>
        <v>#VALUE!</v>
      </c>
      <c r="R291" s="255">
        <v>0</v>
      </c>
      <c r="S291" s="255">
        <v>0</v>
      </c>
      <c r="T291" s="387" t="e">
        <f>IF(SupplychainTier2[[#This Row],[Calculated emissions (kgCO2e) for this spend]]="","",(SupplychainTier2[[#This Row],[Calculated emissions (kgCO2e) for this spend]]*(1+SupplychainTier2[[#This Row],[RSD]])))</f>
        <v>#VALUE!</v>
      </c>
      <c r="U291" s="387" t="e">
        <f>IF(SupplychainTier2[[#This Row],[Calculated emissions (kgCO2e) for this spend]]="","",(SupplychainTier2[[#This Row],[Calculated emissions (kgCO2e) for this spend]]*(1-SupplychainTier2[[#This Row],[RSD]])))</f>
        <v>#VALUE!</v>
      </c>
      <c r="V291" s="255">
        <v>0</v>
      </c>
    </row>
    <row r="292" spans="2:22" ht="15" thickBot="1" x14ac:dyDescent="0.4">
      <c r="B292" s="173" t="str">
        <f t="shared" si="15"/>
        <v/>
      </c>
      <c r="C292" s="285" t="str">
        <f t="shared" si="16"/>
        <v/>
      </c>
      <c r="D292" s="211"/>
      <c r="E292" s="420" t="s">
        <v>163</v>
      </c>
      <c r="F292" s="209"/>
      <c r="G292" s="148"/>
      <c r="H292" s="422" t="s">
        <v>1095</v>
      </c>
      <c r="I292" s="423" t="e">
        <f>SupplychainTier2[[#This Row],[Spend for which Tier 2 method accounts]]</f>
        <v>#VALUE!</v>
      </c>
      <c r="J292" s="423" t="s">
        <v>1095</v>
      </c>
      <c r="K292" s="423" t="str">
        <f>IFERROR(SupplychainTier2[[#This Row],[Calculated emissions (kgCO2e) for this spend]]/SupplychainTier2[[#This Row],[Spend for which Tier 2 method accounts]],"")</f>
        <v/>
      </c>
      <c r="L292" s="442"/>
      <c r="M292" s="201"/>
      <c r="N292" s="201"/>
      <c r="O292" s="255">
        <v>0</v>
      </c>
      <c r="P292" s="255">
        <v>0</v>
      </c>
      <c r="Q292" s="255" t="e">
        <f>SupplychainTier2[[#This Row],[Calculated emissions (kgCO2e) for this spend]]</f>
        <v>#VALUE!</v>
      </c>
      <c r="R292" s="255">
        <v>0</v>
      </c>
      <c r="S292" s="255">
        <v>0</v>
      </c>
      <c r="T292" s="387" t="e">
        <f>IF(SupplychainTier2[[#This Row],[Calculated emissions (kgCO2e) for this spend]]="","",(SupplychainTier2[[#This Row],[Calculated emissions (kgCO2e) for this spend]]*(1+SupplychainTier2[[#This Row],[RSD]])))</f>
        <v>#VALUE!</v>
      </c>
      <c r="U292" s="387" t="e">
        <f>IF(SupplychainTier2[[#This Row],[Calculated emissions (kgCO2e) for this spend]]="","",(SupplychainTier2[[#This Row],[Calculated emissions (kgCO2e) for this spend]]*(1-SupplychainTier2[[#This Row],[RSD]])))</f>
        <v>#VALUE!</v>
      </c>
      <c r="V292" s="255">
        <v>0</v>
      </c>
    </row>
    <row r="293" spans="2:22" ht="15" thickBot="1" x14ac:dyDescent="0.4">
      <c r="B293" s="173" t="str">
        <f t="shared" si="15"/>
        <v/>
      </c>
      <c r="C293" s="285" t="str">
        <f t="shared" si="16"/>
        <v/>
      </c>
      <c r="D293" s="211"/>
      <c r="E293" s="420" t="s">
        <v>163</v>
      </c>
      <c r="F293" s="209"/>
      <c r="G293" s="148"/>
      <c r="H293" s="422" t="s">
        <v>1095</v>
      </c>
      <c r="I293" s="423" t="e">
        <f>SupplychainTier2[[#This Row],[Spend for which Tier 2 method accounts]]</f>
        <v>#VALUE!</v>
      </c>
      <c r="J293" s="423" t="s">
        <v>1095</v>
      </c>
      <c r="K293" s="423" t="str">
        <f>IFERROR(SupplychainTier2[[#This Row],[Calculated emissions (kgCO2e) for this spend]]/SupplychainTier2[[#This Row],[Spend for which Tier 2 method accounts]],"")</f>
        <v/>
      </c>
      <c r="L293" s="442"/>
      <c r="M293" s="201"/>
      <c r="N293" s="201"/>
      <c r="O293" s="255">
        <v>0</v>
      </c>
      <c r="P293" s="255">
        <v>0</v>
      </c>
      <c r="Q293" s="255" t="e">
        <f>SupplychainTier2[[#This Row],[Calculated emissions (kgCO2e) for this spend]]</f>
        <v>#VALUE!</v>
      </c>
      <c r="R293" s="255">
        <v>0</v>
      </c>
      <c r="S293" s="255">
        <v>0</v>
      </c>
      <c r="T293" s="387" t="e">
        <f>IF(SupplychainTier2[[#This Row],[Calculated emissions (kgCO2e) for this spend]]="","",(SupplychainTier2[[#This Row],[Calculated emissions (kgCO2e) for this spend]]*(1+SupplychainTier2[[#This Row],[RSD]])))</f>
        <v>#VALUE!</v>
      </c>
      <c r="U293" s="387" t="e">
        <f>IF(SupplychainTier2[[#This Row],[Calculated emissions (kgCO2e) for this spend]]="","",(SupplychainTier2[[#This Row],[Calculated emissions (kgCO2e) for this spend]]*(1-SupplychainTier2[[#This Row],[RSD]])))</f>
        <v>#VALUE!</v>
      </c>
      <c r="V293" s="255">
        <v>0</v>
      </c>
    </row>
    <row r="294" spans="2:22" ht="15" thickBot="1" x14ac:dyDescent="0.4">
      <c r="B294" s="173" t="str">
        <f t="shared" si="15"/>
        <v/>
      </c>
      <c r="C294" s="285" t="str">
        <f t="shared" si="16"/>
        <v/>
      </c>
      <c r="D294" s="211"/>
      <c r="E294" s="420" t="s">
        <v>163</v>
      </c>
      <c r="F294" s="209"/>
      <c r="G294" s="148"/>
      <c r="H294" s="422" t="s">
        <v>1095</v>
      </c>
      <c r="I294" s="423" t="e">
        <f>SupplychainTier2[[#This Row],[Spend for which Tier 2 method accounts]]</f>
        <v>#VALUE!</v>
      </c>
      <c r="J294" s="423" t="s">
        <v>1095</v>
      </c>
      <c r="K294" s="423" t="str">
        <f>IFERROR(SupplychainTier2[[#This Row],[Calculated emissions (kgCO2e) for this spend]]/SupplychainTier2[[#This Row],[Spend for which Tier 2 method accounts]],"")</f>
        <v/>
      </c>
      <c r="L294" s="442"/>
      <c r="M294" s="201"/>
      <c r="N294" s="201"/>
      <c r="O294" s="255">
        <v>0</v>
      </c>
      <c r="P294" s="255">
        <v>0</v>
      </c>
      <c r="Q294" s="255" t="e">
        <f>SupplychainTier2[[#This Row],[Calculated emissions (kgCO2e) for this spend]]</f>
        <v>#VALUE!</v>
      </c>
      <c r="R294" s="255">
        <v>0</v>
      </c>
      <c r="S294" s="255">
        <v>0</v>
      </c>
      <c r="T294" s="387" t="e">
        <f>IF(SupplychainTier2[[#This Row],[Calculated emissions (kgCO2e) for this spend]]="","",(SupplychainTier2[[#This Row],[Calculated emissions (kgCO2e) for this spend]]*(1+SupplychainTier2[[#This Row],[RSD]])))</f>
        <v>#VALUE!</v>
      </c>
      <c r="U294" s="387" t="e">
        <f>IF(SupplychainTier2[[#This Row],[Calculated emissions (kgCO2e) for this spend]]="","",(SupplychainTier2[[#This Row],[Calculated emissions (kgCO2e) for this spend]]*(1-SupplychainTier2[[#This Row],[RSD]])))</f>
        <v>#VALUE!</v>
      </c>
      <c r="V294" s="255">
        <v>0</v>
      </c>
    </row>
    <row r="295" spans="2:22" ht="15" thickBot="1" x14ac:dyDescent="0.4">
      <c r="B295" s="173" t="str">
        <f t="shared" ref="B295:B316" si="17">IFERROR(VLOOKUP(D295,SICProductCodeLookup,2,FALSE), "")</f>
        <v/>
      </c>
      <c r="C295" s="285" t="str">
        <f t="shared" ref="C295:C316" si="18">IFERROR((VLOOKUP(D295,SICProductCodeLookup,3,FALSE)), "")</f>
        <v/>
      </c>
      <c r="D295" s="211"/>
      <c r="E295" s="420" t="s">
        <v>163</v>
      </c>
      <c r="F295" s="209"/>
      <c r="G295" s="148"/>
      <c r="H295" s="422" t="s">
        <v>1095</v>
      </c>
      <c r="I295" s="423" t="e">
        <f>SupplychainTier2[[#This Row],[Spend for which Tier 2 method accounts]]</f>
        <v>#VALUE!</v>
      </c>
      <c r="J295" s="423" t="s">
        <v>1095</v>
      </c>
      <c r="K295" s="423" t="str">
        <f>IFERROR(SupplychainTier2[[#This Row],[Calculated emissions (kgCO2e) for this spend]]/SupplychainTier2[[#This Row],[Spend for which Tier 2 method accounts]],"")</f>
        <v/>
      </c>
      <c r="L295" s="442"/>
      <c r="M295" s="201"/>
      <c r="N295" s="201"/>
      <c r="O295" s="255">
        <v>0</v>
      </c>
      <c r="P295" s="255">
        <v>0</v>
      </c>
      <c r="Q295" s="255" t="e">
        <f>SupplychainTier2[[#This Row],[Calculated emissions (kgCO2e) for this spend]]</f>
        <v>#VALUE!</v>
      </c>
      <c r="R295" s="255">
        <v>0</v>
      </c>
      <c r="S295" s="255">
        <v>0</v>
      </c>
      <c r="T295" s="387" t="e">
        <f>IF(SupplychainTier2[[#This Row],[Calculated emissions (kgCO2e) for this spend]]="","",(SupplychainTier2[[#This Row],[Calculated emissions (kgCO2e) for this spend]]*(1+SupplychainTier2[[#This Row],[RSD]])))</f>
        <v>#VALUE!</v>
      </c>
      <c r="U295" s="387" t="e">
        <f>IF(SupplychainTier2[[#This Row],[Calculated emissions (kgCO2e) for this spend]]="","",(SupplychainTier2[[#This Row],[Calculated emissions (kgCO2e) for this spend]]*(1-SupplychainTier2[[#This Row],[RSD]])))</f>
        <v>#VALUE!</v>
      </c>
      <c r="V295" s="255">
        <v>0</v>
      </c>
    </row>
    <row r="296" spans="2:22" ht="15" thickBot="1" x14ac:dyDescent="0.4">
      <c r="B296" s="173" t="str">
        <f t="shared" si="17"/>
        <v/>
      </c>
      <c r="C296" s="285" t="str">
        <f t="shared" si="18"/>
        <v/>
      </c>
      <c r="D296" s="211"/>
      <c r="E296" s="420" t="s">
        <v>163</v>
      </c>
      <c r="F296" s="209"/>
      <c r="G296" s="148"/>
      <c r="H296" s="422" t="s">
        <v>1095</v>
      </c>
      <c r="I296" s="423" t="e">
        <f>SupplychainTier2[[#This Row],[Spend for which Tier 2 method accounts]]</f>
        <v>#VALUE!</v>
      </c>
      <c r="J296" s="423" t="s">
        <v>1095</v>
      </c>
      <c r="K296" s="423" t="str">
        <f>IFERROR(SupplychainTier2[[#This Row],[Calculated emissions (kgCO2e) for this spend]]/SupplychainTier2[[#This Row],[Spend for which Tier 2 method accounts]],"")</f>
        <v/>
      </c>
      <c r="L296" s="442"/>
      <c r="M296" s="201"/>
      <c r="N296" s="201"/>
      <c r="O296" s="255">
        <v>0</v>
      </c>
      <c r="P296" s="255">
        <v>0</v>
      </c>
      <c r="Q296" s="255" t="e">
        <f>SupplychainTier2[[#This Row],[Calculated emissions (kgCO2e) for this spend]]</f>
        <v>#VALUE!</v>
      </c>
      <c r="R296" s="255">
        <v>0</v>
      </c>
      <c r="S296" s="255">
        <v>0</v>
      </c>
      <c r="T296" s="387" t="e">
        <f>IF(SupplychainTier2[[#This Row],[Calculated emissions (kgCO2e) for this spend]]="","",(SupplychainTier2[[#This Row],[Calculated emissions (kgCO2e) for this spend]]*(1+SupplychainTier2[[#This Row],[RSD]])))</f>
        <v>#VALUE!</v>
      </c>
      <c r="U296" s="387" t="e">
        <f>IF(SupplychainTier2[[#This Row],[Calculated emissions (kgCO2e) for this spend]]="","",(SupplychainTier2[[#This Row],[Calculated emissions (kgCO2e) for this spend]]*(1-SupplychainTier2[[#This Row],[RSD]])))</f>
        <v>#VALUE!</v>
      </c>
      <c r="V296" s="255">
        <v>0</v>
      </c>
    </row>
    <row r="297" spans="2:22" ht="15" thickBot="1" x14ac:dyDescent="0.4">
      <c r="B297" s="173" t="str">
        <f t="shared" si="17"/>
        <v/>
      </c>
      <c r="C297" s="285" t="str">
        <f t="shared" si="18"/>
        <v/>
      </c>
      <c r="D297" s="211"/>
      <c r="E297" s="420" t="s">
        <v>163</v>
      </c>
      <c r="F297" s="209"/>
      <c r="G297" s="148"/>
      <c r="H297" s="422" t="s">
        <v>1095</v>
      </c>
      <c r="I297" s="423" t="e">
        <f>SupplychainTier2[[#This Row],[Spend for which Tier 2 method accounts]]</f>
        <v>#VALUE!</v>
      </c>
      <c r="J297" s="423" t="s">
        <v>1095</v>
      </c>
      <c r="K297" s="423" t="str">
        <f>IFERROR(SupplychainTier2[[#This Row],[Calculated emissions (kgCO2e) for this spend]]/SupplychainTier2[[#This Row],[Spend for which Tier 2 method accounts]],"")</f>
        <v/>
      </c>
      <c r="L297" s="442"/>
      <c r="M297" s="201"/>
      <c r="N297" s="201"/>
      <c r="O297" s="255">
        <v>0</v>
      </c>
      <c r="P297" s="255">
        <v>0</v>
      </c>
      <c r="Q297" s="255" t="e">
        <f>SupplychainTier2[[#This Row],[Calculated emissions (kgCO2e) for this spend]]</f>
        <v>#VALUE!</v>
      </c>
      <c r="R297" s="255">
        <v>0</v>
      </c>
      <c r="S297" s="255">
        <v>0</v>
      </c>
      <c r="T297" s="387" t="e">
        <f>IF(SupplychainTier2[[#This Row],[Calculated emissions (kgCO2e) for this spend]]="","",(SupplychainTier2[[#This Row],[Calculated emissions (kgCO2e) for this spend]]*(1+SupplychainTier2[[#This Row],[RSD]])))</f>
        <v>#VALUE!</v>
      </c>
      <c r="U297" s="387" t="e">
        <f>IF(SupplychainTier2[[#This Row],[Calculated emissions (kgCO2e) for this spend]]="","",(SupplychainTier2[[#This Row],[Calculated emissions (kgCO2e) for this spend]]*(1-SupplychainTier2[[#This Row],[RSD]])))</f>
        <v>#VALUE!</v>
      </c>
      <c r="V297" s="255">
        <v>0</v>
      </c>
    </row>
    <row r="298" spans="2:22" ht="15" thickBot="1" x14ac:dyDescent="0.4">
      <c r="B298" s="173" t="str">
        <f t="shared" si="17"/>
        <v/>
      </c>
      <c r="C298" s="285" t="str">
        <f t="shared" si="18"/>
        <v/>
      </c>
      <c r="D298" s="211"/>
      <c r="E298" s="420" t="s">
        <v>163</v>
      </c>
      <c r="F298" s="209"/>
      <c r="G298" s="148"/>
      <c r="H298" s="422" t="s">
        <v>1095</v>
      </c>
      <c r="I298" s="423" t="e">
        <f>SupplychainTier2[[#This Row],[Spend for which Tier 2 method accounts]]</f>
        <v>#VALUE!</v>
      </c>
      <c r="J298" s="423" t="s">
        <v>1095</v>
      </c>
      <c r="K298" s="423" t="str">
        <f>IFERROR(SupplychainTier2[[#This Row],[Calculated emissions (kgCO2e) for this spend]]/SupplychainTier2[[#This Row],[Spend for which Tier 2 method accounts]],"")</f>
        <v/>
      </c>
      <c r="L298" s="442"/>
      <c r="M298" s="201"/>
      <c r="N298" s="201"/>
      <c r="O298" s="255">
        <v>0</v>
      </c>
      <c r="P298" s="255">
        <v>0</v>
      </c>
      <c r="Q298" s="255" t="e">
        <f>SupplychainTier2[[#This Row],[Calculated emissions (kgCO2e) for this spend]]</f>
        <v>#VALUE!</v>
      </c>
      <c r="R298" s="255">
        <v>0</v>
      </c>
      <c r="S298" s="255">
        <v>0</v>
      </c>
      <c r="T298" s="387" t="e">
        <f>IF(SupplychainTier2[[#This Row],[Calculated emissions (kgCO2e) for this spend]]="","",(SupplychainTier2[[#This Row],[Calculated emissions (kgCO2e) for this spend]]*(1+SupplychainTier2[[#This Row],[RSD]])))</f>
        <v>#VALUE!</v>
      </c>
      <c r="U298" s="387" t="e">
        <f>IF(SupplychainTier2[[#This Row],[Calculated emissions (kgCO2e) for this spend]]="","",(SupplychainTier2[[#This Row],[Calculated emissions (kgCO2e) for this spend]]*(1-SupplychainTier2[[#This Row],[RSD]])))</f>
        <v>#VALUE!</v>
      </c>
      <c r="V298" s="255">
        <v>0</v>
      </c>
    </row>
    <row r="299" spans="2:22" ht="15" thickBot="1" x14ac:dyDescent="0.4">
      <c r="B299" s="173" t="str">
        <f t="shared" si="17"/>
        <v/>
      </c>
      <c r="C299" s="285" t="str">
        <f t="shared" si="18"/>
        <v/>
      </c>
      <c r="D299" s="211"/>
      <c r="E299" s="420" t="s">
        <v>163</v>
      </c>
      <c r="F299" s="209"/>
      <c r="G299" s="148"/>
      <c r="H299" s="422" t="s">
        <v>1095</v>
      </c>
      <c r="I299" s="423" t="e">
        <f>SupplychainTier2[[#This Row],[Spend for which Tier 2 method accounts]]</f>
        <v>#VALUE!</v>
      </c>
      <c r="J299" s="423" t="s">
        <v>1095</v>
      </c>
      <c r="K299" s="423" t="str">
        <f>IFERROR(SupplychainTier2[[#This Row],[Calculated emissions (kgCO2e) for this spend]]/SupplychainTier2[[#This Row],[Spend for which Tier 2 method accounts]],"")</f>
        <v/>
      </c>
      <c r="L299" s="442"/>
      <c r="M299" s="201"/>
      <c r="N299" s="201"/>
      <c r="O299" s="255">
        <v>0</v>
      </c>
      <c r="P299" s="255">
        <v>0</v>
      </c>
      <c r="Q299" s="255" t="e">
        <f>SupplychainTier2[[#This Row],[Calculated emissions (kgCO2e) for this spend]]</f>
        <v>#VALUE!</v>
      </c>
      <c r="R299" s="255">
        <v>0</v>
      </c>
      <c r="S299" s="255">
        <v>0</v>
      </c>
      <c r="T299" s="387" t="e">
        <f>IF(SupplychainTier2[[#This Row],[Calculated emissions (kgCO2e) for this spend]]="","",(SupplychainTier2[[#This Row],[Calculated emissions (kgCO2e) for this spend]]*(1+SupplychainTier2[[#This Row],[RSD]])))</f>
        <v>#VALUE!</v>
      </c>
      <c r="U299" s="387" t="e">
        <f>IF(SupplychainTier2[[#This Row],[Calculated emissions (kgCO2e) for this spend]]="","",(SupplychainTier2[[#This Row],[Calculated emissions (kgCO2e) for this spend]]*(1-SupplychainTier2[[#This Row],[RSD]])))</f>
        <v>#VALUE!</v>
      </c>
      <c r="V299" s="255">
        <v>0</v>
      </c>
    </row>
    <row r="300" spans="2:22" ht="15" thickBot="1" x14ac:dyDescent="0.4">
      <c r="B300" s="173" t="str">
        <f t="shared" si="17"/>
        <v/>
      </c>
      <c r="C300" s="285" t="str">
        <f t="shared" si="18"/>
        <v/>
      </c>
      <c r="D300" s="211"/>
      <c r="E300" s="420" t="s">
        <v>163</v>
      </c>
      <c r="F300" s="209"/>
      <c r="G300" s="148"/>
      <c r="H300" s="422" t="s">
        <v>1095</v>
      </c>
      <c r="I300" s="423" t="e">
        <f>SupplychainTier2[[#This Row],[Spend for which Tier 2 method accounts]]</f>
        <v>#VALUE!</v>
      </c>
      <c r="J300" s="423" t="s">
        <v>1095</v>
      </c>
      <c r="K300" s="423" t="str">
        <f>IFERROR(SupplychainTier2[[#This Row],[Calculated emissions (kgCO2e) for this spend]]/SupplychainTier2[[#This Row],[Spend for which Tier 2 method accounts]],"")</f>
        <v/>
      </c>
      <c r="L300" s="442"/>
      <c r="M300" s="201"/>
      <c r="N300" s="201"/>
      <c r="O300" s="255">
        <v>0</v>
      </c>
      <c r="P300" s="255">
        <v>0</v>
      </c>
      <c r="Q300" s="255" t="e">
        <f>SupplychainTier2[[#This Row],[Calculated emissions (kgCO2e) for this spend]]</f>
        <v>#VALUE!</v>
      </c>
      <c r="R300" s="255">
        <v>0</v>
      </c>
      <c r="S300" s="255">
        <v>0</v>
      </c>
      <c r="T300" s="387" t="e">
        <f>IF(SupplychainTier2[[#This Row],[Calculated emissions (kgCO2e) for this spend]]="","",(SupplychainTier2[[#This Row],[Calculated emissions (kgCO2e) for this spend]]*(1+SupplychainTier2[[#This Row],[RSD]])))</f>
        <v>#VALUE!</v>
      </c>
      <c r="U300" s="387" t="e">
        <f>IF(SupplychainTier2[[#This Row],[Calculated emissions (kgCO2e) for this spend]]="","",(SupplychainTier2[[#This Row],[Calculated emissions (kgCO2e) for this spend]]*(1-SupplychainTier2[[#This Row],[RSD]])))</f>
        <v>#VALUE!</v>
      </c>
      <c r="V300" s="255">
        <v>0</v>
      </c>
    </row>
    <row r="301" spans="2:22" ht="15" thickBot="1" x14ac:dyDescent="0.4">
      <c r="B301" s="173" t="str">
        <f t="shared" si="17"/>
        <v/>
      </c>
      <c r="C301" s="285" t="str">
        <f t="shared" si="18"/>
        <v/>
      </c>
      <c r="D301" s="211"/>
      <c r="E301" s="420" t="s">
        <v>163</v>
      </c>
      <c r="F301" s="209"/>
      <c r="G301" s="148"/>
      <c r="H301" s="422" t="s">
        <v>1095</v>
      </c>
      <c r="I301" s="423" t="e">
        <f>SupplychainTier2[[#This Row],[Spend for which Tier 2 method accounts]]</f>
        <v>#VALUE!</v>
      </c>
      <c r="J301" s="423" t="s">
        <v>1095</v>
      </c>
      <c r="K301" s="423" t="str">
        <f>IFERROR(SupplychainTier2[[#This Row],[Calculated emissions (kgCO2e) for this spend]]/SupplychainTier2[[#This Row],[Spend for which Tier 2 method accounts]],"")</f>
        <v/>
      </c>
      <c r="L301" s="442"/>
      <c r="M301" s="201"/>
      <c r="N301" s="201"/>
      <c r="O301" s="255">
        <v>0</v>
      </c>
      <c r="P301" s="255">
        <v>0</v>
      </c>
      <c r="Q301" s="255" t="e">
        <f>SupplychainTier2[[#This Row],[Calculated emissions (kgCO2e) for this spend]]</f>
        <v>#VALUE!</v>
      </c>
      <c r="R301" s="255">
        <v>0</v>
      </c>
      <c r="S301" s="255">
        <v>0</v>
      </c>
      <c r="T301" s="387" t="e">
        <f>IF(SupplychainTier2[[#This Row],[Calculated emissions (kgCO2e) for this spend]]="","",(SupplychainTier2[[#This Row],[Calculated emissions (kgCO2e) for this spend]]*(1+SupplychainTier2[[#This Row],[RSD]])))</f>
        <v>#VALUE!</v>
      </c>
      <c r="U301" s="387" t="e">
        <f>IF(SupplychainTier2[[#This Row],[Calculated emissions (kgCO2e) for this spend]]="","",(SupplychainTier2[[#This Row],[Calculated emissions (kgCO2e) for this spend]]*(1-SupplychainTier2[[#This Row],[RSD]])))</f>
        <v>#VALUE!</v>
      </c>
      <c r="V301" s="255">
        <v>0</v>
      </c>
    </row>
    <row r="302" spans="2:22" ht="15" thickBot="1" x14ac:dyDescent="0.4">
      <c r="B302" s="173" t="str">
        <f t="shared" si="17"/>
        <v/>
      </c>
      <c r="C302" s="285" t="str">
        <f t="shared" si="18"/>
        <v/>
      </c>
      <c r="D302" s="211"/>
      <c r="E302" s="420" t="s">
        <v>163</v>
      </c>
      <c r="F302" s="209"/>
      <c r="G302" s="148"/>
      <c r="H302" s="422" t="s">
        <v>1095</v>
      </c>
      <c r="I302" s="423" t="e">
        <f>SupplychainTier2[[#This Row],[Spend for which Tier 2 method accounts]]</f>
        <v>#VALUE!</v>
      </c>
      <c r="J302" s="423" t="s">
        <v>1095</v>
      </c>
      <c r="K302" s="423" t="str">
        <f>IFERROR(SupplychainTier2[[#This Row],[Calculated emissions (kgCO2e) for this spend]]/SupplychainTier2[[#This Row],[Spend for which Tier 2 method accounts]],"")</f>
        <v/>
      </c>
      <c r="L302" s="442"/>
      <c r="M302" s="201"/>
      <c r="N302" s="201"/>
      <c r="O302" s="255">
        <v>0</v>
      </c>
      <c r="P302" s="255">
        <v>0</v>
      </c>
      <c r="Q302" s="255" t="e">
        <f>SupplychainTier2[[#This Row],[Calculated emissions (kgCO2e) for this spend]]</f>
        <v>#VALUE!</v>
      </c>
      <c r="R302" s="255">
        <v>0</v>
      </c>
      <c r="S302" s="255">
        <v>0</v>
      </c>
      <c r="T302" s="387" t="e">
        <f>IF(SupplychainTier2[[#This Row],[Calculated emissions (kgCO2e) for this spend]]="","",(SupplychainTier2[[#This Row],[Calculated emissions (kgCO2e) for this spend]]*(1+SupplychainTier2[[#This Row],[RSD]])))</f>
        <v>#VALUE!</v>
      </c>
      <c r="U302" s="387" t="e">
        <f>IF(SupplychainTier2[[#This Row],[Calculated emissions (kgCO2e) for this spend]]="","",(SupplychainTier2[[#This Row],[Calculated emissions (kgCO2e) for this spend]]*(1-SupplychainTier2[[#This Row],[RSD]])))</f>
        <v>#VALUE!</v>
      </c>
      <c r="V302" s="255">
        <v>0</v>
      </c>
    </row>
    <row r="303" spans="2:22" ht="15" thickBot="1" x14ac:dyDescent="0.4">
      <c r="B303" s="173" t="str">
        <f t="shared" si="17"/>
        <v/>
      </c>
      <c r="C303" s="285" t="str">
        <f t="shared" si="18"/>
        <v/>
      </c>
      <c r="D303" s="211"/>
      <c r="E303" s="420" t="s">
        <v>163</v>
      </c>
      <c r="F303" s="209"/>
      <c r="G303" s="148"/>
      <c r="H303" s="422" t="s">
        <v>1095</v>
      </c>
      <c r="I303" s="423" t="e">
        <f>SupplychainTier2[[#This Row],[Spend for which Tier 2 method accounts]]</f>
        <v>#VALUE!</v>
      </c>
      <c r="J303" s="423" t="s">
        <v>1095</v>
      </c>
      <c r="K303" s="423" t="str">
        <f>IFERROR(SupplychainTier2[[#This Row],[Calculated emissions (kgCO2e) for this spend]]/SupplychainTier2[[#This Row],[Spend for which Tier 2 method accounts]],"")</f>
        <v/>
      </c>
      <c r="L303" s="442"/>
      <c r="M303" s="201"/>
      <c r="N303" s="201"/>
      <c r="O303" s="255">
        <v>0</v>
      </c>
      <c r="P303" s="255">
        <v>0</v>
      </c>
      <c r="Q303" s="255" t="e">
        <f>SupplychainTier2[[#This Row],[Calculated emissions (kgCO2e) for this spend]]</f>
        <v>#VALUE!</v>
      </c>
      <c r="R303" s="255">
        <v>0</v>
      </c>
      <c r="S303" s="255">
        <v>0</v>
      </c>
      <c r="T303" s="387" t="e">
        <f>IF(SupplychainTier2[[#This Row],[Calculated emissions (kgCO2e) for this spend]]="","",(SupplychainTier2[[#This Row],[Calculated emissions (kgCO2e) for this spend]]*(1+SupplychainTier2[[#This Row],[RSD]])))</f>
        <v>#VALUE!</v>
      </c>
      <c r="U303" s="387" t="e">
        <f>IF(SupplychainTier2[[#This Row],[Calculated emissions (kgCO2e) for this spend]]="","",(SupplychainTier2[[#This Row],[Calculated emissions (kgCO2e) for this spend]]*(1-SupplychainTier2[[#This Row],[RSD]])))</f>
        <v>#VALUE!</v>
      </c>
      <c r="V303" s="255">
        <v>0</v>
      </c>
    </row>
    <row r="304" spans="2:22" ht="15" thickBot="1" x14ac:dyDescent="0.4">
      <c r="B304" s="173" t="str">
        <f t="shared" si="17"/>
        <v/>
      </c>
      <c r="C304" s="285" t="str">
        <f t="shared" si="18"/>
        <v/>
      </c>
      <c r="D304" s="211"/>
      <c r="E304" s="420" t="s">
        <v>163</v>
      </c>
      <c r="F304" s="209"/>
      <c r="G304" s="148"/>
      <c r="H304" s="422" t="s">
        <v>1095</v>
      </c>
      <c r="I304" s="423" t="e">
        <f>SupplychainTier2[[#This Row],[Spend for which Tier 2 method accounts]]</f>
        <v>#VALUE!</v>
      </c>
      <c r="J304" s="423" t="s">
        <v>1095</v>
      </c>
      <c r="K304" s="423" t="str">
        <f>IFERROR(SupplychainTier2[[#This Row],[Calculated emissions (kgCO2e) for this spend]]/SupplychainTier2[[#This Row],[Spend for which Tier 2 method accounts]],"")</f>
        <v/>
      </c>
      <c r="L304" s="442"/>
      <c r="M304" s="201"/>
      <c r="N304" s="201"/>
      <c r="O304" s="255">
        <v>0</v>
      </c>
      <c r="P304" s="255">
        <v>0</v>
      </c>
      <c r="Q304" s="255" t="e">
        <f>SupplychainTier2[[#This Row],[Calculated emissions (kgCO2e) for this spend]]</f>
        <v>#VALUE!</v>
      </c>
      <c r="R304" s="255">
        <v>0</v>
      </c>
      <c r="S304" s="255">
        <v>0</v>
      </c>
      <c r="T304" s="387" t="e">
        <f>IF(SupplychainTier2[[#This Row],[Calculated emissions (kgCO2e) for this spend]]="","",(SupplychainTier2[[#This Row],[Calculated emissions (kgCO2e) for this spend]]*(1+SupplychainTier2[[#This Row],[RSD]])))</f>
        <v>#VALUE!</v>
      </c>
      <c r="U304" s="387" t="e">
        <f>IF(SupplychainTier2[[#This Row],[Calculated emissions (kgCO2e) for this spend]]="","",(SupplychainTier2[[#This Row],[Calculated emissions (kgCO2e) for this spend]]*(1-SupplychainTier2[[#This Row],[RSD]])))</f>
        <v>#VALUE!</v>
      </c>
      <c r="V304" s="255">
        <v>0</v>
      </c>
    </row>
    <row r="305" spans="2:22" ht="15" thickBot="1" x14ac:dyDescent="0.4">
      <c r="B305" s="173" t="str">
        <f t="shared" si="17"/>
        <v/>
      </c>
      <c r="C305" s="285" t="str">
        <f t="shared" si="18"/>
        <v/>
      </c>
      <c r="D305" s="211"/>
      <c r="E305" s="420" t="s">
        <v>163</v>
      </c>
      <c r="F305" s="209"/>
      <c r="G305" s="148"/>
      <c r="H305" s="422" t="s">
        <v>1095</v>
      </c>
      <c r="I305" s="423" t="e">
        <f>SupplychainTier2[[#This Row],[Spend for which Tier 2 method accounts]]</f>
        <v>#VALUE!</v>
      </c>
      <c r="J305" s="423" t="s">
        <v>1095</v>
      </c>
      <c r="K305" s="423" t="str">
        <f>IFERROR(SupplychainTier2[[#This Row],[Calculated emissions (kgCO2e) for this spend]]/SupplychainTier2[[#This Row],[Spend for which Tier 2 method accounts]],"")</f>
        <v/>
      </c>
      <c r="L305" s="442"/>
      <c r="M305" s="201"/>
      <c r="N305" s="201"/>
      <c r="O305" s="255">
        <v>0</v>
      </c>
      <c r="P305" s="255">
        <v>0</v>
      </c>
      <c r="Q305" s="255" t="e">
        <f>SupplychainTier2[[#This Row],[Calculated emissions (kgCO2e) for this spend]]</f>
        <v>#VALUE!</v>
      </c>
      <c r="R305" s="255">
        <v>0</v>
      </c>
      <c r="S305" s="255">
        <v>0</v>
      </c>
      <c r="T305" s="387" t="e">
        <f>IF(SupplychainTier2[[#This Row],[Calculated emissions (kgCO2e) for this spend]]="","",(SupplychainTier2[[#This Row],[Calculated emissions (kgCO2e) for this spend]]*(1+SupplychainTier2[[#This Row],[RSD]])))</f>
        <v>#VALUE!</v>
      </c>
      <c r="U305" s="387" t="e">
        <f>IF(SupplychainTier2[[#This Row],[Calculated emissions (kgCO2e) for this spend]]="","",(SupplychainTier2[[#This Row],[Calculated emissions (kgCO2e) for this spend]]*(1-SupplychainTier2[[#This Row],[RSD]])))</f>
        <v>#VALUE!</v>
      </c>
      <c r="V305" s="255">
        <v>0</v>
      </c>
    </row>
    <row r="306" spans="2:22" ht="15" thickBot="1" x14ac:dyDescent="0.4">
      <c r="B306" s="173" t="str">
        <f t="shared" si="17"/>
        <v/>
      </c>
      <c r="C306" s="285" t="str">
        <f t="shared" si="18"/>
        <v/>
      </c>
      <c r="D306" s="211"/>
      <c r="E306" s="420" t="s">
        <v>163</v>
      </c>
      <c r="F306" s="209"/>
      <c r="G306" s="148"/>
      <c r="H306" s="422" t="s">
        <v>1095</v>
      </c>
      <c r="I306" s="423" t="e">
        <f>SupplychainTier2[[#This Row],[Spend for which Tier 2 method accounts]]</f>
        <v>#VALUE!</v>
      </c>
      <c r="J306" s="423" t="s">
        <v>1095</v>
      </c>
      <c r="K306" s="423" t="str">
        <f>IFERROR(SupplychainTier2[[#This Row],[Calculated emissions (kgCO2e) for this spend]]/SupplychainTier2[[#This Row],[Spend for which Tier 2 method accounts]],"")</f>
        <v/>
      </c>
      <c r="L306" s="442"/>
      <c r="M306" s="201"/>
      <c r="N306" s="201"/>
      <c r="O306" s="255">
        <v>0</v>
      </c>
      <c r="P306" s="255">
        <v>0</v>
      </c>
      <c r="Q306" s="255" t="e">
        <f>SupplychainTier2[[#This Row],[Calculated emissions (kgCO2e) for this spend]]</f>
        <v>#VALUE!</v>
      </c>
      <c r="R306" s="255">
        <v>0</v>
      </c>
      <c r="S306" s="255">
        <v>0</v>
      </c>
      <c r="T306" s="387" t="e">
        <f>IF(SupplychainTier2[[#This Row],[Calculated emissions (kgCO2e) for this spend]]="","",(SupplychainTier2[[#This Row],[Calculated emissions (kgCO2e) for this spend]]*(1+SupplychainTier2[[#This Row],[RSD]])))</f>
        <v>#VALUE!</v>
      </c>
      <c r="U306" s="387" t="e">
        <f>IF(SupplychainTier2[[#This Row],[Calculated emissions (kgCO2e) for this spend]]="","",(SupplychainTier2[[#This Row],[Calculated emissions (kgCO2e) for this spend]]*(1-SupplychainTier2[[#This Row],[RSD]])))</f>
        <v>#VALUE!</v>
      </c>
      <c r="V306" s="255">
        <v>0</v>
      </c>
    </row>
    <row r="307" spans="2:22" ht="15" thickBot="1" x14ac:dyDescent="0.4">
      <c r="B307" s="173" t="str">
        <f t="shared" si="17"/>
        <v/>
      </c>
      <c r="C307" s="285" t="str">
        <f t="shared" si="18"/>
        <v/>
      </c>
      <c r="D307" s="211"/>
      <c r="E307" s="420" t="s">
        <v>163</v>
      </c>
      <c r="F307" s="209"/>
      <c r="G307" s="148"/>
      <c r="H307" s="422" t="s">
        <v>1095</v>
      </c>
      <c r="I307" s="423" t="e">
        <f>SupplychainTier2[[#This Row],[Spend for which Tier 2 method accounts]]</f>
        <v>#VALUE!</v>
      </c>
      <c r="J307" s="423" t="s">
        <v>1095</v>
      </c>
      <c r="K307" s="423" t="str">
        <f>IFERROR(SupplychainTier2[[#This Row],[Calculated emissions (kgCO2e) for this spend]]/SupplychainTier2[[#This Row],[Spend for which Tier 2 method accounts]],"")</f>
        <v/>
      </c>
      <c r="L307" s="442"/>
      <c r="M307" s="201"/>
      <c r="N307" s="201"/>
      <c r="O307" s="255">
        <v>0</v>
      </c>
      <c r="P307" s="255">
        <v>0</v>
      </c>
      <c r="Q307" s="255" t="e">
        <f>SupplychainTier2[[#This Row],[Calculated emissions (kgCO2e) for this spend]]</f>
        <v>#VALUE!</v>
      </c>
      <c r="R307" s="255">
        <v>0</v>
      </c>
      <c r="S307" s="255">
        <v>0</v>
      </c>
      <c r="T307" s="387" t="e">
        <f>IF(SupplychainTier2[[#This Row],[Calculated emissions (kgCO2e) for this spend]]="","",(SupplychainTier2[[#This Row],[Calculated emissions (kgCO2e) for this spend]]*(1+SupplychainTier2[[#This Row],[RSD]])))</f>
        <v>#VALUE!</v>
      </c>
      <c r="U307" s="387" t="e">
        <f>IF(SupplychainTier2[[#This Row],[Calculated emissions (kgCO2e) for this spend]]="","",(SupplychainTier2[[#This Row],[Calculated emissions (kgCO2e) for this spend]]*(1-SupplychainTier2[[#This Row],[RSD]])))</f>
        <v>#VALUE!</v>
      </c>
      <c r="V307" s="255">
        <v>0</v>
      </c>
    </row>
    <row r="308" spans="2:22" ht="15" thickBot="1" x14ac:dyDescent="0.4">
      <c r="B308" s="173" t="str">
        <f t="shared" si="17"/>
        <v/>
      </c>
      <c r="C308" s="285" t="str">
        <f t="shared" si="18"/>
        <v/>
      </c>
      <c r="D308" s="211"/>
      <c r="E308" s="420" t="s">
        <v>163</v>
      </c>
      <c r="F308" s="209"/>
      <c r="G308" s="148"/>
      <c r="H308" s="422" t="s">
        <v>1095</v>
      </c>
      <c r="I308" s="423" t="e">
        <f>SupplychainTier2[[#This Row],[Spend for which Tier 2 method accounts]]</f>
        <v>#VALUE!</v>
      </c>
      <c r="J308" s="423" t="s">
        <v>1095</v>
      </c>
      <c r="K308" s="423" t="str">
        <f>IFERROR(SupplychainTier2[[#This Row],[Calculated emissions (kgCO2e) for this spend]]/SupplychainTier2[[#This Row],[Spend for which Tier 2 method accounts]],"")</f>
        <v/>
      </c>
      <c r="L308" s="442"/>
      <c r="M308" s="201"/>
      <c r="N308" s="201"/>
      <c r="O308" s="255">
        <v>0</v>
      </c>
      <c r="P308" s="255">
        <v>0</v>
      </c>
      <c r="Q308" s="255" t="e">
        <f>SupplychainTier2[[#This Row],[Calculated emissions (kgCO2e) for this spend]]</f>
        <v>#VALUE!</v>
      </c>
      <c r="R308" s="255">
        <v>0</v>
      </c>
      <c r="S308" s="255">
        <v>0</v>
      </c>
      <c r="T308" s="387" t="e">
        <f>IF(SupplychainTier2[[#This Row],[Calculated emissions (kgCO2e) for this spend]]="","",(SupplychainTier2[[#This Row],[Calculated emissions (kgCO2e) for this spend]]*(1+SupplychainTier2[[#This Row],[RSD]])))</f>
        <v>#VALUE!</v>
      </c>
      <c r="U308" s="387" t="e">
        <f>IF(SupplychainTier2[[#This Row],[Calculated emissions (kgCO2e) for this spend]]="","",(SupplychainTier2[[#This Row],[Calculated emissions (kgCO2e) for this spend]]*(1-SupplychainTier2[[#This Row],[RSD]])))</f>
        <v>#VALUE!</v>
      </c>
      <c r="V308" s="255">
        <v>0</v>
      </c>
    </row>
    <row r="309" spans="2:22" ht="15" thickBot="1" x14ac:dyDescent="0.4">
      <c r="B309" s="173" t="str">
        <f t="shared" si="17"/>
        <v/>
      </c>
      <c r="C309" s="285" t="str">
        <f t="shared" si="18"/>
        <v/>
      </c>
      <c r="D309" s="211"/>
      <c r="E309" s="420" t="s">
        <v>163</v>
      </c>
      <c r="F309" s="209"/>
      <c r="G309" s="148"/>
      <c r="H309" s="422" t="s">
        <v>1095</v>
      </c>
      <c r="I309" s="423" t="e">
        <f>SupplychainTier2[[#This Row],[Spend for which Tier 2 method accounts]]</f>
        <v>#VALUE!</v>
      </c>
      <c r="J309" s="423" t="s">
        <v>1095</v>
      </c>
      <c r="K309" s="423" t="str">
        <f>IFERROR(SupplychainTier2[[#This Row],[Calculated emissions (kgCO2e) for this spend]]/SupplychainTier2[[#This Row],[Spend for which Tier 2 method accounts]],"")</f>
        <v/>
      </c>
      <c r="L309" s="442"/>
      <c r="M309" s="201"/>
      <c r="N309" s="201"/>
      <c r="O309" s="255">
        <v>0</v>
      </c>
      <c r="P309" s="255">
        <v>0</v>
      </c>
      <c r="Q309" s="255" t="e">
        <f>SupplychainTier2[[#This Row],[Calculated emissions (kgCO2e) for this spend]]</f>
        <v>#VALUE!</v>
      </c>
      <c r="R309" s="255">
        <v>0</v>
      </c>
      <c r="S309" s="255">
        <v>0</v>
      </c>
      <c r="T309" s="387" t="e">
        <f>IF(SupplychainTier2[[#This Row],[Calculated emissions (kgCO2e) for this spend]]="","",(SupplychainTier2[[#This Row],[Calculated emissions (kgCO2e) for this spend]]*(1+SupplychainTier2[[#This Row],[RSD]])))</f>
        <v>#VALUE!</v>
      </c>
      <c r="U309" s="387" t="e">
        <f>IF(SupplychainTier2[[#This Row],[Calculated emissions (kgCO2e) for this spend]]="","",(SupplychainTier2[[#This Row],[Calculated emissions (kgCO2e) for this spend]]*(1-SupplychainTier2[[#This Row],[RSD]])))</f>
        <v>#VALUE!</v>
      </c>
      <c r="V309" s="255">
        <v>0</v>
      </c>
    </row>
    <row r="310" spans="2:22" ht="15" thickBot="1" x14ac:dyDescent="0.4">
      <c r="B310" s="173" t="str">
        <f t="shared" si="17"/>
        <v/>
      </c>
      <c r="C310" s="285" t="str">
        <f t="shared" si="18"/>
        <v/>
      </c>
      <c r="D310" s="211"/>
      <c r="E310" s="420" t="s">
        <v>163</v>
      </c>
      <c r="F310" s="209"/>
      <c r="G310" s="148"/>
      <c r="H310" s="422" t="s">
        <v>1095</v>
      </c>
      <c r="I310" s="423" t="e">
        <f>SupplychainTier2[[#This Row],[Spend for which Tier 2 method accounts]]</f>
        <v>#VALUE!</v>
      </c>
      <c r="J310" s="423" t="s">
        <v>1095</v>
      </c>
      <c r="K310" s="423" t="str">
        <f>IFERROR(SupplychainTier2[[#This Row],[Calculated emissions (kgCO2e) for this spend]]/SupplychainTier2[[#This Row],[Spend for which Tier 2 method accounts]],"")</f>
        <v/>
      </c>
      <c r="L310" s="442"/>
      <c r="M310" s="201"/>
      <c r="N310" s="201"/>
      <c r="O310" s="255">
        <v>0</v>
      </c>
      <c r="P310" s="255">
        <v>0</v>
      </c>
      <c r="Q310" s="255" t="e">
        <f>SupplychainTier2[[#This Row],[Calculated emissions (kgCO2e) for this spend]]</f>
        <v>#VALUE!</v>
      </c>
      <c r="R310" s="255">
        <v>0</v>
      </c>
      <c r="S310" s="255">
        <v>0</v>
      </c>
      <c r="T310" s="387" t="e">
        <f>IF(SupplychainTier2[[#This Row],[Calculated emissions (kgCO2e) for this spend]]="","",(SupplychainTier2[[#This Row],[Calculated emissions (kgCO2e) for this spend]]*(1+SupplychainTier2[[#This Row],[RSD]])))</f>
        <v>#VALUE!</v>
      </c>
      <c r="U310" s="387" t="e">
        <f>IF(SupplychainTier2[[#This Row],[Calculated emissions (kgCO2e) for this spend]]="","",(SupplychainTier2[[#This Row],[Calculated emissions (kgCO2e) for this spend]]*(1-SupplychainTier2[[#This Row],[RSD]])))</f>
        <v>#VALUE!</v>
      </c>
      <c r="V310" s="255">
        <v>0</v>
      </c>
    </row>
    <row r="311" spans="2:22" ht="15" thickBot="1" x14ac:dyDescent="0.4">
      <c r="B311" s="173" t="str">
        <f t="shared" si="17"/>
        <v/>
      </c>
      <c r="C311" s="285" t="str">
        <f t="shared" si="18"/>
        <v/>
      </c>
      <c r="D311" s="211"/>
      <c r="E311" s="420" t="s">
        <v>163</v>
      </c>
      <c r="F311" s="209"/>
      <c r="G311" s="148"/>
      <c r="H311" s="422" t="s">
        <v>1095</v>
      </c>
      <c r="I311" s="423" t="e">
        <f>SupplychainTier2[[#This Row],[Spend for which Tier 2 method accounts]]</f>
        <v>#VALUE!</v>
      </c>
      <c r="J311" s="423" t="s">
        <v>1095</v>
      </c>
      <c r="K311" s="423" t="str">
        <f>IFERROR(SupplychainTier2[[#This Row],[Calculated emissions (kgCO2e) for this spend]]/SupplychainTier2[[#This Row],[Spend for which Tier 2 method accounts]],"")</f>
        <v/>
      </c>
      <c r="L311" s="442"/>
      <c r="M311" s="201"/>
      <c r="N311" s="201"/>
      <c r="O311" s="255">
        <v>0</v>
      </c>
      <c r="P311" s="255">
        <v>0</v>
      </c>
      <c r="Q311" s="255" t="e">
        <f>SupplychainTier2[[#This Row],[Calculated emissions (kgCO2e) for this spend]]</f>
        <v>#VALUE!</v>
      </c>
      <c r="R311" s="255">
        <v>0</v>
      </c>
      <c r="S311" s="255">
        <v>0</v>
      </c>
      <c r="T311" s="387" t="e">
        <f>IF(SupplychainTier2[[#This Row],[Calculated emissions (kgCO2e) for this spend]]="","",(SupplychainTier2[[#This Row],[Calculated emissions (kgCO2e) for this spend]]*(1+SupplychainTier2[[#This Row],[RSD]])))</f>
        <v>#VALUE!</v>
      </c>
      <c r="U311" s="387" t="e">
        <f>IF(SupplychainTier2[[#This Row],[Calculated emissions (kgCO2e) for this spend]]="","",(SupplychainTier2[[#This Row],[Calculated emissions (kgCO2e) for this spend]]*(1-SupplychainTier2[[#This Row],[RSD]])))</f>
        <v>#VALUE!</v>
      </c>
      <c r="V311" s="255">
        <v>0</v>
      </c>
    </row>
    <row r="312" spans="2:22" ht="15" thickBot="1" x14ac:dyDescent="0.4">
      <c r="B312" s="173" t="str">
        <f t="shared" si="17"/>
        <v/>
      </c>
      <c r="C312" s="285" t="str">
        <f t="shared" si="18"/>
        <v/>
      </c>
      <c r="D312" s="211"/>
      <c r="E312" s="420" t="s">
        <v>163</v>
      </c>
      <c r="F312" s="209"/>
      <c r="G312" s="148"/>
      <c r="H312" s="422" t="s">
        <v>1095</v>
      </c>
      <c r="I312" s="423" t="e">
        <f>SupplychainTier2[[#This Row],[Spend for which Tier 2 method accounts]]</f>
        <v>#VALUE!</v>
      </c>
      <c r="J312" s="423" t="s">
        <v>1095</v>
      </c>
      <c r="K312" s="423" t="str">
        <f>IFERROR(SupplychainTier2[[#This Row],[Calculated emissions (kgCO2e) for this spend]]/SupplychainTier2[[#This Row],[Spend for which Tier 2 method accounts]],"")</f>
        <v/>
      </c>
      <c r="L312" s="442"/>
      <c r="M312" s="201"/>
      <c r="N312" s="201"/>
      <c r="O312" s="255">
        <v>0</v>
      </c>
      <c r="P312" s="255">
        <v>0</v>
      </c>
      <c r="Q312" s="255" t="e">
        <f>SupplychainTier2[[#This Row],[Calculated emissions (kgCO2e) for this spend]]</f>
        <v>#VALUE!</v>
      </c>
      <c r="R312" s="255">
        <v>0</v>
      </c>
      <c r="S312" s="255">
        <v>0</v>
      </c>
      <c r="T312" s="387" t="e">
        <f>IF(SupplychainTier2[[#This Row],[Calculated emissions (kgCO2e) for this spend]]="","",(SupplychainTier2[[#This Row],[Calculated emissions (kgCO2e) for this spend]]*(1+SupplychainTier2[[#This Row],[RSD]])))</f>
        <v>#VALUE!</v>
      </c>
      <c r="U312" s="387" t="e">
        <f>IF(SupplychainTier2[[#This Row],[Calculated emissions (kgCO2e) for this spend]]="","",(SupplychainTier2[[#This Row],[Calculated emissions (kgCO2e) for this spend]]*(1-SupplychainTier2[[#This Row],[RSD]])))</f>
        <v>#VALUE!</v>
      </c>
      <c r="V312" s="255">
        <v>0</v>
      </c>
    </row>
    <row r="313" spans="2:22" ht="15" thickBot="1" x14ac:dyDescent="0.4">
      <c r="B313" s="173" t="str">
        <f t="shared" si="17"/>
        <v/>
      </c>
      <c r="C313" s="285" t="str">
        <f t="shared" si="18"/>
        <v/>
      </c>
      <c r="D313" s="211"/>
      <c r="E313" s="420" t="s">
        <v>163</v>
      </c>
      <c r="F313" s="209"/>
      <c r="G313" s="148"/>
      <c r="H313" s="422" t="s">
        <v>1095</v>
      </c>
      <c r="I313" s="423" t="e">
        <f>SupplychainTier2[[#This Row],[Spend for which Tier 2 method accounts]]</f>
        <v>#VALUE!</v>
      </c>
      <c r="J313" s="423" t="s">
        <v>1095</v>
      </c>
      <c r="K313" s="423" t="str">
        <f>IFERROR(SupplychainTier2[[#This Row],[Calculated emissions (kgCO2e) for this spend]]/SupplychainTier2[[#This Row],[Spend for which Tier 2 method accounts]],"")</f>
        <v/>
      </c>
      <c r="L313" s="442"/>
      <c r="M313" s="201"/>
      <c r="N313" s="201"/>
      <c r="O313" s="255">
        <v>0</v>
      </c>
      <c r="P313" s="255">
        <v>0</v>
      </c>
      <c r="Q313" s="255" t="e">
        <f>SupplychainTier2[[#This Row],[Calculated emissions (kgCO2e) for this spend]]</f>
        <v>#VALUE!</v>
      </c>
      <c r="R313" s="255">
        <v>0</v>
      </c>
      <c r="S313" s="255">
        <v>0</v>
      </c>
      <c r="T313" s="387" t="e">
        <f>IF(SupplychainTier2[[#This Row],[Calculated emissions (kgCO2e) for this spend]]="","",(SupplychainTier2[[#This Row],[Calculated emissions (kgCO2e) for this spend]]*(1+SupplychainTier2[[#This Row],[RSD]])))</f>
        <v>#VALUE!</v>
      </c>
      <c r="U313" s="387" t="e">
        <f>IF(SupplychainTier2[[#This Row],[Calculated emissions (kgCO2e) for this spend]]="","",(SupplychainTier2[[#This Row],[Calculated emissions (kgCO2e) for this spend]]*(1-SupplychainTier2[[#This Row],[RSD]])))</f>
        <v>#VALUE!</v>
      </c>
      <c r="V313" s="255">
        <v>0</v>
      </c>
    </row>
    <row r="314" spans="2:22" ht="15" thickBot="1" x14ac:dyDescent="0.4">
      <c r="B314" s="173" t="str">
        <f t="shared" si="17"/>
        <v/>
      </c>
      <c r="C314" s="285" t="str">
        <f t="shared" si="18"/>
        <v/>
      </c>
      <c r="D314" s="211"/>
      <c r="E314" s="420" t="s">
        <v>163</v>
      </c>
      <c r="F314" s="209"/>
      <c r="G314" s="148"/>
      <c r="H314" s="422" t="s">
        <v>1095</v>
      </c>
      <c r="I314" s="423" t="e">
        <f>SupplychainTier2[[#This Row],[Spend for which Tier 2 method accounts]]</f>
        <v>#VALUE!</v>
      </c>
      <c r="J314" s="423" t="s">
        <v>1095</v>
      </c>
      <c r="K314" s="423" t="str">
        <f>IFERROR(SupplychainTier2[[#This Row],[Calculated emissions (kgCO2e) for this spend]]/SupplychainTier2[[#This Row],[Spend for which Tier 2 method accounts]],"")</f>
        <v/>
      </c>
      <c r="L314" s="442"/>
      <c r="M314" s="201"/>
      <c r="N314" s="201"/>
      <c r="O314" s="255">
        <v>0</v>
      </c>
      <c r="P314" s="255">
        <v>0</v>
      </c>
      <c r="Q314" s="255" t="e">
        <f>SupplychainTier2[[#This Row],[Calculated emissions (kgCO2e) for this spend]]</f>
        <v>#VALUE!</v>
      </c>
      <c r="R314" s="255">
        <v>0</v>
      </c>
      <c r="S314" s="255">
        <v>0</v>
      </c>
      <c r="T314" s="387" t="e">
        <f>IF(SupplychainTier2[[#This Row],[Calculated emissions (kgCO2e) for this spend]]="","",(SupplychainTier2[[#This Row],[Calculated emissions (kgCO2e) for this spend]]*(1+SupplychainTier2[[#This Row],[RSD]])))</f>
        <v>#VALUE!</v>
      </c>
      <c r="U314" s="387" t="e">
        <f>IF(SupplychainTier2[[#This Row],[Calculated emissions (kgCO2e) for this spend]]="","",(SupplychainTier2[[#This Row],[Calculated emissions (kgCO2e) for this spend]]*(1-SupplychainTier2[[#This Row],[RSD]])))</f>
        <v>#VALUE!</v>
      </c>
      <c r="V314" s="255">
        <v>0</v>
      </c>
    </row>
    <row r="315" spans="2:22" ht="15" thickBot="1" x14ac:dyDescent="0.4">
      <c r="B315" s="173" t="str">
        <f t="shared" si="17"/>
        <v/>
      </c>
      <c r="C315" s="285" t="str">
        <f t="shared" si="18"/>
        <v/>
      </c>
      <c r="D315" s="211"/>
      <c r="E315" s="420" t="s">
        <v>163</v>
      </c>
      <c r="F315" s="209"/>
      <c r="G315" s="148"/>
      <c r="H315" s="422" t="s">
        <v>1095</v>
      </c>
      <c r="I315" s="423" t="e">
        <f>SupplychainTier2[[#This Row],[Spend for which Tier 2 method accounts]]</f>
        <v>#VALUE!</v>
      </c>
      <c r="J315" s="423" t="s">
        <v>1095</v>
      </c>
      <c r="K315" s="423" t="str">
        <f>IFERROR(SupplychainTier2[[#This Row],[Calculated emissions (kgCO2e) for this spend]]/SupplychainTier2[[#This Row],[Spend for which Tier 2 method accounts]],"")</f>
        <v/>
      </c>
      <c r="L315" s="442"/>
      <c r="M315" s="201"/>
      <c r="N315" s="201"/>
      <c r="O315" s="255">
        <v>0</v>
      </c>
      <c r="P315" s="255">
        <v>0</v>
      </c>
      <c r="Q315" s="255" t="e">
        <f>SupplychainTier2[[#This Row],[Calculated emissions (kgCO2e) for this spend]]</f>
        <v>#VALUE!</v>
      </c>
      <c r="R315" s="255">
        <v>0</v>
      </c>
      <c r="S315" s="255">
        <v>0</v>
      </c>
      <c r="T315" s="387" t="e">
        <f>IF(SupplychainTier2[[#This Row],[Calculated emissions (kgCO2e) for this spend]]="","",(SupplychainTier2[[#This Row],[Calculated emissions (kgCO2e) for this spend]]*(1+SupplychainTier2[[#This Row],[RSD]])))</f>
        <v>#VALUE!</v>
      </c>
      <c r="U315" s="387" t="e">
        <f>IF(SupplychainTier2[[#This Row],[Calculated emissions (kgCO2e) for this spend]]="","",(SupplychainTier2[[#This Row],[Calculated emissions (kgCO2e) for this spend]]*(1-SupplychainTier2[[#This Row],[RSD]])))</f>
        <v>#VALUE!</v>
      </c>
      <c r="V315" s="255">
        <v>0</v>
      </c>
    </row>
    <row r="316" spans="2:22" ht="15" thickBot="1" x14ac:dyDescent="0.4">
      <c r="B316" s="173" t="str">
        <f t="shared" si="17"/>
        <v/>
      </c>
      <c r="C316" s="285" t="str">
        <f t="shared" si="18"/>
        <v/>
      </c>
      <c r="D316" s="211"/>
      <c r="E316" s="420" t="s">
        <v>163</v>
      </c>
      <c r="F316" s="209"/>
      <c r="G316" s="148"/>
      <c r="H316" s="422" t="s">
        <v>1095</v>
      </c>
      <c r="I316" s="423" t="e">
        <f>SupplychainTier2[[#This Row],[Spend for which Tier 2 method accounts]]</f>
        <v>#VALUE!</v>
      </c>
      <c r="J316" s="423" t="s">
        <v>1095</v>
      </c>
      <c r="K316" s="423" t="str">
        <f>IFERROR(SupplychainTier2[[#This Row],[Calculated emissions (kgCO2e) for this spend]]/SupplychainTier2[[#This Row],[Spend for which Tier 2 method accounts]],"")</f>
        <v/>
      </c>
      <c r="L316" s="442"/>
      <c r="M316" s="201"/>
      <c r="N316" s="201"/>
      <c r="O316" s="255">
        <v>0</v>
      </c>
      <c r="P316" s="255">
        <v>0</v>
      </c>
      <c r="Q316" s="255" t="e">
        <f>SupplychainTier2[[#This Row],[Calculated emissions (kgCO2e) for this spend]]</f>
        <v>#VALUE!</v>
      </c>
      <c r="R316" s="255">
        <v>0</v>
      </c>
      <c r="S316" s="255">
        <v>0</v>
      </c>
      <c r="T316" s="387" t="e">
        <f>IF(SupplychainTier2[[#This Row],[Calculated emissions (kgCO2e) for this spend]]="","",(SupplychainTier2[[#This Row],[Calculated emissions (kgCO2e) for this spend]]*(1+SupplychainTier2[[#This Row],[RSD]])))</f>
        <v>#VALUE!</v>
      </c>
      <c r="U316" s="387" t="e">
        <f>IF(SupplychainTier2[[#This Row],[Calculated emissions (kgCO2e) for this spend]]="","",(SupplychainTier2[[#This Row],[Calculated emissions (kgCO2e) for this spend]]*(1-SupplychainTier2[[#This Row],[RSD]])))</f>
        <v>#VALUE!</v>
      </c>
      <c r="V316" s="255">
        <v>0</v>
      </c>
    </row>
    <row r="317" spans="2:22" ht="15" thickBot="1" x14ac:dyDescent="0.4">
      <c r="B317" s="173" t="str">
        <f t="shared" ref="B317:B375" si="19">IFERROR(VLOOKUP(D317,SICProductCodeLookup,2,FALSE), "")</f>
        <v/>
      </c>
      <c r="C317" s="285" t="str">
        <f t="shared" ref="C317:C375" si="20">IFERROR((VLOOKUP(D317,SICProductCodeLookup,3,FALSE)), "")</f>
        <v/>
      </c>
      <c r="D317" s="211"/>
      <c r="E317" s="420" t="s">
        <v>163</v>
      </c>
      <c r="F317" s="209"/>
      <c r="G317" s="148"/>
      <c r="H317" s="422" t="s">
        <v>1095</v>
      </c>
      <c r="I317" s="423" t="e">
        <f>SupplychainTier2[[#This Row],[Spend for which Tier 2 method accounts]]</f>
        <v>#VALUE!</v>
      </c>
      <c r="J317" s="423" t="s">
        <v>1095</v>
      </c>
      <c r="K317" s="423" t="str">
        <f>IFERROR(SupplychainTier2[[#This Row],[Calculated emissions (kgCO2e) for this spend]]/SupplychainTier2[[#This Row],[Spend for which Tier 2 method accounts]],"")</f>
        <v/>
      </c>
      <c r="L317" s="442"/>
      <c r="M317" s="201"/>
      <c r="N317" s="201"/>
      <c r="O317" s="255">
        <v>0</v>
      </c>
      <c r="P317" s="255">
        <v>0</v>
      </c>
      <c r="Q317" s="255" t="e">
        <f>SupplychainTier2[[#This Row],[Calculated emissions (kgCO2e) for this spend]]</f>
        <v>#VALUE!</v>
      </c>
      <c r="R317" s="255">
        <v>0</v>
      </c>
      <c r="S317" s="255">
        <v>0</v>
      </c>
      <c r="T317" s="387" t="e">
        <f>IF(SupplychainTier2[[#This Row],[Calculated emissions (kgCO2e) for this spend]]="","",(SupplychainTier2[[#This Row],[Calculated emissions (kgCO2e) for this spend]]*(1+SupplychainTier2[[#This Row],[RSD]])))</f>
        <v>#VALUE!</v>
      </c>
      <c r="U317" s="387" t="e">
        <f>IF(SupplychainTier2[[#This Row],[Calculated emissions (kgCO2e) for this spend]]="","",(SupplychainTier2[[#This Row],[Calculated emissions (kgCO2e) for this spend]]*(1-SupplychainTier2[[#This Row],[RSD]])))</f>
        <v>#VALUE!</v>
      </c>
      <c r="V317" s="255">
        <v>0</v>
      </c>
    </row>
    <row r="318" spans="2:22" ht="15" thickBot="1" x14ac:dyDescent="0.4">
      <c r="B318" s="173" t="str">
        <f t="shared" si="19"/>
        <v/>
      </c>
      <c r="C318" s="285" t="str">
        <f t="shared" si="20"/>
        <v/>
      </c>
      <c r="D318" s="211"/>
      <c r="E318" s="420" t="s">
        <v>163</v>
      </c>
      <c r="F318" s="209"/>
      <c r="G318" s="148"/>
      <c r="H318" s="422" t="s">
        <v>1095</v>
      </c>
      <c r="I318" s="423" t="e">
        <f>SupplychainTier2[[#This Row],[Spend for which Tier 2 method accounts]]</f>
        <v>#VALUE!</v>
      </c>
      <c r="J318" s="423" t="s">
        <v>1095</v>
      </c>
      <c r="K318" s="423" t="str">
        <f>IFERROR(SupplychainTier2[[#This Row],[Calculated emissions (kgCO2e) for this spend]]/SupplychainTier2[[#This Row],[Spend for which Tier 2 method accounts]],"")</f>
        <v/>
      </c>
      <c r="L318" s="442"/>
      <c r="M318" s="201"/>
      <c r="N318" s="201"/>
      <c r="O318" s="255">
        <v>0</v>
      </c>
      <c r="P318" s="255">
        <v>0</v>
      </c>
      <c r="Q318" s="255" t="e">
        <f>SupplychainTier2[[#This Row],[Calculated emissions (kgCO2e) for this spend]]</f>
        <v>#VALUE!</v>
      </c>
      <c r="R318" s="255">
        <v>0</v>
      </c>
      <c r="S318" s="255">
        <v>0</v>
      </c>
      <c r="T318" s="387" t="e">
        <f>IF(SupplychainTier2[[#This Row],[Calculated emissions (kgCO2e) for this spend]]="","",(SupplychainTier2[[#This Row],[Calculated emissions (kgCO2e) for this spend]]*(1+SupplychainTier2[[#This Row],[RSD]])))</f>
        <v>#VALUE!</v>
      </c>
      <c r="U318" s="387" t="e">
        <f>IF(SupplychainTier2[[#This Row],[Calculated emissions (kgCO2e) for this spend]]="","",(SupplychainTier2[[#This Row],[Calculated emissions (kgCO2e) for this spend]]*(1-SupplychainTier2[[#This Row],[RSD]])))</f>
        <v>#VALUE!</v>
      </c>
      <c r="V318" s="255">
        <v>0</v>
      </c>
    </row>
    <row r="319" spans="2:22" ht="15" thickBot="1" x14ac:dyDescent="0.4">
      <c r="B319" s="173" t="str">
        <f t="shared" si="19"/>
        <v/>
      </c>
      <c r="C319" s="285" t="str">
        <f t="shared" si="20"/>
        <v/>
      </c>
      <c r="D319" s="211"/>
      <c r="E319" s="420" t="s">
        <v>163</v>
      </c>
      <c r="F319" s="209"/>
      <c r="G319" s="148"/>
      <c r="H319" s="422" t="s">
        <v>1095</v>
      </c>
      <c r="I319" s="423" t="e">
        <f>SupplychainTier2[[#This Row],[Spend for which Tier 2 method accounts]]</f>
        <v>#VALUE!</v>
      </c>
      <c r="J319" s="423" t="s">
        <v>1095</v>
      </c>
      <c r="K319" s="423" t="str">
        <f>IFERROR(SupplychainTier2[[#This Row],[Calculated emissions (kgCO2e) for this spend]]/SupplychainTier2[[#This Row],[Spend for which Tier 2 method accounts]],"")</f>
        <v/>
      </c>
      <c r="L319" s="442"/>
      <c r="M319" s="201"/>
      <c r="N319" s="201"/>
      <c r="O319" s="255">
        <v>0</v>
      </c>
      <c r="P319" s="255">
        <v>0</v>
      </c>
      <c r="Q319" s="255" t="e">
        <f>SupplychainTier2[[#This Row],[Calculated emissions (kgCO2e) for this spend]]</f>
        <v>#VALUE!</v>
      </c>
      <c r="R319" s="255">
        <v>0</v>
      </c>
      <c r="S319" s="255">
        <v>0</v>
      </c>
      <c r="T319" s="387" t="e">
        <f>IF(SupplychainTier2[[#This Row],[Calculated emissions (kgCO2e) for this spend]]="","",(SupplychainTier2[[#This Row],[Calculated emissions (kgCO2e) for this spend]]*(1+SupplychainTier2[[#This Row],[RSD]])))</f>
        <v>#VALUE!</v>
      </c>
      <c r="U319" s="387" t="e">
        <f>IF(SupplychainTier2[[#This Row],[Calculated emissions (kgCO2e) for this spend]]="","",(SupplychainTier2[[#This Row],[Calculated emissions (kgCO2e) for this spend]]*(1-SupplychainTier2[[#This Row],[RSD]])))</f>
        <v>#VALUE!</v>
      </c>
      <c r="V319" s="255">
        <v>0</v>
      </c>
    </row>
    <row r="320" spans="2:22" ht="15" thickBot="1" x14ac:dyDescent="0.4">
      <c r="B320" s="173" t="str">
        <f t="shared" si="19"/>
        <v/>
      </c>
      <c r="C320" s="285" t="str">
        <f t="shared" si="20"/>
        <v/>
      </c>
      <c r="D320" s="211"/>
      <c r="E320" s="420" t="s">
        <v>163</v>
      </c>
      <c r="F320" s="209"/>
      <c r="G320" s="148"/>
      <c r="H320" s="422" t="s">
        <v>1095</v>
      </c>
      <c r="I320" s="423" t="e">
        <f>SupplychainTier2[[#This Row],[Spend for which Tier 2 method accounts]]</f>
        <v>#VALUE!</v>
      </c>
      <c r="J320" s="423" t="s">
        <v>1095</v>
      </c>
      <c r="K320" s="423" t="str">
        <f>IFERROR(SupplychainTier2[[#This Row],[Calculated emissions (kgCO2e) for this spend]]/SupplychainTier2[[#This Row],[Spend for which Tier 2 method accounts]],"")</f>
        <v/>
      </c>
      <c r="L320" s="442"/>
      <c r="M320" s="201"/>
      <c r="N320" s="201"/>
      <c r="O320" s="255">
        <v>0</v>
      </c>
      <c r="P320" s="255">
        <v>0</v>
      </c>
      <c r="Q320" s="255" t="e">
        <f>SupplychainTier2[[#This Row],[Calculated emissions (kgCO2e) for this spend]]</f>
        <v>#VALUE!</v>
      </c>
      <c r="R320" s="255">
        <v>0</v>
      </c>
      <c r="S320" s="255">
        <v>0</v>
      </c>
      <c r="T320" s="387" t="e">
        <f>IF(SupplychainTier2[[#This Row],[Calculated emissions (kgCO2e) for this spend]]="","",(SupplychainTier2[[#This Row],[Calculated emissions (kgCO2e) for this spend]]*(1+SupplychainTier2[[#This Row],[RSD]])))</f>
        <v>#VALUE!</v>
      </c>
      <c r="U320" s="387" t="e">
        <f>IF(SupplychainTier2[[#This Row],[Calculated emissions (kgCO2e) for this spend]]="","",(SupplychainTier2[[#This Row],[Calculated emissions (kgCO2e) for this spend]]*(1-SupplychainTier2[[#This Row],[RSD]])))</f>
        <v>#VALUE!</v>
      </c>
      <c r="V320" s="255">
        <v>0</v>
      </c>
    </row>
    <row r="321" spans="2:22" ht="15" thickBot="1" x14ac:dyDescent="0.4">
      <c r="B321" s="173" t="str">
        <f t="shared" si="19"/>
        <v/>
      </c>
      <c r="C321" s="285" t="str">
        <f t="shared" si="20"/>
        <v/>
      </c>
      <c r="D321" s="211"/>
      <c r="E321" s="420" t="s">
        <v>163</v>
      </c>
      <c r="F321" s="209"/>
      <c r="G321" s="148"/>
      <c r="H321" s="422" t="s">
        <v>1095</v>
      </c>
      <c r="I321" s="423" t="e">
        <f>SupplychainTier2[[#This Row],[Spend for which Tier 2 method accounts]]</f>
        <v>#VALUE!</v>
      </c>
      <c r="J321" s="423" t="s">
        <v>1095</v>
      </c>
      <c r="K321" s="423" t="str">
        <f>IFERROR(SupplychainTier2[[#This Row],[Calculated emissions (kgCO2e) for this spend]]/SupplychainTier2[[#This Row],[Spend for which Tier 2 method accounts]],"")</f>
        <v/>
      </c>
      <c r="L321" s="442"/>
      <c r="M321" s="201"/>
      <c r="N321" s="201"/>
      <c r="O321" s="255">
        <v>0</v>
      </c>
      <c r="P321" s="255">
        <v>0</v>
      </c>
      <c r="Q321" s="255" t="e">
        <f>SupplychainTier2[[#This Row],[Calculated emissions (kgCO2e) for this spend]]</f>
        <v>#VALUE!</v>
      </c>
      <c r="R321" s="255">
        <v>0</v>
      </c>
      <c r="S321" s="255">
        <v>0</v>
      </c>
      <c r="T321" s="387" t="e">
        <f>IF(SupplychainTier2[[#This Row],[Calculated emissions (kgCO2e) for this spend]]="","",(SupplychainTier2[[#This Row],[Calculated emissions (kgCO2e) for this spend]]*(1+SupplychainTier2[[#This Row],[RSD]])))</f>
        <v>#VALUE!</v>
      </c>
      <c r="U321" s="387" t="e">
        <f>IF(SupplychainTier2[[#This Row],[Calculated emissions (kgCO2e) for this spend]]="","",(SupplychainTier2[[#This Row],[Calculated emissions (kgCO2e) for this spend]]*(1-SupplychainTier2[[#This Row],[RSD]])))</f>
        <v>#VALUE!</v>
      </c>
      <c r="V321" s="255">
        <v>0</v>
      </c>
    </row>
    <row r="322" spans="2:22" ht="15" thickBot="1" x14ac:dyDescent="0.4">
      <c r="B322" s="173" t="str">
        <f t="shared" si="19"/>
        <v/>
      </c>
      <c r="C322" s="285" t="str">
        <f t="shared" si="20"/>
        <v/>
      </c>
      <c r="D322" s="211"/>
      <c r="E322" s="420" t="s">
        <v>163</v>
      </c>
      <c r="F322" s="209"/>
      <c r="G322" s="148"/>
      <c r="H322" s="422" t="s">
        <v>1095</v>
      </c>
      <c r="I322" s="423" t="e">
        <f>SupplychainTier2[[#This Row],[Spend for which Tier 2 method accounts]]</f>
        <v>#VALUE!</v>
      </c>
      <c r="J322" s="423" t="s">
        <v>1095</v>
      </c>
      <c r="K322" s="423" t="str">
        <f>IFERROR(SupplychainTier2[[#This Row],[Calculated emissions (kgCO2e) for this spend]]/SupplychainTier2[[#This Row],[Spend for which Tier 2 method accounts]],"")</f>
        <v/>
      </c>
      <c r="L322" s="442"/>
      <c r="M322" s="201"/>
      <c r="N322" s="201"/>
      <c r="O322" s="255">
        <v>0</v>
      </c>
      <c r="P322" s="255">
        <v>0</v>
      </c>
      <c r="Q322" s="255" t="e">
        <f>SupplychainTier2[[#This Row],[Calculated emissions (kgCO2e) for this spend]]</f>
        <v>#VALUE!</v>
      </c>
      <c r="R322" s="255">
        <v>0</v>
      </c>
      <c r="S322" s="255">
        <v>0</v>
      </c>
      <c r="T322" s="387" t="e">
        <f>IF(SupplychainTier2[[#This Row],[Calculated emissions (kgCO2e) for this spend]]="","",(SupplychainTier2[[#This Row],[Calculated emissions (kgCO2e) for this spend]]*(1+SupplychainTier2[[#This Row],[RSD]])))</f>
        <v>#VALUE!</v>
      </c>
      <c r="U322" s="387" t="e">
        <f>IF(SupplychainTier2[[#This Row],[Calculated emissions (kgCO2e) for this spend]]="","",(SupplychainTier2[[#This Row],[Calculated emissions (kgCO2e) for this spend]]*(1-SupplychainTier2[[#This Row],[RSD]])))</f>
        <v>#VALUE!</v>
      </c>
      <c r="V322" s="255">
        <v>0</v>
      </c>
    </row>
    <row r="323" spans="2:22" ht="15" thickBot="1" x14ac:dyDescent="0.4">
      <c r="B323" s="173" t="str">
        <f t="shared" si="19"/>
        <v/>
      </c>
      <c r="C323" s="285" t="str">
        <f t="shared" si="20"/>
        <v/>
      </c>
      <c r="D323" s="211"/>
      <c r="E323" s="420" t="s">
        <v>163</v>
      </c>
      <c r="F323" s="209"/>
      <c r="G323" s="148"/>
      <c r="H323" s="422" t="s">
        <v>1095</v>
      </c>
      <c r="I323" s="423" t="e">
        <f>SupplychainTier2[[#This Row],[Spend for which Tier 2 method accounts]]</f>
        <v>#VALUE!</v>
      </c>
      <c r="J323" s="423" t="s">
        <v>1095</v>
      </c>
      <c r="K323" s="423" t="str">
        <f>IFERROR(SupplychainTier2[[#This Row],[Calculated emissions (kgCO2e) for this spend]]/SupplychainTier2[[#This Row],[Spend for which Tier 2 method accounts]],"")</f>
        <v/>
      </c>
      <c r="L323" s="442"/>
      <c r="M323" s="201"/>
      <c r="N323" s="201"/>
      <c r="O323" s="255">
        <v>0</v>
      </c>
      <c r="P323" s="255">
        <v>0</v>
      </c>
      <c r="Q323" s="255" t="e">
        <f>SupplychainTier2[[#This Row],[Calculated emissions (kgCO2e) for this spend]]</f>
        <v>#VALUE!</v>
      </c>
      <c r="R323" s="255">
        <v>0</v>
      </c>
      <c r="S323" s="255">
        <v>0</v>
      </c>
      <c r="T323" s="387" t="e">
        <f>IF(SupplychainTier2[[#This Row],[Calculated emissions (kgCO2e) for this spend]]="","",(SupplychainTier2[[#This Row],[Calculated emissions (kgCO2e) for this spend]]*(1+SupplychainTier2[[#This Row],[RSD]])))</f>
        <v>#VALUE!</v>
      </c>
      <c r="U323" s="387" t="e">
        <f>IF(SupplychainTier2[[#This Row],[Calculated emissions (kgCO2e) for this spend]]="","",(SupplychainTier2[[#This Row],[Calculated emissions (kgCO2e) for this spend]]*(1-SupplychainTier2[[#This Row],[RSD]])))</f>
        <v>#VALUE!</v>
      </c>
      <c r="V323" s="255">
        <v>0</v>
      </c>
    </row>
    <row r="324" spans="2:22" ht="15" thickBot="1" x14ac:dyDescent="0.4">
      <c r="B324" s="173" t="str">
        <f t="shared" si="19"/>
        <v/>
      </c>
      <c r="C324" s="285" t="str">
        <f t="shared" si="20"/>
        <v/>
      </c>
      <c r="D324" s="211"/>
      <c r="E324" s="420" t="s">
        <v>163</v>
      </c>
      <c r="F324" s="209"/>
      <c r="G324" s="148"/>
      <c r="H324" s="422" t="s">
        <v>1095</v>
      </c>
      <c r="I324" s="423" t="e">
        <f>SupplychainTier2[[#This Row],[Spend for which Tier 2 method accounts]]</f>
        <v>#VALUE!</v>
      </c>
      <c r="J324" s="423" t="s">
        <v>1095</v>
      </c>
      <c r="K324" s="423" t="str">
        <f>IFERROR(SupplychainTier2[[#This Row],[Calculated emissions (kgCO2e) for this spend]]/SupplychainTier2[[#This Row],[Spend for which Tier 2 method accounts]],"")</f>
        <v/>
      </c>
      <c r="L324" s="442"/>
      <c r="M324" s="201"/>
      <c r="N324" s="201"/>
      <c r="O324" s="255">
        <v>0</v>
      </c>
      <c r="P324" s="255">
        <v>0</v>
      </c>
      <c r="Q324" s="255" t="e">
        <f>SupplychainTier2[[#This Row],[Calculated emissions (kgCO2e) for this spend]]</f>
        <v>#VALUE!</v>
      </c>
      <c r="R324" s="255">
        <v>0</v>
      </c>
      <c r="S324" s="255">
        <v>0</v>
      </c>
      <c r="T324" s="387" t="e">
        <f>IF(SupplychainTier2[[#This Row],[Calculated emissions (kgCO2e) for this spend]]="","",(SupplychainTier2[[#This Row],[Calculated emissions (kgCO2e) for this spend]]*(1+SupplychainTier2[[#This Row],[RSD]])))</f>
        <v>#VALUE!</v>
      </c>
      <c r="U324" s="387" t="e">
        <f>IF(SupplychainTier2[[#This Row],[Calculated emissions (kgCO2e) for this spend]]="","",(SupplychainTier2[[#This Row],[Calculated emissions (kgCO2e) for this spend]]*(1-SupplychainTier2[[#This Row],[RSD]])))</f>
        <v>#VALUE!</v>
      </c>
      <c r="V324" s="255">
        <v>0</v>
      </c>
    </row>
    <row r="325" spans="2:22" ht="15" thickBot="1" x14ac:dyDescent="0.4">
      <c r="B325" s="173" t="str">
        <f t="shared" si="19"/>
        <v/>
      </c>
      <c r="C325" s="285" t="str">
        <f t="shared" si="20"/>
        <v/>
      </c>
      <c r="D325" s="211"/>
      <c r="E325" s="420" t="s">
        <v>163</v>
      </c>
      <c r="F325" s="209"/>
      <c r="G325" s="148"/>
      <c r="H325" s="422" t="s">
        <v>1095</v>
      </c>
      <c r="I325" s="423" t="e">
        <f>SupplychainTier2[[#This Row],[Spend for which Tier 2 method accounts]]</f>
        <v>#VALUE!</v>
      </c>
      <c r="J325" s="423" t="s">
        <v>1095</v>
      </c>
      <c r="K325" s="423" t="str">
        <f>IFERROR(SupplychainTier2[[#This Row],[Calculated emissions (kgCO2e) for this spend]]/SupplychainTier2[[#This Row],[Spend for which Tier 2 method accounts]],"")</f>
        <v/>
      </c>
      <c r="L325" s="442"/>
      <c r="M325" s="201"/>
      <c r="N325" s="201"/>
      <c r="O325" s="255">
        <v>0</v>
      </c>
      <c r="P325" s="255">
        <v>0</v>
      </c>
      <c r="Q325" s="255" t="e">
        <f>SupplychainTier2[[#This Row],[Calculated emissions (kgCO2e) for this spend]]</f>
        <v>#VALUE!</v>
      </c>
      <c r="R325" s="255">
        <v>0</v>
      </c>
      <c r="S325" s="255">
        <v>0</v>
      </c>
      <c r="T325" s="387" t="e">
        <f>IF(SupplychainTier2[[#This Row],[Calculated emissions (kgCO2e) for this spend]]="","",(SupplychainTier2[[#This Row],[Calculated emissions (kgCO2e) for this spend]]*(1+SupplychainTier2[[#This Row],[RSD]])))</f>
        <v>#VALUE!</v>
      </c>
      <c r="U325" s="387" t="e">
        <f>IF(SupplychainTier2[[#This Row],[Calculated emissions (kgCO2e) for this spend]]="","",(SupplychainTier2[[#This Row],[Calculated emissions (kgCO2e) for this spend]]*(1-SupplychainTier2[[#This Row],[RSD]])))</f>
        <v>#VALUE!</v>
      </c>
      <c r="V325" s="255">
        <v>0</v>
      </c>
    </row>
    <row r="326" spans="2:22" ht="15" thickBot="1" x14ac:dyDescent="0.4">
      <c r="B326" s="173" t="str">
        <f t="shared" si="19"/>
        <v/>
      </c>
      <c r="C326" s="285" t="str">
        <f t="shared" si="20"/>
        <v/>
      </c>
      <c r="D326" s="211"/>
      <c r="E326" s="420" t="s">
        <v>163</v>
      </c>
      <c r="F326" s="209"/>
      <c r="G326" s="148"/>
      <c r="H326" s="422" t="s">
        <v>1095</v>
      </c>
      <c r="I326" s="423" t="e">
        <f>SupplychainTier2[[#This Row],[Spend for which Tier 2 method accounts]]</f>
        <v>#VALUE!</v>
      </c>
      <c r="J326" s="423" t="s">
        <v>1095</v>
      </c>
      <c r="K326" s="423" t="str">
        <f>IFERROR(SupplychainTier2[[#This Row],[Calculated emissions (kgCO2e) for this spend]]/SupplychainTier2[[#This Row],[Spend for which Tier 2 method accounts]],"")</f>
        <v/>
      </c>
      <c r="L326" s="442"/>
      <c r="M326" s="201"/>
      <c r="N326" s="201"/>
      <c r="O326" s="255">
        <v>0</v>
      </c>
      <c r="P326" s="255">
        <v>0</v>
      </c>
      <c r="Q326" s="255" t="e">
        <f>SupplychainTier2[[#This Row],[Calculated emissions (kgCO2e) for this spend]]</f>
        <v>#VALUE!</v>
      </c>
      <c r="R326" s="255">
        <v>0</v>
      </c>
      <c r="S326" s="255">
        <v>0</v>
      </c>
      <c r="T326" s="387" t="e">
        <f>IF(SupplychainTier2[[#This Row],[Calculated emissions (kgCO2e) for this spend]]="","",(SupplychainTier2[[#This Row],[Calculated emissions (kgCO2e) for this spend]]*(1+SupplychainTier2[[#This Row],[RSD]])))</f>
        <v>#VALUE!</v>
      </c>
      <c r="U326" s="387" t="e">
        <f>IF(SupplychainTier2[[#This Row],[Calculated emissions (kgCO2e) for this spend]]="","",(SupplychainTier2[[#This Row],[Calculated emissions (kgCO2e) for this spend]]*(1-SupplychainTier2[[#This Row],[RSD]])))</f>
        <v>#VALUE!</v>
      </c>
      <c r="V326" s="255">
        <v>0</v>
      </c>
    </row>
    <row r="327" spans="2:22" ht="15" thickBot="1" x14ac:dyDescent="0.4">
      <c r="B327" s="173" t="str">
        <f t="shared" si="19"/>
        <v/>
      </c>
      <c r="C327" s="285" t="str">
        <f t="shared" si="20"/>
        <v/>
      </c>
      <c r="D327" s="211"/>
      <c r="E327" s="420" t="s">
        <v>163</v>
      </c>
      <c r="F327" s="209"/>
      <c r="G327" s="148"/>
      <c r="H327" s="422" t="s">
        <v>1095</v>
      </c>
      <c r="I327" s="423" t="e">
        <f>SupplychainTier2[[#This Row],[Spend for which Tier 2 method accounts]]</f>
        <v>#VALUE!</v>
      </c>
      <c r="J327" s="423" t="s">
        <v>1095</v>
      </c>
      <c r="K327" s="423" t="str">
        <f>IFERROR(SupplychainTier2[[#This Row],[Calculated emissions (kgCO2e) for this spend]]/SupplychainTier2[[#This Row],[Spend for which Tier 2 method accounts]],"")</f>
        <v/>
      </c>
      <c r="L327" s="442"/>
      <c r="M327" s="201"/>
      <c r="N327" s="201"/>
      <c r="O327" s="255">
        <v>0</v>
      </c>
      <c r="P327" s="255">
        <v>0</v>
      </c>
      <c r="Q327" s="255" t="e">
        <f>SupplychainTier2[[#This Row],[Calculated emissions (kgCO2e) for this spend]]</f>
        <v>#VALUE!</v>
      </c>
      <c r="R327" s="255">
        <v>0</v>
      </c>
      <c r="S327" s="255">
        <v>0</v>
      </c>
      <c r="T327" s="387" t="e">
        <f>IF(SupplychainTier2[[#This Row],[Calculated emissions (kgCO2e) for this spend]]="","",(SupplychainTier2[[#This Row],[Calculated emissions (kgCO2e) for this spend]]*(1+SupplychainTier2[[#This Row],[RSD]])))</f>
        <v>#VALUE!</v>
      </c>
      <c r="U327" s="387" t="e">
        <f>IF(SupplychainTier2[[#This Row],[Calculated emissions (kgCO2e) for this spend]]="","",(SupplychainTier2[[#This Row],[Calculated emissions (kgCO2e) for this spend]]*(1-SupplychainTier2[[#This Row],[RSD]])))</f>
        <v>#VALUE!</v>
      </c>
      <c r="V327" s="255">
        <v>0</v>
      </c>
    </row>
    <row r="328" spans="2:22" ht="15" thickBot="1" x14ac:dyDescent="0.4">
      <c r="B328" s="173" t="str">
        <f t="shared" si="19"/>
        <v/>
      </c>
      <c r="C328" s="285" t="str">
        <f t="shared" si="20"/>
        <v/>
      </c>
      <c r="D328" s="211"/>
      <c r="E328" s="420" t="s">
        <v>163</v>
      </c>
      <c r="F328" s="209"/>
      <c r="G328" s="148"/>
      <c r="H328" s="422" t="s">
        <v>1095</v>
      </c>
      <c r="I328" s="423" t="e">
        <f>SupplychainTier2[[#This Row],[Spend for which Tier 2 method accounts]]</f>
        <v>#VALUE!</v>
      </c>
      <c r="J328" s="423" t="s">
        <v>1095</v>
      </c>
      <c r="K328" s="423" t="str">
        <f>IFERROR(SupplychainTier2[[#This Row],[Calculated emissions (kgCO2e) for this spend]]/SupplychainTier2[[#This Row],[Spend for which Tier 2 method accounts]],"")</f>
        <v/>
      </c>
      <c r="L328" s="442"/>
      <c r="M328" s="201"/>
      <c r="N328" s="201"/>
      <c r="O328" s="255">
        <v>0</v>
      </c>
      <c r="P328" s="255">
        <v>0</v>
      </c>
      <c r="Q328" s="255" t="e">
        <f>SupplychainTier2[[#This Row],[Calculated emissions (kgCO2e) for this spend]]</f>
        <v>#VALUE!</v>
      </c>
      <c r="R328" s="255">
        <v>0</v>
      </c>
      <c r="S328" s="255">
        <v>0</v>
      </c>
      <c r="T328" s="387" t="e">
        <f>IF(SupplychainTier2[[#This Row],[Calculated emissions (kgCO2e) for this spend]]="","",(SupplychainTier2[[#This Row],[Calculated emissions (kgCO2e) for this spend]]*(1+SupplychainTier2[[#This Row],[RSD]])))</f>
        <v>#VALUE!</v>
      </c>
      <c r="U328" s="387" t="e">
        <f>IF(SupplychainTier2[[#This Row],[Calculated emissions (kgCO2e) for this spend]]="","",(SupplychainTier2[[#This Row],[Calculated emissions (kgCO2e) for this spend]]*(1-SupplychainTier2[[#This Row],[RSD]])))</f>
        <v>#VALUE!</v>
      </c>
      <c r="V328" s="255">
        <v>0</v>
      </c>
    </row>
    <row r="329" spans="2:22" ht="15" thickBot="1" x14ac:dyDescent="0.4">
      <c r="B329" s="173" t="str">
        <f t="shared" si="19"/>
        <v/>
      </c>
      <c r="C329" s="285" t="str">
        <f t="shared" si="20"/>
        <v/>
      </c>
      <c r="D329" s="211"/>
      <c r="E329" s="420" t="s">
        <v>163</v>
      </c>
      <c r="F329" s="209"/>
      <c r="G329" s="148"/>
      <c r="H329" s="422" t="s">
        <v>1095</v>
      </c>
      <c r="I329" s="423" t="e">
        <f>SupplychainTier2[[#This Row],[Spend for which Tier 2 method accounts]]</f>
        <v>#VALUE!</v>
      </c>
      <c r="J329" s="423" t="s">
        <v>1095</v>
      </c>
      <c r="K329" s="423" t="str">
        <f>IFERROR(SupplychainTier2[[#This Row],[Calculated emissions (kgCO2e) for this spend]]/SupplychainTier2[[#This Row],[Spend for which Tier 2 method accounts]],"")</f>
        <v/>
      </c>
      <c r="L329" s="442"/>
      <c r="M329" s="201"/>
      <c r="N329" s="201"/>
      <c r="O329" s="255">
        <v>0</v>
      </c>
      <c r="P329" s="255">
        <v>0</v>
      </c>
      <c r="Q329" s="255" t="e">
        <f>SupplychainTier2[[#This Row],[Calculated emissions (kgCO2e) for this spend]]</f>
        <v>#VALUE!</v>
      </c>
      <c r="R329" s="255">
        <v>0</v>
      </c>
      <c r="S329" s="255">
        <v>0</v>
      </c>
      <c r="T329" s="387" t="e">
        <f>IF(SupplychainTier2[[#This Row],[Calculated emissions (kgCO2e) for this spend]]="","",(SupplychainTier2[[#This Row],[Calculated emissions (kgCO2e) for this spend]]*(1+SupplychainTier2[[#This Row],[RSD]])))</f>
        <v>#VALUE!</v>
      </c>
      <c r="U329" s="387" t="e">
        <f>IF(SupplychainTier2[[#This Row],[Calculated emissions (kgCO2e) for this spend]]="","",(SupplychainTier2[[#This Row],[Calculated emissions (kgCO2e) for this spend]]*(1-SupplychainTier2[[#This Row],[RSD]])))</f>
        <v>#VALUE!</v>
      </c>
      <c r="V329" s="255">
        <v>0</v>
      </c>
    </row>
    <row r="330" spans="2:22" ht="15" thickBot="1" x14ac:dyDescent="0.4">
      <c r="B330" s="173" t="str">
        <f t="shared" si="19"/>
        <v/>
      </c>
      <c r="C330" s="285" t="str">
        <f t="shared" si="20"/>
        <v/>
      </c>
      <c r="D330" s="211"/>
      <c r="E330" s="420" t="s">
        <v>163</v>
      </c>
      <c r="F330" s="209"/>
      <c r="G330" s="148"/>
      <c r="H330" s="422" t="s">
        <v>1095</v>
      </c>
      <c r="I330" s="423" t="e">
        <f>SupplychainTier2[[#This Row],[Spend for which Tier 2 method accounts]]</f>
        <v>#VALUE!</v>
      </c>
      <c r="J330" s="423" t="s">
        <v>1095</v>
      </c>
      <c r="K330" s="423" t="str">
        <f>IFERROR(SupplychainTier2[[#This Row],[Calculated emissions (kgCO2e) for this spend]]/SupplychainTier2[[#This Row],[Spend for which Tier 2 method accounts]],"")</f>
        <v/>
      </c>
      <c r="L330" s="442"/>
      <c r="M330" s="201"/>
      <c r="N330" s="201"/>
      <c r="O330" s="255">
        <v>0</v>
      </c>
      <c r="P330" s="255">
        <v>0</v>
      </c>
      <c r="Q330" s="255" t="e">
        <f>SupplychainTier2[[#This Row],[Calculated emissions (kgCO2e) for this spend]]</f>
        <v>#VALUE!</v>
      </c>
      <c r="R330" s="255">
        <v>0</v>
      </c>
      <c r="S330" s="255">
        <v>0</v>
      </c>
      <c r="T330" s="387" t="e">
        <f>IF(SupplychainTier2[[#This Row],[Calculated emissions (kgCO2e) for this spend]]="","",(SupplychainTier2[[#This Row],[Calculated emissions (kgCO2e) for this spend]]*(1+SupplychainTier2[[#This Row],[RSD]])))</f>
        <v>#VALUE!</v>
      </c>
      <c r="U330" s="387" t="e">
        <f>IF(SupplychainTier2[[#This Row],[Calculated emissions (kgCO2e) for this spend]]="","",(SupplychainTier2[[#This Row],[Calculated emissions (kgCO2e) for this spend]]*(1-SupplychainTier2[[#This Row],[RSD]])))</f>
        <v>#VALUE!</v>
      </c>
      <c r="V330" s="255">
        <v>0</v>
      </c>
    </row>
    <row r="331" spans="2:22" ht="15" thickBot="1" x14ac:dyDescent="0.4">
      <c r="B331" s="173" t="str">
        <f t="shared" si="19"/>
        <v/>
      </c>
      <c r="C331" s="285" t="str">
        <f t="shared" si="20"/>
        <v/>
      </c>
      <c r="D331" s="211"/>
      <c r="E331" s="420" t="s">
        <v>163</v>
      </c>
      <c r="F331" s="209"/>
      <c r="G331" s="148"/>
      <c r="H331" s="422" t="s">
        <v>1095</v>
      </c>
      <c r="I331" s="423" t="e">
        <f>SupplychainTier2[[#This Row],[Spend for which Tier 2 method accounts]]</f>
        <v>#VALUE!</v>
      </c>
      <c r="J331" s="423" t="s">
        <v>1095</v>
      </c>
      <c r="K331" s="423" t="str">
        <f>IFERROR(SupplychainTier2[[#This Row],[Calculated emissions (kgCO2e) for this spend]]/SupplychainTier2[[#This Row],[Spend for which Tier 2 method accounts]],"")</f>
        <v/>
      </c>
      <c r="L331" s="442"/>
      <c r="M331" s="201"/>
      <c r="N331" s="201"/>
      <c r="O331" s="255">
        <v>0</v>
      </c>
      <c r="P331" s="255">
        <v>0</v>
      </c>
      <c r="Q331" s="255" t="e">
        <f>SupplychainTier2[[#This Row],[Calculated emissions (kgCO2e) for this spend]]</f>
        <v>#VALUE!</v>
      </c>
      <c r="R331" s="255">
        <v>0</v>
      </c>
      <c r="S331" s="255">
        <v>0</v>
      </c>
      <c r="T331" s="387" t="e">
        <f>IF(SupplychainTier2[[#This Row],[Calculated emissions (kgCO2e) for this spend]]="","",(SupplychainTier2[[#This Row],[Calculated emissions (kgCO2e) for this spend]]*(1+SupplychainTier2[[#This Row],[RSD]])))</f>
        <v>#VALUE!</v>
      </c>
      <c r="U331" s="387" t="e">
        <f>IF(SupplychainTier2[[#This Row],[Calculated emissions (kgCO2e) for this spend]]="","",(SupplychainTier2[[#This Row],[Calculated emissions (kgCO2e) for this spend]]*(1-SupplychainTier2[[#This Row],[RSD]])))</f>
        <v>#VALUE!</v>
      </c>
      <c r="V331" s="255">
        <v>0</v>
      </c>
    </row>
    <row r="332" spans="2:22" ht="15" thickBot="1" x14ac:dyDescent="0.4">
      <c r="B332" s="173" t="str">
        <f t="shared" si="19"/>
        <v/>
      </c>
      <c r="C332" s="285" t="str">
        <f t="shared" si="20"/>
        <v/>
      </c>
      <c r="D332" s="211"/>
      <c r="E332" s="420" t="s">
        <v>163</v>
      </c>
      <c r="F332" s="209"/>
      <c r="G332" s="148"/>
      <c r="H332" s="422" t="s">
        <v>1095</v>
      </c>
      <c r="I332" s="423" t="e">
        <f>SupplychainTier2[[#This Row],[Spend for which Tier 2 method accounts]]</f>
        <v>#VALUE!</v>
      </c>
      <c r="J332" s="423" t="s">
        <v>1095</v>
      </c>
      <c r="K332" s="423" t="str">
        <f>IFERROR(SupplychainTier2[[#This Row],[Calculated emissions (kgCO2e) for this spend]]/SupplychainTier2[[#This Row],[Spend for which Tier 2 method accounts]],"")</f>
        <v/>
      </c>
      <c r="L332" s="442"/>
      <c r="M332" s="201"/>
      <c r="N332" s="201"/>
      <c r="O332" s="255">
        <v>0</v>
      </c>
      <c r="P332" s="255">
        <v>0</v>
      </c>
      <c r="Q332" s="255" t="e">
        <f>SupplychainTier2[[#This Row],[Calculated emissions (kgCO2e) for this spend]]</f>
        <v>#VALUE!</v>
      </c>
      <c r="R332" s="255">
        <v>0</v>
      </c>
      <c r="S332" s="255">
        <v>0</v>
      </c>
      <c r="T332" s="387" t="e">
        <f>IF(SupplychainTier2[[#This Row],[Calculated emissions (kgCO2e) for this spend]]="","",(SupplychainTier2[[#This Row],[Calculated emissions (kgCO2e) for this spend]]*(1+SupplychainTier2[[#This Row],[RSD]])))</f>
        <v>#VALUE!</v>
      </c>
      <c r="U332" s="387" t="e">
        <f>IF(SupplychainTier2[[#This Row],[Calculated emissions (kgCO2e) for this spend]]="","",(SupplychainTier2[[#This Row],[Calculated emissions (kgCO2e) for this spend]]*(1-SupplychainTier2[[#This Row],[RSD]])))</f>
        <v>#VALUE!</v>
      </c>
      <c r="V332" s="255">
        <v>0</v>
      </c>
    </row>
    <row r="333" spans="2:22" ht="15" thickBot="1" x14ac:dyDescent="0.4">
      <c r="B333" s="173" t="str">
        <f t="shared" si="19"/>
        <v/>
      </c>
      <c r="C333" s="285" t="str">
        <f t="shared" si="20"/>
        <v/>
      </c>
      <c r="D333" s="211"/>
      <c r="E333" s="420" t="s">
        <v>163</v>
      </c>
      <c r="F333" s="209"/>
      <c r="G333" s="148"/>
      <c r="H333" s="422" t="s">
        <v>1095</v>
      </c>
      <c r="I333" s="423" t="e">
        <f>SupplychainTier2[[#This Row],[Spend for which Tier 2 method accounts]]</f>
        <v>#VALUE!</v>
      </c>
      <c r="J333" s="423" t="s">
        <v>1095</v>
      </c>
      <c r="K333" s="423" t="str">
        <f>IFERROR(SupplychainTier2[[#This Row],[Calculated emissions (kgCO2e) for this spend]]/SupplychainTier2[[#This Row],[Spend for which Tier 2 method accounts]],"")</f>
        <v/>
      </c>
      <c r="L333" s="442"/>
      <c r="M333" s="201"/>
      <c r="N333" s="201"/>
      <c r="O333" s="255">
        <v>0</v>
      </c>
      <c r="P333" s="255">
        <v>0</v>
      </c>
      <c r="Q333" s="255" t="e">
        <f>SupplychainTier2[[#This Row],[Calculated emissions (kgCO2e) for this spend]]</f>
        <v>#VALUE!</v>
      </c>
      <c r="R333" s="255">
        <v>0</v>
      </c>
      <c r="S333" s="255">
        <v>0</v>
      </c>
      <c r="T333" s="387" t="e">
        <f>IF(SupplychainTier2[[#This Row],[Calculated emissions (kgCO2e) for this spend]]="","",(SupplychainTier2[[#This Row],[Calculated emissions (kgCO2e) for this spend]]*(1+SupplychainTier2[[#This Row],[RSD]])))</f>
        <v>#VALUE!</v>
      </c>
      <c r="U333" s="387" t="e">
        <f>IF(SupplychainTier2[[#This Row],[Calculated emissions (kgCO2e) for this spend]]="","",(SupplychainTier2[[#This Row],[Calculated emissions (kgCO2e) for this spend]]*(1-SupplychainTier2[[#This Row],[RSD]])))</f>
        <v>#VALUE!</v>
      </c>
      <c r="V333" s="255">
        <v>0</v>
      </c>
    </row>
    <row r="334" spans="2:22" ht="15" thickBot="1" x14ac:dyDescent="0.4">
      <c r="B334" s="173" t="str">
        <f t="shared" si="19"/>
        <v/>
      </c>
      <c r="C334" s="285" t="str">
        <f t="shared" si="20"/>
        <v/>
      </c>
      <c r="D334" s="211"/>
      <c r="E334" s="420" t="s">
        <v>163</v>
      </c>
      <c r="F334" s="209"/>
      <c r="G334" s="148"/>
      <c r="H334" s="422" t="s">
        <v>1095</v>
      </c>
      <c r="I334" s="423" t="e">
        <f>SupplychainTier2[[#This Row],[Spend for which Tier 2 method accounts]]</f>
        <v>#VALUE!</v>
      </c>
      <c r="J334" s="423" t="s">
        <v>1095</v>
      </c>
      <c r="K334" s="423" t="str">
        <f>IFERROR(SupplychainTier2[[#This Row],[Calculated emissions (kgCO2e) for this spend]]/SupplychainTier2[[#This Row],[Spend for which Tier 2 method accounts]],"")</f>
        <v/>
      </c>
      <c r="L334" s="442"/>
      <c r="M334" s="201"/>
      <c r="N334" s="201"/>
      <c r="O334" s="255">
        <v>0</v>
      </c>
      <c r="P334" s="255">
        <v>0</v>
      </c>
      <c r="Q334" s="255" t="e">
        <f>SupplychainTier2[[#This Row],[Calculated emissions (kgCO2e) for this spend]]</f>
        <v>#VALUE!</v>
      </c>
      <c r="R334" s="255">
        <v>0</v>
      </c>
      <c r="S334" s="255">
        <v>0</v>
      </c>
      <c r="T334" s="387" t="e">
        <f>IF(SupplychainTier2[[#This Row],[Calculated emissions (kgCO2e) for this spend]]="","",(SupplychainTier2[[#This Row],[Calculated emissions (kgCO2e) for this spend]]*(1+SupplychainTier2[[#This Row],[RSD]])))</f>
        <v>#VALUE!</v>
      </c>
      <c r="U334" s="387" t="e">
        <f>IF(SupplychainTier2[[#This Row],[Calculated emissions (kgCO2e) for this spend]]="","",(SupplychainTier2[[#This Row],[Calculated emissions (kgCO2e) for this spend]]*(1-SupplychainTier2[[#This Row],[RSD]])))</f>
        <v>#VALUE!</v>
      </c>
      <c r="V334" s="255">
        <v>0</v>
      </c>
    </row>
    <row r="335" spans="2:22" ht="15" thickBot="1" x14ac:dyDescent="0.4">
      <c r="B335" s="173" t="str">
        <f t="shared" si="19"/>
        <v/>
      </c>
      <c r="C335" s="285" t="str">
        <f t="shared" si="20"/>
        <v/>
      </c>
      <c r="D335" s="211"/>
      <c r="E335" s="420" t="s">
        <v>163</v>
      </c>
      <c r="F335" s="209"/>
      <c r="G335" s="148"/>
      <c r="H335" s="422" t="s">
        <v>1095</v>
      </c>
      <c r="I335" s="423" t="e">
        <f>SupplychainTier2[[#This Row],[Spend for which Tier 2 method accounts]]</f>
        <v>#VALUE!</v>
      </c>
      <c r="J335" s="423" t="s">
        <v>1095</v>
      </c>
      <c r="K335" s="423" t="str">
        <f>IFERROR(SupplychainTier2[[#This Row],[Calculated emissions (kgCO2e) for this spend]]/SupplychainTier2[[#This Row],[Spend for which Tier 2 method accounts]],"")</f>
        <v/>
      </c>
      <c r="L335" s="442"/>
      <c r="M335" s="201"/>
      <c r="N335" s="201"/>
      <c r="O335" s="255">
        <v>0</v>
      </c>
      <c r="P335" s="255">
        <v>0</v>
      </c>
      <c r="Q335" s="255" t="e">
        <f>SupplychainTier2[[#This Row],[Calculated emissions (kgCO2e) for this spend]]</f>
        <v>#VALUE!</v>
      </c>
      <c r="R335" s="255">
        <v>0</v>
      </c>
      <c r="S335" s="255">
        <v>0</v>
      </c>
      <c r="T335" s="387" t="e">
        <f>IF(SupplychainTier2[[#This Row],[Calculated emissions (kgCO2e) for this spend]]="","",(SupplychainTier2[[#This Row],[Calculated emissions (kgCO2e) for this spend]]*(1+SupplychainTier2[[#This Row],[RSD]])))</f>
        <v>#VALUE!</v>
      </c>
      <c r="U335" s="387" t="e">
        <f>IF(SupplychainTier2[[#This Row],[Calculated emissions (kgCO2e) for this spend]]="","",(SupplychainTier2[[#This Row],[Calculated emissions (kgCO2e) for this spend]]*(1-SupplychainTier2[[#This Row],[RSD]])))</f>
        <v>#VALUE!</v>
      </c>
      <c r="V335" s="255">
        <v>0</v>
      </c>
    </row>
    <row r="336" spans="2:22" ht="15" thickBot="1" x14ac:dyDescent="0.4">
      <c r="B336" s="173" t="str">
        <f t="shared" si="19"/>
        <v/>
      </c>
      <c r="C336" s="285" t="str">
        <f t="shared" si="20"/>
        <v/>
      </c>
      <c r="D336" s="211"/>
      <c r="E336" s="420" t="s">
        <v>163</v>
      </c>
      <c r="F336" s="209"/>
      <c r="G336" s="148"/>
      <c r="H336" s="422" t="s">
        <v>1095</v>
      </c>
      <c r="I336" s="423" t="e">
        <f>SupplychainTier2[[#This Row],[Spend for which Tier 2 method accounts]]</f>
        <v>#VALUE!</v>
      </c>
      <c r="J336" s="423" t="s">
        <v>1095</v>
      </c>
      <c r="K336" s="423" t="str">
        <f>IFERROR(SupplychainTier2[[#This Row],[Calculated emissions (kgCO2e) for this spend]]/SupplychainTier2[[#This Row],[Spend for which Tier 2 method accounts]],"")</f>
        <v/>
      </c>
      <c r="L336" s="442"/>
      <c r="M336" s="201"/>
      <c r="N336" s="201"/>
      <c r="O336" s="255">
        <v>0</v>
      </c>
      <c r="P336" s="255">
        <v>0</v>
      </c>
      <c r="Q336" s="255" t="e">
        <f>SupplychainTier2[[#This Row],[Calculated emissions (kgCO2e) for this spend]]</f>
        <v>#VALUE!</v>
      </c>
      <c r="R336" s="255">
        <v>0</v>
      </c>
      <c r="S336" s="255">
        <v>0</v>
      </c>
      <c r="T336" s="387" t="e">
        <f>IF(SupplychainTier2[[#This Row],[Calculated emissions (kgCO2e) for this spend]]="","",(SupplychainTier2[[#This Row],[Calculated emissions (kgCO2e) for this spend]]*(1+SupplychainTier2[[#This Row],[RSD]])))</f>
        <v>#VALUE!</v>
      </c>
      <c r="U336" s="387" t="e">
        <f>IF(SupplychainTier2[[#This Row],[Calculated emissions (kgCO2e) for this spend]]="","",(SupplychainTier2[[#This Row],[Calculated emissions (kgCO2e) for this spend]]*(1-SupplychainTier2[[#This Row],[RSD]])))</f>
        <v>#VALUE!</v>
      </c>
      <c r="V336" s="255">
        <v>0</v>
      </c>
    </row>
    <row r="337" spans="2:22" ht="15" thickBot="1" x14ac:dyDescent="0.4">
      <c r="B337" s="173" t="str">
        <f t="shared" si="19"/>
        <v/>
      </c>
      <c r="C337" s="285" t="str">
        <f t="shared" si="20"/>
        <v/>
      </c>
      <c r="D337" s="211"/>
      <c r="E337" s="420" t="s">
        <v>163</v>
      </c>
      <c r="F337" s="209"/>
      <c r="G337" s="148"/>
      <c r="H337" s="422" t="s">
        <v>1095</v>
      </c>
      <c r="I337" s="423" t="e">
        <f>SupplychainTier2[[#This Row],[Spend for which Tier 2 method accounts]]</f>
        <v>#VALUE!</v>
      </c>
      <c r="J337" s="423" t="s">
        <v>1095</v>
      </c>
      <c r="K337" s="423" t="str">
        <f>IFERROR(SupplychainTier2[[#This Row],[Calculated emissions (kgCO2e) for this spend]]/SupplychainTier2[[#This Row],[Spend for which Tier 2 method accounts]],"")</f>
        <v/>
      </c>
      <c r="L337" s="442"/>
      <c r="M337" s="201"/>
      <c r="N337" s="201"/>
      <c r="O337" s="255">
        <v>0</v>
      </c>
      <c r="P337" s="255">
        <v>0</v>
      </c>
      <c r="Q337" s="255" t="e">
        <f>SupplychainTier2[[#This Row],[Calculated emissions (kgCO2e) for this spend]]</f>
        <v>#VALUE!</v>
      </c>
      <c r="R337" s="255">
        <v>0</v>
      </c>
      <c r="S337" s="255">
        <v>0</v>
      </c>
      <c r="T337" s="387" t="e">
        <f>IF(SupplychainTier2[[#This Row],[Calculated emissions (kgCO2e) for this spend]]="","",(SupplychainTier2[[#This Row],[Calculated emissions (kgCO2e) for this spend]]*(1+SupplychainTier2[[#This Row],[RSD]])))</f>
        <v>#VALUE!</v>
      </c>
      <c r="U337" s="387" t="e">
        <f>IF(SupplychainTier2[[#This Row],[Calculated emissions (kgCO2e) for this spend]]="","",(SupplychainTier2[[#This Row],[Calculated emissions (kgCO2e) for this spend]]*(1-SupplychainTier2[[#This Row],[RSD]])))</f>
        <v>#VALUE!</v>
      </c>
      <c r="V337" s="255">
        <v>0</v>
      </c>
    </row>
    <row r="338" spans="2:22" ht="15" thickBot="1" x14ac:dyDescent="0.4">
      <c r="B338" s="173" t="str">
        <f t="shared" si="19"/>
        <v/>
      </c>
      <c r="C338" s="285" t="str">
        <f t="shared" si="20"/>
        <v/>
      </c>
      <c r="D338" s="211"/>
      <c r="E338" s="420" t="s">
        <v>163</v>
      </c>
      <c r="F338" s="209"/>
      <c r="G338" s="148"/>
      <c r="H338" s="422" t="s">
        <v>1095</v>
      </c>
      <c r="I338" s="423" t="e">
        <f>SupplychainTier2[[#This Row],[Spend for which Tier 2 method accounts]]</f>
        <v>#VALUE!</v>
      </c>
      <c r="J338" s="423" t="s">
        <v>1095</v>
      </c>
      <c r="K338" s="423" t="str">
        <f>IFERROR(SupplychainTier2[[#This Row],[Calculated emissions (kgCO2e) for this spend]]/SupplychainTier2[[#This Row],[Spend for which Tier 2 method accounts]],"")</f>
        <v/>
      </c>
      <c r="L338" s="442"/>
      <c r="M338" s="201"/>
      <c r="N338" s="201"/>
      <c r="O338" s="255">
        <v>0</v>
      </c>
      <c r="P338" s="255">
        <v>0</v>
      </c>
      <c r="Q338" s="255" t="e">
        <f>SupplychainTier2[[#This Row],[Calculated emissions (kgCO2e) for this spend]]</f>
        <v>#VALUE!</v>
      </c>
      <c r="R338" s="255">
        <v>0</v>
      </c>
      <c r="S338" s="255">
        <v>0</v>
      </c>
      <c r="T338" s="387" t="e">
        <f>IF(SupplychainTier2[[#This Row],[Calculated emissions (kgCO2e) for this spend]]="","",(SupplychainTier2[[#This Row],[Calculated emissions (kgCO2e) for this spend]]*(1+SupplychainTier2[[#This Row],[RSD]])))</f>
        <v>#VALUE!</v>
      </c>
      <c r="U338" s="387" t="e">
        <f>IF(SupplychainTier2[[#This Row],[Calculated emissions (kgCO2e) for this spend]]="","",(SupplychainTier2[[#This Row],[Calculated emissions (kgCO2e) for this spend]]*(1-SupplychainTier2[[#This Row],[RSD]])))</f>
        <v>#VALUE!</v>
      </c>
      <c r="V338" s="255">
        <v>0</v>
      </c>
    </row>
    <row r="339" spans="2:22" ht="15" thickBot="1" x14ac:dyDescent="0.4">
      <c r="B339" s="173" t="str">
        <f t="shared" si="19"/>
        <v/>
      </c>
      <c r="C339" s="285" t="str">
        <f t="shared" si="20"/>
        <v/>
      </c>
      <c r="D339" s="211"/>
      <c r="E339" s="420" t="s">
        <v>163</v>
      </c>
      <c r="F339" s="209"/>
      <c r="G339" s="148"/>
      <c r="H339" s="422" t="s">
        <v>1095</v>
      </c>
      <c r="I339" s="423" t="e">
        <f>SupplychainTier2[[#This Row],[Spend for which Tier 2 method accounts]]</f>
        <v>#VALUE!</v>
      </c>
      <c r="J339" s="423" t="s">
        <v>1095</v>
      </c>
      <c r="K339" s="423" t="str">
        <f>IFERROR(SupplychainTier2[[#This Row],[Calculated emissions (kgCO2e) for this spend]]/SupplychainTier2[[#This Row],[Spend for which Tier 2 method accounts]],"")</f>
        <v/>
      </c>
      <c r="L339" s="442"/>
      <c r="M339" s="201"/>
      <c r="N339" s="201"/>
      <c r="O339" s="255">
        <v>0</v>
      </c>
      <c r="P339" s="255">
        <v>0</v>
      </c>
      <c r="Q339" s="255" t="e">
        <f>SupplychainTier2[[#This Row],[Calculated emissions (kgCO2e) for this spend]]</f>
        <v>#VALUE!</v>
      </c>
      <c r="R339" s="255">
        <v>0</v>
      </c>
      <c r="S339" s="255">
        <v>0</v>
      </c>
      <c r="T339" s="387" t="e">
        <f>IF(SupplychainTier2[[#This Row],[Calculated emissions (kgCO2e) for this spend]]="","",(SupplychainTier2[[#This Row],[Calculated emissions (kgCO2e) for this spend]]*(1+SupplychainTier2[[#This Row],[RSD]])))</f>
        <v>#VALUE!</v>
      </c>
      <c r="U339" s="387" t="e">
        <f>IF(SupplychainTier2[[#This Row],[Calculated emissions (kgCO2e) for this spend]]="","",(SupplychainTier2[[#This Row],[Calculated emissions (kgCO2e) for this spend]]*(1-SupplychainTier2[[#This Row],[RSD]])))</f>
        <v>#VALUE!</v>
      </c>
      <c r="V339" s="255">
        <v>0</v>
      </c>
    </row>
    <row r="340" spans="2:22" ht="15" thickBot="1" x14ac:dyDescent="0.4">
      <c r="B340" s="173" t="str">
        <f t="shared" si="19"/>
        <v/>
      </c>
      <c r="C340" s="285" t="str">
        <f t="shared" si="20"/>
        <v/>
      </c>
      <c r="D340" s="211"/>
      <c r="E340" s="420" t="s">
        <v>163</v>
      </c>
      <c r="F340" s="209"/>
      <c r="G340" s="148"/>
      <c r="H340" s="422" t="s">
        <v>1095</v>
      </c>
      <c r="I340" s="423" t="e">
        <f>SupplychainTier2[[#This Row],[Spend for which Tier 2 method accounts]]</f>
        <v>#VALUE!</v>
      </c>
      <c r="J340" s="423" t="s">
        <v>1095</v>
      </c>
      <c r="K340" s="423" t="str">
        <f>IFERROR(SupplychainTier2[[#This Row],[Calculated emissions (kgCO2e) for this spend]]/SupplychainTier2[[#This Row],[Spend for which Tier 2 method accounts]],"")</f>
        <v/>
      </c>
      <c r="L340" s="442"/>
      <c r="M340" s="201"/>
      <c r="N340" s="201"/>
      <c r="O340" s="255">
        <v>0</v>
      </c>
      <c r="P340" s="255">
        <v>0</v>
      </c>
      <c r="Q340" s="255" t="e">
        <f>SupplychainTier2[[#This Row],[Calculated emissions (kgCO2e) for this spend]]</f>
        <v>#VALUE!</v>
      </c>
      <c r="R340" s="255">
        <v>0</v>
      </c>
      <c r="S340" s="255">
        <v>0</v>
      </c>
      <c r="T340" s="387" t="e">
        <f>IF(SupplychainTier2[[#This Row],[Calculated emissions (kgCO2e) for this spend]]="","",(SupplychainTier2[[#This Row],[Calculated emissions (kgCO2e) for this spend]]*(1+SupplychainTier2[[#This Row],[RSD]])))</f>
        <v>#VALUE!</v>
      </c>
      <c r="U340" s="387" t="e">
        <f>IF(SupplychainTier2[[#This Row],[Calculated emissions (kgCO2e) for this spend]]="","",(SupplychainTier2[[#This Row],[Calculated emissions (kgCO2e) for this spend]]*(1-SupplychainTier2[[#This Row],[RSD]])))</f>
        <v>#VALUE!</v>
      </c>
      <c r="V340" s="255">
        <v>0</v>
      </c>
    </row>
    <row r="341" spans="2:22" ht="15" thickBot="1" x14ac:dyDescent="0.4">
      <c r="B341" s="173" t="str">
        <f t="shared" si="19"/>
        <v/>
      </c>
      <c r="C341" s="285" t="str">
        <f t="shared" si="20"/>
        <v/>
      </c>
      <c r="D341" s="211"/>
      <c r="E341" s="420" t="s">
        <v>163</v>
      </c>
      <c r="F341" s="209"/>
      <c r="G341" s="148"/>
      <c r="H341" s="422" t="s">
        <v>1095</v>
      </c>
      <c r="I341" s="423" t="e">
        <f>SupplychainTier2[[#This Row],[Spend for which Tier 2 method accounts]]</f>
        <v>#VALUE!</v>
      </c>
      <c r="J341" s="423" t="s">
        <v>1095</v>
      </c>
      <c r="K341" s="423" t="str">
        <f>IFERROR(SupplychainTier2[[#This Row],[Calculated emissions (kgCO2e) for this spend]]/SupplychainTier2[[#This Row],[Spend for which Tier 2 method accounts]],"")</f>
        <v/>
      </c>
      <c r="L341" s="442"/>
      <c r="M341" s="201"/>
      <c r="N341" s="201"/>
      <c r="O341" s="255">
        <v>0</v>
      </c>
      <c r="P341" s="255">
        <v>0</v>
      </c>
      <c r="Q341" s="255" t="e">
        <f>SupplychainTier2[[#This Row],[Calculated emissions (kgCO2e) for this spend]]</f>
        <v>#VALUE!</v>
      </c>
      <c r="R341" s="255">
        <v>0</v>
      </c>
      <c r="S341" s="255">
        <v>0</v>
      </c>
      <c r="T341" s="387" t="e">
        <f>IF(SupplychainTier2[[#This Row],[Calculated emissions (kgCO2e) for this spend]]="","",(SupplychainTier2[[#This Row],[Calculated emissions (kgCO2e) for this spend]]*(1+SupplychainTier2[[#This Row],[RSD]])))</f>
        <v>#VALUE!</v>
      </c>
      <c r="U341" s="387" t="e">
        <f>IF(SupplychainTier2[[#This Row],[Calculated emissions (kgCO2e) for this spend]]="","",(SupplychainTier2[[#This Row],[Calculated emissions (kgCO2e) for this spend]]*(1-SupplychainTier2[[#This Row],[RSD]])))</f>
        <v>#VALUE!</v>
      </c>
      <c r="V341" s="255">
        <v>0</v>
      </c>
    </row>
    <row r="342" spans="2:22" ht="15" thickBot="1" x14ac:dyDescent="0.4">
      <c r="B342" s="173" t="str">
        <f t="shared" si="19"/>
        <v/>
      </c>
      <c r="C342" s="285" t="str">
        <f t="shared" si="20"/>
        <v/>
      </c>
      <c r="D342" s="211"/>
      <c r="E342" s="420" t="s">
        <v>163</v>
      </c>
      <c r="F342" s="209"/>
      <c r="G342" s="148"/>
      <c r="H342" s="422" t="s">
        <v>1095</v>
      </c>
      <c r="I342" s="423" t="e">
        <f>SupplychainTier2[[#This Row],[Spend for which Tier 2 method accounts]]</f>
        <v>#VALUE!</v>
      </c>
      <c r="J342" s="423" t="s">
        <v>1095</v>
      </c>
      <c r="K342" s="423" t="str">
        <f>IFERROR(SupplychainTier2[[#This Row],[Calculated emissions (kgCO2e) for this spend]]/SupplychainTier2[[#This Row],[Spend for which Tier 2 method accounts]],"")</f>
        <v/>
      </c>
      <c r="L342" s="442"/>
      <c r="M342" s="201"/>
      <c r="N342" s="201"/>
      <c r="O342" s="255">
        <v>0</v>
      </c>
      <c r="P342" s="255">
        <v>0</v>
      </c>
      <c r="Q342" s="255" t="e">
        <f>SupplychainTier2[[#This Row],[Calculated emissions (kgCO2e) for this spend]]</f>
        <v>#VALUE!</v>
      </c>
      <c r="R342" s="255">
        <v>0</v>
      </c>
      <c r="S342" s="255">
        <v>0</v>
      </c>
      <c r="T342" s="387" t="e">
        <f>IF(SupplychainTier2[[#This Row],[Calculated emissions (kgCO2e) for this spend]]="","",(SupplychainTier2[[#This Row],[Calculated emissions (kgCO2e) for this spend]]*(1+SupplychainTier2[[#This Row],[RSD]])))</f>
        <v>#VALUE!</v>
      </c>
      <c r="U342" s="387" t="e">
        <f>IF(SupplychainTier2[[#This Row],[Calculated emissions (kgCO2e) for this spend]]="","",(SupplychainTier2[[#This Row],[Calculated emissions (kgCO2e) for this spend]]*(1-SupplychainTier2[[#This Row],[RSD]])))</f>
        <v>#VALUE!</v>
      </c>
      <c r="V342" s="255">
        <v>0</v>
      </c>
    </row>
    <row r="343" spans="2:22" ht="15" thickBot="1" x14ac:dyDescent="0.4">
      <c r="B343" s="173" t="str">
        <f t="shared" si="19"/>
        <v/>
      </c>
      <c r="C343" s="285" t="str">
        <f t="shared" si="20"/>
        <v/>
      </c>
      <c r="D343" s="211"/>
      <c r="E343" s="420" t="s">
        <v>163</v>
      </c>
      <c r="F343" s="209"/>
      <c r="G343" s="148"/>
      <c r="H343" s="422" t="s">
        <v>1095</v>
      </c>
      <c r="I343" s="423" t="e">
        <f>SupplychainTier2[[#This Row],[Spend for which Tier 2 method accounts]]</f>
        <v>#VALUE!</v>
      </c>
      <c r="J343" s="423" t="s">
        <v>1095</v>
      </c>
      <c r="K343" s="423" t="str">
        <f>IFERROR(SupplychainTier2[[#This Row],[Calculated emissions (kgCO2e) for this spend]]/SupplychainTier2[[#This Row],[Spend for which Tier 2 method accounts]],"")</f>
        <v/>
      </c>
      <c r="L343" s="442"/>
      <c r="M343" s="201"/>
      <c r="N343" s="201"/>
      <c r="O343" s="255">
        <v>0</v>
      </c>
      <c r="P343" s="255">
        <v>0</v>
      </c>
      <c r="Q343" s="255" t="e">
        <f>SupplychainTier2[[#This Row],[Calculated emissions (kgCO2e) for this spend]]</f>
        <v>#VALUE!</v>
      </c>
      <c r="R343" s="255">
        <v>0</v>
      </c>
      <c r="S343" s="255">
        <v>0</v>
      </c>
      <c r="T343" s="387" t="e">
        <f>IF(SupplychainTier2[[#This Row],[Calculated emissions (kgCO2e) for this spend]]="","",(SupplychainTier2[[#This Row],[Calculated emissions (kgCO2e) for this spend]]*(1+SupplychainTier2[[#This Row],[RSD]])))</f>
        <v>#VALUE!</v>
      </c>
      <c r="U343" s="387" t="e">
        <f>IF(SupplychainTier2[[#This Row],[Calculated emissions (kgCO2e) for this spend]]="","",(SupplychainTier2[[#This Row],[Calculated emissions (kgCO2e) for this spend]]*(1-SupplychainTier2[[#This Row],[RSD]])))</f>
        <v>#VALUE!</v>
      </c>
      <c r="V343" s="255">
        <v>0</v>
      </c>
    </row>
    <row r="344" spans="2:22" ht="15" thickBot="1" x14ac:dyDescent="0.4">
      <c r="B344" s="173" t="str">
        <f t="shared" si="19"/>
        <v/>
      </c>
      <c r="C344" s="285" t="str">
        <f t="shared" si="20"/>
        <v/>
      </c>
      <c r="D344" s="211"/>
      <c r="E344" s="420" t="s">
        <v>163</v>
      </c>
      <c r="F344" s="209"/>
      <c r="G344" s="148"/>
      <c r="H344" s="422" t="s">
        <v>1095</v>
      </c>
      <c r="I344" s="423" t="e">
        <f>SupplychainTier2[[#This Row],[Spend for which Tier 2 method accounts]]</f>
        <v>#VALUE!</v>
      </c>
      <c r="J344" s="423" t="s">
        <v>1095</v>
      </c>
      <c r="K344" s="423" t="str">
        <f>IFERROR(SupplychainTier2[[#This Row],[Calculated emissions (kgCO2e) for this spend]]/SupplychainTier2[[#This Row],[Spend for which Tier 2 method accounts]],"")</f>
        <v/>
      </c>
      <c r="L344" s="442"/>
      <c r="M344" s="201"/>
      <c r="N344" s="201"/>
      <c r="O344" s="255">
        <v>0</v>
      </c>
      <c r="P344" s="255">
        <v>0</v>
      </c>
      <c r="Q344" s="255" t="e">
        <f>SupplychainTier2[[#This Row],[Calculated emissions (kgCO2e) for this spend]]</f>
        <v>#VALUE!</v>
      </c>
      <c r="R344" s="255">
        <v>0</v>
      </c>
      <c r="S344" s="255">
        <v>0</v>
      </c>
      <c r="T344" s="387" t="e">
        <f>IF(SupplychainTier2[[#This Row],[Calculated emissions (kgCO2e) for this spend]]="","",(SupplychainTier2[[#This Row],[Calculated emissions (kgCO2e) for this spend]]*(1+SupplychainTier2[[#This Row],[RSD]])))</f>
        <v>#VALUE!</v>
      </c>
      <c r="U344" s="387" t="e">
        <f>IF(SupplychainTier2[[#This Row],[Calculated emissions (kgCO2e) for this spend]]="","",(SupplychainTier2[[#This Row],[Calculated emissions (kgCO2e) for this spend]]*(1-SupplychainTier2[[#This Row],[RSD]])))</f>
        <v>#VALUE!</v>
      </c>
      <c r="V344" s="255">
        <v>0</v>
      </c>
    </row>
    <row r="345" spans="2:22" ht="15" thickBot="1" x14ac:dyDescent="0.4">
      <c r="B345" s="173" t="str">
        <f t="shared" si="19"/>
        <v/>
      </c>
      <c r="C345" s="285" t="str">
        <f t="shared" si="20"/>
        <v/>
      </c>
      <c r="D345" s="211"/>
      <c r="E345" s="420" t="s">
        <v>163</v>
      </c>
      <c r="F345" s="209"/>
      <c r="G345" s="148"/>
      <c r="H345" s="422" t="s">
        <v>1095</v>
      </c>
      <c r="I345" s="423" t="e">
        <f>SupplychainTier2[[#This Row],[Spend for which Tier 2 method accounts]]</f>
        <v>#VALUE!</v>
      </c>
      <c r="J345" s="423" t="s">
        <v>1095</v>
      </c>
      <c r="K345" s="423" t="str">
        <f>IFERROR(SupplychainTier2[[#This Row],[Calculated emissions (kgCO2e) for this spend]]/SupplychainTier2[[#This Row],[Spend for which Tier 2 method accounts]],"")</f>
        <v/>
      </c>
      <c r="L345" s="442"/>
      <c r="M345" s="201"/>
      <c r="N345" s="201"/>
      <c r="O345" s="255">
        <v>0</v>
      </c>
      <c r="P345" s="255">
        <v>0</v>
      </c>
      <c r="Q345" s="255" t="e">
        <f>SupplychainTier2[[#This Row],[Calculated emissions (kgCO2e) for this spend]]</f>
        <v>#VALUE!</v>
      </c>
      <c r="R345" s="255">
        <v>0</v>
      </c>
      <c r="S345" s="255">
        <v>0</v>
      </c>
      <c r="T345" s="387" t="e">
        <f>IF(SupplychainTier2[[#This Row],[Calculated emissions (kgCO2e) for this spend]]="","",(SupplychainTier2[[#This Row],[Calculated emissions (kgCO2e) for this spend]]*(1+SupplychainTier2[[#This Row],[RSD]])))</f>
        <v>#VALUE!</v>
      </c>
      <c r="U345" s="387" t="e">
        <f>IF(SupplychainTier2[[#This Row],[Calculated emissions (kgCO2e) for this spend]]="","",(SupplychainTier2[[#This Row],[Calculated emissions (kgCO2e) for this spend]]*(1-SupplychainTier2[[#This Row],[RSD]])))</f>
        <v>#VALUE!</v>
      </c>
      <c r="V345" s="255">
        <v>0</v>
      </c>
    </row>
    <row r="346" spans="2:22" ht="15" thickBot="1" x14ac:dyDescent="0.4">
      <c r="B346" s="173" t="str">
        <f t="shared" si="19"/>
        <v/>
      </c>
      <c r="C346" s="285" t="str">
        <f t="shared" si="20"/>
        <v/>
      </c>
      <c r="D346" s="211"/>
      <c r="E346" s="420" t="s">
        <v>163</v>
      </c>
      <c r="F346" s="209"/>
      <c r="G346" s="148"/>
      <c r="H346" s="422" t="s">
        <v>1095</v>
      </c>
      <c r="I346" s="423" t="e">
        <f>SupplychainTier2[[#This Row],[Spend for which Tier 2 method accounts]]</f>
        <v>#VALUE!</v>
      </c>
      <c r="J346" s="423" t="s">
        <v>1095</v>
      </c>
      <c r="K346" s="423" t="str">
        <f>IFERROR(SupplychainTier2[[#This Row],[Calculated emissions (kgCO2e) for this spend]]/SupplychainTier2[[#This Row],[Spend for which Tier 2 method accounts]],"")</f>
        <v/>
      </c>
      <c r="L346" s="442"/>
      <c r="M346" s="201"/>
      <c r="N346" s="201"/>
      <c r="O346" s="255">
        <v>0</v>
      </c>
      <c r="P346" s="255">
        <v>0</v>
      </c>
      <c r="Q346" s="255" t="e">
        <f>SupplychainTier2[[#This Row],[Calculated emissions (kgCO2e) for this spend]]</f>
        <v>#VALUE!</v>
      </c>
      <c r="R346" s="255">
        <v>0</v>
      </c>
      <c r="S346" s="255">
        <v>0</v>
      </c>
      <c r="T346" s="387" t="e">
        <f>IF(SupplychainTier2[[#This Row],[Calculated emissions (kgCO2e) for this spend]]="","",(SupplychainTier2[[#This Row],[Calculated emissions (kgCO2e) for this spend]]*(1+SupplychainTier2[[#This Row],[RSD]])))</f>
        <v>#VALUE!</v>
      </c>
      <c r="U346" s="387" t="e">
        <f>IF(SupplychainTier2[[#This Row],[Calculated emissions (kgCO2e) for this spend]]="","",(SupplychainTier2[[#This Row],[Calculated emissions (kgCO2e) for this spend]]*(1-SupplychainTier2[[#This Row],[RSD]])))</f>
        <v>#VALUE!</v>
      </c>
      <c r="V346" s="255">
        <v>0</v>
      </c>
    </row>
    <row r="347" spans="2:22" ht="15" thickBot="1" x14ac:dyDescent="0.4">
      <c r="B347" s="173" t="str">
        <f t="shared" si="19"/>
        <v/>
      </c>
      <c r="C347" s="285" t="str">
        <f t="shared" si="20"/>
        <v/>
      </c>
      <c r="D347" s="211"/>
      <c r="E347" s="420" t="s">
        <v>163</v>
      </c>
      <c r="F347" s="209"/>
      <c r="G347" s="148"/>
      <c r="H347" s="422" t="s">
        <v>1095</v>
      </c>
      <c r="I347" s="423" t="e">
        <f>SupplychainTier2[[#This Row],[Spend for which Tier 2 method accounts]]</f>
        <v>#VALUE!</v>
      </c>
      <c r="J347" s="423" t="s">
        <v>1095</v>
      </c>
      <c r="K347" s="423" t="str">
        <f>IFERROR(SupplychainTier2[[#This Row],[Calculated emissions (kgCO2e) for this spend]]/SupplychainTier2[[#This Row],[Spend for which Tier 2 method accounts]],"")</f>
        <v/>
      </c>
      <c r="L347" s="442"/>
      <c r="M347" s="201"/>
      <c r="N347" s="201"/>
      <c r="O347" s="255">
        <v>0</v>
      </c>
      <c r="P347" s="255">
        <v>0</v>
      </c>
      <c r="Q347" s="255" t="e">
        <f>SupplychainTier2[[#This Row],[Calculated emissions (kgCO2e) for this spend]]</f>
        <v>#VALUE!</v>
      </c>
      <c r="R347" s="255">
        <v>0</v>
      </c>
      <c r="S347" s="255">
        <v>0</v>
      </c>
      <c r="T347" s="387" t="e">
        <f>IF(SupplychainTier2[[#This Row],[Calculated emissions (kgCO2e) for this spend]]="","",(SupplychainTier2[[#This Row],[Calculated emissions (kgCO2e) for this spend]]*(1+SupplychainTier2[[#This Row],[RSD]])))</f>
        <v>#VALUE!</v>
      </c>
      <c r="U347" s="387" t="e">
        <f>IF(SupplychainTier2[[#This Row],[Calculated emissions (kgCO2e) for this spend]]="","",(SupplychainTier2[[#This Row],[Calculated emissions (kgCO2e) for this spend]]*(1-SupplychainTier2[[#This Row],[RSD]])))</f>
        <v>#VALUE!</v>
      </c>
      <c r="V347" s="255">
        <v>0</v>
      </c>
    </row>
    <row r="348" spans="2:22" ht="15" thickBot="1" x14ac:dyDescent="0.4">
      <c r="B348" s="173" t="str">
        <f t="shared" si="19"/>
        <v/>
      </c>
      <c r="C348" s="285" t="str">
        <f t="shared" si="20"/>
        <v/>
      </c>
      <c r="D348" s="211"/>
      <c r="E348" s="420" t="s">
        <v>163</v>
      </c>
      <c r="F348" s="209"/>
      <c r="G348" s="148"/>
      <c r="H348" s="422" t="s">
        <v>1095</v>
      </c>
      <c r="I348" s="423" t="e">
        <f>SupplychainTier2[[#This Row],[Spend for which Tier 2 method accounts]]</f>
        <v>#VALUE!</v>
      </c>
      <c r="J348" s="423" t="s">
        <v>1095</v>
      </c>
      <c r="K348" s="423" t="str">
        <f>IFERROR(SupplychainTier2[[#This Row],[Calculated emissions (kgCO2e) for this spend]]/SupplychainTier2[[#This Row],[Spend for which Tier 2 method accounts]],"")</f>
        <v/>
      </c>
      <c r="L348" s="442"/>
      <c r="M348" s="201"/>
      <c r="N348" s="201"/>
      <c r="O348" s="255">
        <v>0</v>
      </c>
      <c r="P348" s="255">
        <v>0</v>
      </c>
      <c r="Q348" s="255" t="e">
        <f>SupplychainTier2[[#This Row],[Calculated emissions (kgCO2e) for this spend]]</f>
        <v>#VALUE!</v>
      </c>
      <c r="R348" s="255">
        <v>0</v>
      </c>
      <c r="S348" s="255">
        <v>0</v>
      </c>
      <c r="T348" s="387" t="e">
        <f>IF(SupplychainTier2[[#This Row],[Calculated emissions (kgCO2e) for this spend]]="","",(SupplychainTier2[[#This Row],[Calculated emissions (kgCO2e) for this spend]]*(1+SupplychainTier2[[#This Row],[RSD]])))</f>
        <v>#VALUE!</v>
      </c>
      <c r="U348" s="387" t="e">
        <f>IF(SupplychainTier2[[#This Row],[Calculated emissions (kgCO2e) for this spend]]="","",(SupplychainTier2[[#This Row],[Calculated emissions (kgCO2e) for this spend]]*(1-SupplychainTier2[[#This Row],[RSD]])))</f>
        <v>#VALUE!</v>
      </c>
      <c r="V348" s="255">
        <v>0</v>
      </c>
    </row>
    <row r="349" spans="2:22" ht="15" thickBot="1" x14ac:dyDescent="0.4">
      <c r="B349" s="173" t="str">
        <f t="shared" si="19"/>
        <v/>
      </c>
      <c r="C349" s="285" t="str">
        <f t="shared" si="20"/>
        <v/>
      </c>
      <c r="D349" s="211"/>
      <c r="E349" s="420" t="s">
        <v>163</v>
      </c>
      <c r="F349" s="209"/>
      <c r="G349" s="148"/>
      <c r="H349" s="422" t="s">
        <v>1095</v>
      </c>
      <c r="I349" s="423" t="e">
        <f>SupplychainTier2[[#This Row],[Spend for which Tier 2 method accounts]]</f>
        <v>#VALUE!</v>
      </c>
      <c r="J349" s="423" t="s">
        <v>1095</v>
      </c>
      <c r="K349" s="423" t="str">
        <f>IFERROR(SupplychainTier2[[#This Row],[Calculated emissions (kgCO2e) for this spend]]/SupplychainTier2[[#This Row],[Spend for which Tier 2 method accounts]],"")</f>
        <v/>
      </c>
      <c r="L349" s="442"/>
      <c r="M349" s="201"/>
      <c r="N349" s="201"/>
      <c r="O349" s="255">
        <v>0</v>
      </c>
      <c r="P349" s="255">
        <v>0</v>
      </c>
      <c r="Q349" s="255" t="e">
        <f>SupplychainTier2[[#This Row],[Calculated emissions (kgCO2e) for this spend]]</f>
        <v>#VALUE!</v>
      </c>
      <c r="R349" s="255">
        <v>0</v>
      </c>
      <c r="S349" s="255">
        <v>0</v>
      </c>
      <c r="T349" s="387" t="e">
        <f>IF(SupplychainTier2[[#This Row],[Calculated emissions (kgCO2e) for this spend]]="","",(SupplychainTier2[[#This Row],[Calculated emissions (kgCO2e) for this spend]]*(1+SupplychainTier2[[#This Row],[RSD]])))</f>
        <v>#VALUE!</v>
      </c>
      <c r="U349" s="387" t="e">
        <f>IF(SupplychainTier2[[#This Row],[Calculated emissions (kgCO2e) for this spend]]="","",(SupplychainTier2[[#This Row],[Calculated emissions (kgCO2e) for this spend]]*(1-SupplychainTier2[[#This Row],[RSD]])))</f>
        <v>#VALUE!</v>
      </c>
      <c r="V349" s="255">
        <v>0</v>
      </c>
    </row>
    <row r="350" spans="2:22" ht="15" thickBot="1" x14ac:dyDescent="0.4">
      <c r="B350" s="173" t="str">
        <f t="shared" si="19"/>
        <v/>
      </c>
      <c r="C350" s="285" t="str">
        <f t="shared" si="20"/>
        <v/>
      </c>
      <c r="D350" s="211"/>
      <c r="E350" s="420" t="s">
        <v>163</v>
      </c>
      <c r="F350" s="209"/>
      <c r="G350" s="148"/>
      <c r="H350" s="422" t="s">
        <v>1095</v>
      </c>
      <c r="I350" s="423" t="e">
        <f>SupplychainTier2[[#This Row],[Spend for which Tier 2 method accounts]]</f>
        <v>#VALUE!</v>
      </c>
      <c r="J350" s="423" t="s">
        <v>1095</v>
      </c>
      <c r="K350" s="423" t="str">
        <f>IFERROR(SupplychainTier2[[#This Row],[Calculated emissions (kgCO2e) for this spend]]/SupplychainTier2[[#This Row],[Spend for which Tier 2 method accounts]],"")</f>
        <v/>
      </c>
      <c r="L350" s="442"/>
      <c r="M350" s="201"/>
      <c r="N350" s="201"/>
      <c r="O350" s="255">
        <v>0</v>
      </c>
      <c r="P350" s="255">
        <v>0</v>
      </c>
      <c r="Q350" s="255" t="e">
        <f>SupplychainTier2[[#This Row],[Calculated emissions (kgCO2e) for this spend]]</f>
        <v>#VALUE!</v>
      </c>
      <c r="R350" s="255">
        <v>0</v>
      </c>
      <c r="S350" s="255">
        <v>0</v>
      </c>
      <c r="T350" s="387" t="e">
        <f>IF(SupplychainTier2[[#This Row],[Calculated emissions (kgCO2e) for this spend]]="","",(SupplychainTier2[[#This Row],[Calculated emissions (kgCO2e) for this spend]]*(1+SupplychainTier2[[#This Row],[RSD]])))</f>
        <v>#VALUE!</v>
      </c>
      <c r="U350" s="387" t="e">
        <f>IF(SupplychainTier2[[#This Row],[Calculated emissions (kgCO2e) for this spend]]="","",(SupplychainTier2[[#This Row],[Calculated emissions (kgCO2e) for this spend]]*(1-SupplychainTier2[[#This Row],[RSD]])))</f>
        <v>#VALUE!</v>
      </c>
      <c r="V350" s="255">
        <v>0</v>
      </c>
    </row>
    <row r="351" spans="2:22" ht="15" thickBot="1" x14ac:dyDescent="0.4">
      <c r="B351" s="173" t="str">
        <f t="shared" si="19"/>
        <v/>
      </c>
      <c r="C351" s="285" t="str">
        <f t="shared" si="20"/>
        <v/>
      </c>
      <c r="D351" s="211"/>
      <c r="E351" s="420" t="s">
        <v>163</v>
      </c>
      <c r="F351" s="209"/>
      <c r="G351" s="148"/>
      <c r="H351" s="422" t="s">
        <v>1095</v>
      </c>
      <c r="I351" s="423" t="e">
        <f>SupplychainTier2[[#This Row],[Spend for which Tier 2 method accounts]]</f>
        <v>#VALUE!</v>
      </c>
      <c r="J351" s="423" t="s">
        <v>1095</v>
      </c>
      <c r="K351" s="423" t="str">
        <f>IFERROR(SupplychainTier2[[#This Row],[Calculated emissions (kgCO2e) for this spend]]/SupplychainTier2[[#This Row],[Spend for which Tier 2 method accounts]],"")</f>
        <v/>
      </c>
      <c r="L351" s="442"/>
      <c r="M351" s="201"/>
      <c r="N351" s="201"/>
      <c r="O351" s="255">
        <v>0</v>
      </c>
      <c r="P351" s="255">
        <v>0</v>
      </c>
      <c r="Q351" s="255" t="e">
        <f>SupplychainTier2[[#This Row],[Calculated emissions (kgCO2e) for this spend]]</f>
        <v>#VALUE!</v>
      </c>
      <c r="R351" s="255">
        <v>0</v>
      </c>
      <c r="S351" s="255">
        <v>0</v>
      </c>
      <c r="T351" s="387" t="e">
        <f>IF(SupplychainTier2[[#This Row],[Calculated emissions (kgCO2e) for this spend]]="","",(SupplychainTier2[[#This Row],[Calculated emissions (kgCO2e) for this spend]]*(1+SupplychainTier2[[#This Row],[RSD]])))</f>
        <v>#VALUE!</v>
      </c>
      <c r="U351" s="387" t="e">
        <f>IF(SupplychainTier2[[#This Row],[Calculated emissions (kgCO2e) for this spend]]="","",(SupplychainTier2[[#This Row],[Calculated emissions (kgCO2e) for this spend]]*(1-SupplychainTier2[[#This Row],[RSD]])))</f>
        <v>#VALUE!</v>
      </c>
      <c r="V351" s="255">
        <v>0</v>
      </c>
    </row>
    <row r="352" spans="2:22" ht="15" thickBot="1" x14ac:dyDescent="0.4">
      <c r="B352" s="173" t="str">
        <f t="shared" si="19"/>
        <v/>
      </c>
      <c r="C352" s="285" t="str">
        <f t="shared" si="20"/>
        <v/>
      </c>
      <c r="D352" s="211"/>
      <c r="E352" s="420" t="s">
        <v>163</v>
      </c>
      <c r="F352" s="209"/>
      <c r="G352" s="148"/>
      <c r="H352" s="422" t="s">
        <v>1095</v>
      </c>
      <c r="I352" s="423" t="e">
        <f>SupplychainTier2[[#This Row],[Spend for which Tier 2 method accounts]]</f>
        <v>#VALUE!</v>
      </c>
      <c r="J352" s="423" t="s">
        <v>1095</v>
      </c>
      <c r="K352" s="423" t="str">
        <f>IFERROR(SupplychainTier2[[#This Row],[Calculated emissions (kgCO2e) for this spend]]/SupplychainTier2[[#This Row],[Spend for which Tier 2 method accounts]],"")</f>
        <v/>
      </c>
      <c r="L352" s="442"/>
      <c r="M352" s="201"/>
      <c r="N352" s="201"/>
      <c r="O352" s="255">
        <v>0</v>
      </c>
      <c r="P352" s="255">
        <v>0</v>
      </c>
      <c r="Q352" s="255" t="e">
        <f>SupplychainTier2[[#This Row],[Calculated emissions (kgCO2e) for this spend]]</f>
        <v>#VALUE!</v>
      </c>
      <c r="R352" s="255">
        <v>0</v>
      </c>
      <c r="S352" s="255">
        <v>0</v>
      </c>
      <c r="T352" s="387" t="e">
        <f>IF(SupplychainTier2[[#This Row],[Calculated emissions (kgCO2e) for this spend]]="","",(SupplychainTier2[[#This Row],[Calculated emissions (kgCO2e) for this spend]]*(1+SupplychainTier2[[#This Row],[RSD]])))</f>
        <v>#VALUE!</v>
      </c>
      <c r="U352" s="387" t="e">
        <f>IF(SupplychainTier2[[#This Row],[Calculated emissions (kgCO2e) for this spend]]="","",(SupplychainTier2[[#This Row],[Calculated emissions (kgCO2e) for this spend]]*(1-SupplychainTier2[[#This Row],[RSD]])))</f>
        <v>#VALUE!</v>
      </c>
      <c r="V352" s="255">
        <v>0</v>
      </c>
    </row>
    <row r="353" spans="2:22" ht="15" thickBot="1" x14ac:dyDescent="0.4">
      <c r="B353" s="173" t="str">
        <f t="shared" si="19"/>
        <v/>
      </c>
      <c r="C353" s="285" t="str">
        <f t="shared" si="20"/>
        <v/>
      </c>
      <c r="D353" s="211"/>
      <c r="E353" s="420" t="s">
        <v>163</v>
      </c>
      <c r="F353" s="209"/>
      <c r="G353" s="148"/>
      <c r="H353" s="422" t="s">
        <v>1095</v>
      </c>
      <c r="I353" s="423" t="e">
        <f>SupplychainTier2[[#This Row],[Spend for which Tier 2 method accounts]]</f>
        <v>#VALUE!</v>
      </c>
      <c r="J353" s="423" t="s">
        <v>1095</v>
      </c>
      <c r="K353" s="423" t="str">
        <f>IFERROR(SupplychainTier2[[#This Row],[Calculated emissions (kgCO2e) for this spend]]/SupplychainTier2[[#This Row],[Spend for which Tier 2 method accounts]],"")</f>
        <v/>
      </c>
      <c r="L353" s="442"/>
      <c r="M353" s="201"/>
      <c r="N353" s="201"/>
      <c r="O353" s="255">
        <v>0</v>
      </c>
      <c r="P353" s="255">
        <v>0</v>
      </c>
      <c r="Q353" s="255" t="e">
        <f>SupplychainTier2[[#This Row],[Calculated emissions (kgCO2e) for this spend]]</f>
        <v>#VALUE!</v>
      </c>
      <c r="R353" s="255">
        <v>0</v>
      </c>
      <c r="S353" s="255">
        <v>0</v>
      </c>
      <c r="T353" s="387" t="e">
        <f>IF(SupplychainTier2[[#This Row],[Calculated emissions (kgCO2e) for this spend]]="","",(SupplychainTier2[[#This Row],[Calculated emissions (kgCO2e) for this spend]]*(1+SupplychainTier2[[#This Row],[RSD]])))</f>
        <v>#VALUE!</v>
      </c>
      <c r="U353" s="387" t="e">
        <f>IF(SupplychainTier2[[#This Row],[Calculated emissions (kgCO2e) for this spend]]="","",(SupplychainTier2[[#This Row],[Calculated emissions (kgCO2e) for this spend]]*(1-SupplychainTier2[[#This Row],[RSD]])))</f>
        <v>#VALUE!</v>
      </c>
      <c r="V353" s="255">
        <v>0</v>
      </c>
    </row>
    <row r="354" spans="2:22" ht="15" thickBot="1" x14ac:dyDescent="0.4">
      <c r="B354" s="173" t="str">
        <f t="shared" si="19"/>
        <v/>
      </c>
      <c r="C354" s="285" t="str">
        <f t="shared" si="20"/>
        <v/>
      </c>
      <c r="D354" s="211"/>
      <c r="E354" s="420" t="s">
        <v>163</v>
      </c>
      <c r="F354" s="209"/>
      <c r="G354" s="148"/>
      <c r="H354" s="422" t="s">
        <v>1095</v>
      </c>
      <c r="I354" s="423" t="e">
        <f>SupplychainTier2[[#This Row],[Spend for which Tier 2 method accounts]]</f>
        <v>#VALUE!</v>
      </c>
      <c r="J354" s="423" t="s">
        <v>1095</v>
      </c>
      <c r="K354" s="423" t="str">
        <f>IFERROR(SupplychainTier2[[#This Row],[Calculated emissions (kgCO2e) for this spend]]/SupplychainTier2[[#This Row],[Spend for which Tier 2 method accounts]],"")</f>
        <v/>
      </c>
      <c r="L354" s="442"/>
      <c r="M354" s="201"/>
      <c r="N354" s="201"/>
      <c r="O354" s="255">
        <v>0</v>
      </c>
      <c r="P354" s="255">
        <v>0</v>
      </c>
      <c r="Q354" s="255" t="e">
        <f>SupplychainTier2[[#This Row],[Calculated emissions (kgCO2e) for this spend]]</f>
        <v>#VALUE!</v>
      </c>
      <c r="R354" s="255">
        <v>0</v>
      </c>
      <c r="S354" s="255">
        <v>0</v>
      </c>
      <c r="T354" s="387" t="e">
        <f>IF(SupplychainTier2[[#This Row],[Calculated emissions (kgCO2e) for this spend]]="","",(SupplychainTier2[[#This Row],[Calculated emissions (kgCO2e) for this spend]]*(1+SupplychainTier2[[#This Row],[RSD]])))</f>
        <v>#VALUE!</v>
      </c>
      <c r="U354" s="387" t="e">
        <f>IF(SupplychainTier2[[#This Row],[Calculated emissions (kgCO2e) for this spend]]="","",(SupplychainTier2[[#This Row],[Calculated emissions (kgCO2e) for this spend]]*(1-SupplychainTier2[[#This Row],[RSD]])))</f>
        <v>#VALUE!</v>
      </c>
      <c r="V354" s="255">
        <v>0</v>
      </c>
    </row>
    <row r="355" spans="2:22" ht="15" thickBot="1" x14ac:dyDescent="0.4">
      <c r="B355" s="173" t="str">
        <f t="shared" si="19"/>
        <v/>
      </c>
      <c r="C355" s="285" t="str">
        <f t="shared" si="20"/>
        <v/>
      </c>
      <c r="D355" s="211"/>
      <c r="E355" s="420" t="s">
        <v>163</v>
      </c>
      <c r="F355" s="209"/>
      <c r="G355" s="148"/>
      <c r="H355" s="422" t="s">
        <v>1095</v>
      </c>
      <c r="I355" s="423" t="e">
        <f>SupplychainTier2[[#This Row],[Spend for which Tier 2 method accounts]]</f>
        <v>#VALUE!</v>
      </c>
      <c r="J355" s="423" t="s">
        <v>1095</v>
      </c>
      <c r="K355" s="423" t="str">
        <f>IFERROR(SupplychainTier2[[#This Row],[Calculated emissions (kgCO2e) for this spend]]/SupplychainTier2[[#This Row],[Spend for which Tier 2 method accounts]],"")</f>
        <v/>
      </c>
      <c r="L355" s="442"/>
      <c r="M355" s="201"/>
      <c r="N355" s="201"/>
      <c r="O355" s="255">
        <v>0</v>
      </c>
      <c r="P355" s="255">
        <v>0</v>
      </c>
      <c r="Q355" s="255" t="e">
        <f>SupplychainTier2[[#This Row],[Calculated emissions (kgCO2e) for this spend]]</f>
        <v>#VALUE!</v>
      </c>
      <c r="R355" s="255">
        <v>0</v>
      </c>
      <c r="S355" s="255">
        <v>0</v>
      </c>
      <c r="T355" s="387" t="e">
        <f>IF(SupplychainTier2[[#This Row],[Calculated emissions (kgCO2e) for this spend]]="","",(SupplychainTier2[[#This Row],[Calculated emissions (kgCO2e) for this spend]]*(1+SupplychainTier2[[#This Row],[RSD]])))</f>
        <v>#VALUE!</v>
      </c>
      <c r="U355" s="387" t="e">
        <f>IF(SupplychainTier2[[#This Row],[Calculated emissions (kgCO2e) for this spend]]="","",(SupplychainTier2[[#This Row],[Calculated emissions (kgCO2e) for this spend]]*(1-SupplychainTier2[[#This Row],[RSD]])))</f>
        <v>#VALUE!</v>
      </c>
      <c r="V355" s="255">
        <v>0</v>
      </c>
    </row>
    <row r="356" spans="2:22" ht="15" thickBot="1" x14ac:dyDescent="0.4">
      <c r="B356" s="173" t="str">
        <f t="shared" si="19"/>
        <v/>
      </c>
      <c r="C356" s="285" t="str">
        <f t="shared" si="20"/>
        <v/>
      </c>
      <c r="D356" s="211"/>
      <c r="E356" s="420" t="s">
        <v>163</v>
      </c>
      <c r="F356" s="209"/>
      <c r="G356" s="148"/>
      <c r="H356" s="422" t="s">
        <v>1095</v>
      </c>
      <c r="I356" s="423" t="e">
        <f>SupplychainTier2[[#This Row],[Spend for which Tier 2 method accounts]]</f>
        <v>#VALUE!</v>
      </c>
      <c r="J356" s="423" t="s">
        <v>1095</v>
      </c>
      <c r="K356" s="423" t="str">
        <f>IFERROR(SupplychainTier2[[#This Row],[Calculated emissions (kgCO2e) for this spend]]/SupplychainTier2[[#This Row],[Spend for which Tier 2 method accounts]],"")</f>
        <v/>
      </c>
      <c r="L356" s="442"/>
      <c r="M356" s="201"/>
      <c r="N356" s="201"/>
      <c r="O356" s="255">
        <v>0</v>
      </c>
      <c r="P356" s="255">
        <v>0</v>
      </c>
      <c r="Q356" s="255" t="e">
        <f>SupplychainTier2[[#This Row],[Calculated emissions (kgCO2e) for this spend]]</f>
        <v>#VALUE!</v>
      </c>
      <c r="R356" s="255">
        <v>0</v>
      </c>
      <c r="S356" s="255">
        <v>0</v>
      </c>
      <c r="T356" s="387" t="e">
        <f>IF(SupplychainTier2[[#This Row],[Calculated emissions (kgCO2e) for this spend]]="","",(SupplychainTier2[[#This Row],[Calculated emissions (kgCO2e) for this spend]]*(1+SupplychainTier2[[#This Row],[RSD]])))</f>
        <v>#VALUE!</v>
      </c>
      <c r="U356" s="387" t="e">
        <f>IF(SupplychainTier2[[#This Row],[Calculated emissions (kgCO2e) for this spend]]="","",(SupplychainTier2[[#This Row],[Calculated emissions (kgCO2e) for this spend]]*(1-SupplychainTier2[[#This Row],[RSD]])))</f>
        <v>#VALUE!</v>
      </c>
      <c r="V356" s="255">
        <v>0</v>
      </c>
    </row>
    <row r="357" spans="2:22" ht="15" thickBot="1" x14ac:dyDescent="0.4">
      <c r="B357" s="173" t="str">
        <f t="shared" si="19"/>
        <v/>
      </c>
      <c r="C357" s="285" t="str">
        <f t="shared" si="20"/>
        <v/>
      </c>
      <c r="D357" s="211"/>
      <c r="E357" s="420" t="s">
        <v>163</v>
      </c>
      <c r="F357" s="209"/>
      <c r="G357" s="148"/>
      <c r="H357" s="422" t="s">
        <v>1095</v>
      </c>
      <c r="I357" s="423" t="e">
        <f>SupplychainTier2[[#This Row],[Spend for which Tier 2 method accounts]]</f>
        <v>#VALUE!</v>
      </c>
      <c r="J357" s="423" t="s">
        <v>1095</v>
      </c>
      <c r="K357" s="423" t="str">
        <f>IFERROR(SupplychainTier2[[#This Row],[Calculated emissions (kgCO2e) for this spend]]/SupplychainTier2[[#This Row],[Spend for which Tier 2 method accounts]],"")</f>
        <v/>
      </c>
      <c r="L357" s="442"/>
      <c r="M357" s="201"/>
      <c r="N357" s="201"/>
      <c r="O357" s="255">
        <v>0</v>
      </c>
      <c r="P357" s="255">
        <v>0</v>
      </c>
      <c r="Q357" s="255" t="e">
        <f>SupplychainTier2[[#This Row],[Calculated emissions (kgCO2e) for this spend]]</f>
        <v>#VALUE!</v>
      </c>
      <c r="R357" s="255">
        <v>0</v>
      </c>
      <c r="S357" s="255">
        <v>0</v>
      </c>
      <c r="T357" s="387" t="e">
        <f>IF(SupplychainTier2[[#This Row],[Calculated emissions (kgCO2e) for this spend]]="","",(SupplychainTier2[[#This Row],[Calculated emissions (kgCO2e) for this spend]]*(1+SupplychainTier2[[#This Row],[RSD]])))</f>
        <v>#VALUE!</v>
      </c>
      <c r="U357" s="387" t="e">
        <f>IF(SupplychainTier2[[#This Row],[Calculated emissions (kgCO2e) for this spend]]="","",(SupplychainTier2[[#This Row],[Calculated emissions (kgCO2e) for this spend]]*(1-SupplychainTier2[[#This Row],[RSD]])))</f>
        <v>#VALUE!</v>
      </c>
      <c r="V357" s="255">
        <v>0</v>
      </c>
    </row>
    <row r="358" spans="2:22" ht="15" thickBot="1" x14ac:dyDescent="0.4">
      <c r="B358" s="173" t="str">
        <f t="shared" si="19"/>
        <v/>
      </c>
      <c r="C358" s="285" t="str">
        <f t="shared" si="20"/>
        <v/>
      </c>
      <c r="D358" s="211"/>
      <c r="E358" s="420" t="s">
        <v>163</v>
      </c>
      <c r="F358" s="209"/>
      <c r="G358" s="148"/>
      <c r="H358" s="422" t="s">
        <v>1095</v>
      </c>
      <c r="I358" s="423" t="e">
        <f>SupplychainTier2[[#This Row],[Spend for which Tier 2 method accounts]]</f>
        <v>#VALUE!</v>
      </c>
      <c r="J358" s="423" t="s">
        <v>1095</v>
      </c>
      <c r="K358" s="423" t="str">
        <f>IFERROR(SupplychainTier2[[#This Row],[Calculated emissions (kgCO2e) for this spend]]/SupplychainTier2[[#This Row],[Spend for which Tier 2 method accounts]],"")</f>
        <v/>
      </c>
      <c r="L358" s="442"/>
      <c r="M358" s="201"/>
      <c r="N358" s="201"/>
      <c r="O358" s="255">
        <v>0</v>
      </c>
      <c r="P358" s="255">
        <v>0</v>
      </c>
      <c r="Q358" s="255" t="e">
        <f>SupplychainTier2[[#This Row],[Calculated emissions (kgCO2e) for this spend]]</f>
        <v>#VALUE!</v>
      </c>
      <c r="R358" s="255">
        <v>0</v>
      </c>
      <c r="S358" s="255">
        <v>0</v>
      </c>
      <c r="T358" s="387" t="e">
        <f>IF(SupplychainTier2[[#This Row],[Calculated emissions (kgCO2e) for this spend]]="","",(SupplychainTier2[[#This Row],[Calculated emissions (kgCO2e) for this spend]]*(1+SupplychainTier2[[#This Row],[RSD]])))</f>
        <v>#VALUE!</v>
      </c>
      <c r="U358" s="387" t="e">
        <f>IF(SupplychainTier2[[#This Row],[Calculated emissions (kgCO2e) for this spend]]="","",(SupplychainTier2[[#This Row],[Calculated emissions (kgCO2e) for this spend]]*(1-SupplychainTier2[[#This Row],[RSD]])))</f>
        <v>#VALUE!</v>
      </c>
      <c r="V358" s="255">
        <v>0</v>
      </c>
    </row>
    <row r="359" spans="2:22" ht="15" thickBot="1" x14ac:dyDescent="0.4">
      <c r="B359" s="173" t="str">
        <f t="shared" si="19"/>
        <v/>
      </c>
      <c r="C359" s="285" t="str">
        <f t="shared" si="20"/>
        <v/>
      </c>
      <c r="D359" s="211"/>
      <c r="E359" s="420" t="s">
        <v>163</v>
      </c>
      <c r="F359" s="209"/>
      <c r="G359" s="148"/>
      <c r="H359" s="422" t="s">
        <v>1095</v>
      </c>
      <c r="I359" s="423" t="e">
        <f>SupplychainTier2[[#This Row],[Spend for which Tier 2 method accounts]]</f>
        <v>#VALUE!</v>
      </c>
      <c r="J359" s="423" t="s">
        <v>1095</v>
      </c>
      <c r="K359" s="423" t="str">
        <f>IFERROR(SupplychainTier2[[#This Row],[Calculated emissions (kgCO2e) for this spend]]/SupplychainTier2[[#This Row],[Spend for which Tier 2 method accounts]],"")</f>
        <v/>
      </c>
      <c r="L359" s="442"/>
      <c r="M359" s="201"/>
      <c r="N359" s="201"/>
      <c r="O359" s="255">
        <v>0</v>
      </c>
      <c r="P359" s="255">
        <v>0</v>
      </c>
      <c r="Q359" s="255" t="e">
        <f>SupplychainTier2[[#This Row],[Calculated emissions (kgCO2e) for this spend]]</f>
        <v>#VALUE!</v>
      </c>
      <c r="R359" s="255">
        <v>0</v>
      </c>
      <c r="S359" s="255">
        <v>0</v>
      </c>
      <c r="T359" s="387" t="e">
        <f>IF(SupplychainTier2[[#This Row],[Calculated emissions (kgCO2e) for this spend]]="","",(SupplychainTier2[[#This Row],[Calculated emissions (kgCO2e) for this spend]]*(1+SupplychainTier2[[#This Row],[RSD]])))</f>
        <v>#VALUE!</v>
      </c>
      <c r="U359" s="387" t="e">
        <f>IF(SupplychainTier2[[#This Row],[Calculated emissions (kgCO2e) for this spend]]="","",(SupplychainTier2[[#This Row],[Calculated emissions (kgCO2e) for this spend]]*(1-SupplychainTier2[[#This Row],[RSD]])))</f>
        <v>#VALUE!</v>
      </c>
      <c r="V359" s="255">
        <v>0</v>
      </c>
    </row>
    <row r="360" spans="2:22" ht="15" thickBot="1" x14ac:dyDescent="0.4">
      <c r="B360" s="173" t="str">
        <f t="shared" si="19"/>
        <v/>
      </c>
      <c r="C360" s="285" t="str">
        <f t="shared" si="20"/>
        <v/>
      </c>
      <c r="D360" s="211"/>
      <c r="E360" s="420" t="s">
        <v>163</v>
      </c>
      <c r="F360" s="209"/>
      <c r="G360" s="148"/>
      <c r="H360" s="422" t="s">
        <v>1095</v>
      </c>
      <c r="I360" s="423" t="e">
        <f>SupplychainTier2[[#This Row],[Spend for which Tier 2 method accounts]]</f>
        <v>#VALUE!</v>
      </c>
      <c r="J360" s="423" t="s">
        <v>1095</v>
      </c>
      <c r="K360" s="423" t="str">
        <f>IFERROR(SupplychainTier2[[#This Row],[Calculated emissions (kgCO2e) for this spend]]/SupplychainTier2[[#This Row],[Spend for which Tier 2 method accounts]],"")</f>
        <v/>
      </c>
      <c r="L360" s="442"/>
      <c r="M360" s="201"/>
      <c r="N360" s="201"/>
      <c r="O360" s="255">
        <v>0</v>
      </c>
      <c r="P360" s="255">
        <v>0</v>
      </c>
      <c r="Q360" s="255" t="e">
        <f>SupplychainTier2[[#This Row],[Calculated emissions (kgCO2e) for this spend]]</f>
        <v>#VALUE!</v>
      </c>
      <c r="R360" s="255">
        <v>0</v>
      </c>
      <c r="S360" s="255">
        <v>0</v>
      </c>
      <c r="T360" s="387" t="e">
        <f>IF(SupplychainTier2[[#This Row],[Calculated emissions (kgCO2e) for this spend]]="","",(SupplychainTier2[[#This Row],[Calculated emissions (kgCO2e) for this spend]]*(1+SupplychainTier2[[#This Row],[RSD]])))</f>
        <v>#VALUE!</v>
      </c>
      <c r="U360" s="387" t="e">
        <f>IF(SupplychainTier2[[#This Row],[Calculated emissions (kgCO2e) for this spend]]="","",(SupplychainTier2[[#This Row],[Calculated emissions (kgCO2e) for this spend]]*(1-SupplychainTier2[[#This Row],[RSD]])))</f>
        <v>#VALUE!</v>
      </c>
      <c r="V360" s="255">
        <v>0</v>
      </c>
    </row>
    <row r="361" spans="2:22" ht="15" thickBot="1" x14ac:dyDescent="0.4">
      <c r="B361" s="173" t="str">
        <f t="shared" si="19"/>
        <v/>
      </c>
      <c r="C361" s="285" t="str">
        <f t="shared" si="20"/>
        <v/>
      </c>
      <c r="D361" s="211"/>
      <c r="E361" s="420" t="s">
        <v>163</v>
      </c>
      <c r="F361" s="209"/>
      <c r="G361" s="148"/>
      <c r="H361" s="422" t="s">
        <v>1095</v>
      </c>
      <c r="I361" s="423" t="e">
        <f>SupplychainTier2[[#This Row],[Spend for which Tier 2 method accounts]]</f>
        <v>#VALUE!</v>
      </c>
      <c r="J361" s="423" t="s">
        <v>1095</v>
      </c>
      <c r="K361" s="423" t="str">
        <f>IFERROR(SupplychainTier2[[#This Row],[Calculated emissions (kgCO2e) for this spend]]/SupplychainTier2[[#This Row],[Spend for which Tier 2 method accounts]],"")</f>
        <v/>
      </c>
      <c r="L361" s="442"/>
      <c r="M361" s="201"/>
      <c r="N361" s="201"/>
      <c r="O361" s="255">
        <v>0</v>
      </c>
      <c r="P361" s="255">
        <v>0</v>
      </c>
      <c r="Q361" s="255" t="e">
        <f>SupplychainTier2[[#This Row],[Calculated emissions (kgCO2e) for this spend]]</f>
        <v>#VALUE!</v>
      </c>
      <c r="R361" s="255">
        <v>0</v>
      </c>
      <c r="S361" s="255">
        <v>0</v>
      </c>
      <c r="T361" s="387" t="e">
        <f>IF(SupplychainTier2[[#This Row],[Calculated emissions (kgCO2e) for this spend]]="","",(SupplychainTier2[[#This Row],[Calculated emissions (kgCO2e) for this spend]]*(1+SupplychainTier2[[#This Row],[RSD]])))</f>
        <v>#VALUE!</v>
      </c>
      <c r="U361" s="387" t="e">
        <f>IF(SupplychainTier2[[#This Row],[Calculated emissions (kgCO2e) for this spend]]="","",(SupplychainTier2[[#This Row],[Calculated emissions (kgCO2e) for this spend]]*(1-SupplychainTier2[[#This Row],[RSD]])))</f>
        <v>#VALUE!</v>
      </c>
      <c r="V361" s="255">
        <v>0</v>
      </c>
    </row>
    <row r="362" spans="2:22" ht="15" thickBot="1" x14ac:dyDescent="0.4">
      <c r="B362" s="173" t="str">
        <f t="shared" si="19"/>
        <v/>
      </c>
      <c r="C362" s="285" t="str">
        <f t="shared" si="20"/>
        <v/>
      </c>
      <c r="D362" s="211"/>
      <c r="E362" s="420" t="s">
        <v>163</v>
      </c>
      <c r="F362" s="209"/>
      <c r="G362" s="148"/>
      <c r="H362" s="422" t="s">
        <v>1095</v>
      </c>
      <c r="I362" s="423" t="e">
        <f>SupplychainTier2[[#This Row],[Spend for which Tier 2 method accounts]]</f>
        <v>#VALUE!</v>
      </c>
      <c r="J362" s="423" t="s">
        <v>1095</v>
      </c>
      <c r="K362" s="423" t="str">
        <f>IFERROR(SupplychainTier2[[#This Row],[Calculated emissions (kgCO2e) for this spend]]/SupplychainTier2[[#This Row],[Spend for which Tier 2 method accounts]],"")</f>
        <v/>
      </c>
      <c r="L362" s="442"/>
      <c r="M362" s="201"/>
      <c r="N362" s="201"/>
      <c r="O362" s="255">
        <v>0</v>
      </c>
      <c r="P362" s="255">
        <v>0</v>
      </c>
      <c r="Q362" s="255" t="e">
        <f>SupplychainTier2[[#This Row],[Calculated emissions (kgCO2e) for this spend]]</f>
        <v>#VALUE!</v>
      </c>
      <c r="R362" s="255">
        <v>0</v>
      </c>
      <c r="S362" s="255">
        <v>0</v>
      </c>
      <c r="T362" s="387" t="e">
        <f>IF(SupplychainTier2[[#This Row],[Calculated emissions (kgCO2e) for this spend]]="","",(SupplychainTier2[[#This Row],[Calculated emissions (kgCO2e) for this spend]]*(1+SupplychainTier2[[#This Row],[RSD]])))</f>
        <v>#VALUE!</v>
      </c>
      <c r="U362" s="387" t="e">
        <f>IF(SupplychainTier2[[#This Row],[Calculated emissions (kgCO2e) for this spend]]="","",(SupplychainTier2[[#This Row],[Calculated emissions (kgCO2e) for this spend]]*(1-SupplychainTier2[[#This Row],[RSD]])))</f>
        <v>#VALUE!</v>
      </c>
      <c r="V362" s="255">
        <v>0</v>
      </c>
    </row>
    <row r="363" spans="2:22" ht="15" thickBot="1" x14ac:dyDescent="0.4">
      <c r="B363" s="173" t="str">
        <f t="shared" si="19"/>
        <v/>
      </c>
      <c r="C363" s="285" t="str">
        <f t="shared" si="20"/>
        <v/>
      </c>
      <c r="D363" s="211"/>
      <c r="E363" s="420" t="s">
        <v>163</v>
      </c>
      <c r="F363" s="209"/>
      <c r="G363" s="148"/>
      <c r="H363" s="422" t="s">
        <v>1095</v>
      </c>
      <c r="I363" s="423" t="e">
        <f>SupplychainTier2[[#This Row],[Spend for which Tier 2 method accounts]]</f>
        <v>#VALUE!</v>
      </c>
      <c r="J363" s="423" t="s">
        <v>1095</v>
      </c>
      <c r="K363" s="423" t="str">
        <f>IFERROR(SupplychainTier2[[#This Row],[Calculated emissions (kgCO2e) for this spend]]/SupplychainTier2[[#This Row],[Spend for which Tier 2 method accounts]],"")</f>
        <v/>
      </c>
      <c r="L363" s="442"/>
      <c r="M363" s="201"/>
      <c r="N363" s="201"/>
      <c r="O363" s="255">
        <v>0</v>
      </c>
      <c r="P363" s="255">
        <v>0</v>
      </c>
      <c r="Q363" s="255" t="e">
        <f>SupplychainTier2[[#This Row],[Calculated emissions (kgCO2e) for this spend]]</f>
        <v>#VALUE!</v>
      </c>
      <c r="R363" s="255">
        <v>0</v>
      </c>
      <c r="S363" s="255">
        <v>0</v>
      </c>
      <c r="T363" s="387" t="e">
        <f>IF(SupplychainTier2[[#This Row],[Calculated emissions (kgCO2e) for this spend]]="","",(SupplychainTier2[[#This Row],[Calculated emissions (kgCO2e) for this spend]]*(1+SupplychainTier2[[#This Row],[RSD]])))</f>
        <v>#VALUE!</v>
      </c>
      <c r="U363" s="387" t="e">
        <f>IF(SupplychainTier2[[#This Row],[Calculated emissions (kgCO2e) for this spend]]="","",(SupplychainTier2[[#This Row],[Calculated emissions (kgCO2e) for this spend]]*(1-SupplychainTier2[[#This Row],[RSD]])))</f>
        <v>#VALUE!</v>
      </c>
      <c r="V363" s="255">
        <v>0</v>
      </c>
    </row>
    <row r="364" spans="2:22" ht="15" thickBot="1" x14ac:dyDescent="0.4">
      <c r="B364" s="173" t="str">
        <f t="shared" si="19"/>
        <v/>
      </c>
      <c r="C364" s="285" t="str">
        <f t="shared" si="20"/>
        <v/>
      </c>
      <c r="D364" s="211"/>
      <c r="E364" s="420" t="s">
        <v>163</v>
      </c>
      <c r="F364" s="209"/>
      <c r="G364" s="148"/>
      <c r="H364" s="422" t="s">
        <v>1095</v>
      </c>
      <c r="I364" s="423" t="e">
        <f>SupplychainTier2[[#This Row],[Spend for which Tier 2 method accounts]]</f>
        <v>#VALUE!</v>
      </c>
      <c r="J364" s="423" t="s">
        <v>1095</v>
      </c>
      <c r="K364" s="423" t="str">
        <f>IFERROR(SupplychainTier2[[#This Row],[Calculated emissions (kgCO2e) for this spend]]/SupplychainTier2[[#This Row],[Spend for which Tier 2 method accounts]],"")</f>
        <v/>
      </c>
      <c r="L364" s="442"/>
      <c r="M364" s="201"/>
      <c r="N364" s="201"/>
      <c r="O364" s="255">
        <v>0</v>
      </c>
      <c r="P364" s="255">
        <v>0</v>
      </c>
      <c r="Q364" s="255" t="e">
        <f>SupplychainTier2[[#This Row],[Calculated emissions (kgCO2e) for this spend]]</f>
        <v>#VALUE!</v>
      </c>
      <c r="R364" s="255">
        <v>0</v>
      </c>
      <c r="S364" s="255">
        <v>0</v>
      </c>
      <c r="T364" s="387" t="e">
        <f>IF(SupplychainTier2[[#This Row],[Calculated emissions (kgCO2e) for this spend]]="","",(SupplychainTier2[[#This Row],[Calculated emissions (kgCO2e) for this spend]]*(1+SupplychainTier2[[#This Row],[RSD]])))</f>
        <v>#VALUE!</v>
      </c>
      <c r="U364" s="387" t="e">
        <f>IF(SupplychainTier2[[#This Row],[Calculated emissions (kgCO2e) for this spend]]="","",(SupplychainTier2[[#This Row],[Calculated emissions (kgCO2e) for this spend]]*(1-SupplychainTier2[[#This Row],[RSD]])))</f>
        <v>#VALUE!</v>
      </c>
      <c r="V364" s="255">
        <v>0</v>
      </c>
    </row>
    <row r="365" spans="2:22" ht="15" thickBot="1" x14ac:dyDescent="0.4">
      <c r="B365" s="173" t="str">
        <f t="shared" si="19"/>
        <v/>
      </c>
      <c r="C365" s="285" t="str">
        <f t="shared" si="20"/>
        <v/>
      </c>
      <c r="D365" s="211"/>
      <c r="E365" s="420" t="s">
        <v>163</v>
      </c>
      <c r="F365" s="209"/>
      <c r="G365" s="148"/>
      <c r="H365" s="422" t="s">
        <v>1095</v>
      </c>
      <c r="I365" s="423" t="e">
        <f>SupplychainTier2[[#This Row],[Spend for which Tier 2 method accounts]]</f>
        <v>#VALUE!</v>
      </c>
      <c r="J365" s="423" t="s">
        <v>1095</v>
      </c>
      <c r="K365" s="423" t="str">
        <f>IFERROR(SupplychainTier2[[#This Row],[Calculated emissions (kgCO2e) for this spend]]/SupplychainTier2[[#This Row],[Spend for which Tier 2 method accounts]],"")</f>
        <v/>
      </c>
      <c r="L365" s="442"/>
      <c r="M365" s="201"/>
      <c r="N365" s="201"/>
      <c r="O365" s="255">
        <v>0</v>
      </c>
      <c r="P365" s="255">
        <v>0</v>
      </c>
      <c r="Q365" s="255" t="e">
        <f>SupplychainTier2[[#This Row],[Calculated emissions (kgCO2e) for this spend]]</f>
        <v>#VALUE!</v>
      </c>
      <c r="R365" s="255">
        <v>0</v>
      </c>
      <c r="S365" s="255">
        <v>0</v>
      </c>
      <c r="T365" s="387" t="e">
        <f>IF(SupplychainTier2[[#This Row],[Calculated emissions (kgCO2e) for this spend]]="","",(SupplychainTier2[[#This Row],[Calculated emissions (kgCO2e) for this spend]]*(1+SupplychainTier2[[#This Row],[RSD]])))</f>
        <v>#VALUE!</v>
      </c>
      <c r="U365" s="387" t="e">
        <f>IF(SupplychainTier2[[#This Row],[Calculated emissions (kgCO2e) for this spend]]="","",(SupplychainTier2[[#This Row],[Calculated emissions (kgCO2e) for this spend]]*(1-SupplychainTier2[[#This Row],[RSD]])))</f>
        <v>#VALUE!</v>
      </c>
      <c r="V365" s="255">
        <v>0</v>
      </c>
    </row>
    <row r="366" spans="2:22" ht="15" thickBot="1" x14ac:dyDescent="0.4">
      <c r="B366" s="173" t="str">
        <f t="shared" si="19"/>
        <v/>
      </c>
      <c r="C366" s="285" t="str">
        <f t="shared" si="20"/>
        <v/>
      </c>
      <c r="D366" s="211"/>
      <c r="E366" s="420" t="s">
        <v>163</v>
      </c>
      <c r="F366" s="209"/>
      <c r="G366" s="148"/>
      <c r="H366" s="422" t="s">
        <v>1095</v>
      </c>
      <c r="I366" s="423" t="e">
        <f>SupplychainTier2[[#This Row],[Spend for which Tier 2 method accounts]]</f>
        <v>#VALUE!</v>
      </c>
      <c r="J366" s="423" t="s">
        <v>1095</v>
      </c>
      <c r="K366" s="423" t="str">
        <f>IFERROR(SupplychainTier2[[#This Row],[Calculated emissions (kgCO2e) for this spend]]/SupplychainTier2[[#This Row],[Spend for which Tier 2 method accounts]],"")</f>
        <v/>
      </c>
      <c r="L366" s="442"/>
      <c r="M366" s="201"/>
      <c r="N366" s="201"/>
      <c r="O366" s="255">
        <v>0</v>
      </c>
      <c r="P366" s="255">
        <v>0</v>
      </c>
      <c r="Q366" s="255" t="e">
        <f>SupplychainTier2[[#This Row],[Calculated emissions (kgCO2e) for this spend]]</f>
        <v>#VALUE!</v>
      </c>
      <c r="R366" s="255">
        <v>0</v>
      </c>
      <c r="S366" s="255">
        <v>0</v>
      </c>
      <c r="T366" s="387" t="e">
        <f>IF(SupplychainTier2[[#This Row],[Calculated emissions (kgCO2e) for this spend]]="","",(SupplychainTier2[[#This Row],[Calculated emissions (kgCO2e) for this spend]]*(1+SupplychainTier2[[#This Row],[RSD]])))</f>
        <v>#VALUE!</v>
      </c>
      <c r="U366" s="387" t="e">
        <f>IF(SupplychainTier2[[#This Row],[Calculated emissions (kgCO2e) for this spend]]="","",(SupplychainTier2[[#This Row],[Calculated emissions (kgCO2e) for this spend]]*(1-SupplychainTier2[[#This Row],[RSD]])))</f>
        <v>#VALUE!</v>
      </c>
      <c r="V366" s="255">
        <v>0</v>
      </c>
    </row>
    <row r="367" spans="2:22" ht="15" thickBot="1" x14ac:dyDescent="0.4">
      <c r="B367" s="173" t="str">
        <f t="shared" si="19"/>
        <v/>
      </c>
      <c r="C367" s="285" t="str">
        <f t="shared" si="20"/>
        <v/>
      </c>
      <c r="D367" s="211"/>
      <c r="E367" s="420" t="s">
        <v>163</v>
      </c>
      <c r="F367" s="209"/>
      <c r="G367" s="148"/>
      <c r="H367" s="422" t="s">
        <v>1095</v>
      </c>
      <c r="I367" s="423" t="e">
        <f>SupplychainTier2[[#This Row],[Spend for which Tier 2 method accounts]]</f>
        <v>#VALUE!</v>
      </c>
      <c r="J367" s="423" t="s">
        <v>1095</v>
      </c>
      <c r="K367" s="423" t="str">
        <f>IFERROR(SupplychainTier2[[#This Row],[Calculated emissions (kgCO2e) for this spend]]/SupplychainTier2[[#This Row],[Spend for which Tier 2 method accounts]],"")</f>
        <v/>
      </c>
      <c r="L367" s="442"/>
      <c r="M367" s="201"/>
      <c r="N367" s="201"/>
      <c r="O367" s="255">
        <v>0</v>
      </c>
      <c r="P367" s="255">
        <v>0</v>
      </c>
      <c r="Q367" s="255" t="e">
        <f>SupplychainTier2[[#This Row],[Calculated emissions (kgCO2e) for this spend]]</f>
        <v>#VALUE!</v>
      </c>
      <c r="R367" s="255">
        <v>0</v>
      </c>
      <c r="S367" s="255">
        <v>0</v>
      </c>
      <c r="T367" s="387" t="e">
        <f>IF(SupplychainTier2[[#This Row],[Calculated emissions (kgCO2e) for this spend]]="","",(SupplychainTier2[[#This Row],[Calculated emissions (kgCO2e) for this spend]]*(1+SupplychainTier2[[#This Row],[RSD]])))</f>
        <v>#VALUE!</v>
      </c>
      <c r="U367" s="387" t="e">
        <f>IF(SupplychainTier2[[#This Row],[Calculated emissions (kgCO2e) for this spend]]="","",(SupplychainTier2[[#This Row],[Calculated emissions (kgCO2e) for this spend]]*(1-SupplychainTier2[[#This Row],[RSD]])))</f>
        <v>#VALUE!</v>
      </c>
      <c r="V367" s="255">
        <v>0</v>
      </c>
    </row>
    <row r="368" spans="2:22" ht="15" thickBot="1" x14ac:dyDescent="0.4">
      <c r="B368" s="173" t="str">
        <f t="shared" si="19"/>
        <v/>
      </c>
      <c r="C368" s="285" t="str">
        <f t="shared" si="20"/>
        <v/>
      </c>
      <c r="D368" s="211"/>
      <c r="E368" s="420" t="s">
        <v>163</v>
      </c>
      <c r="F368" s="209"/>
      <c r="G368" s="148"/>
      <c r="H368" s="422" t="s">
        <v>1095</v>
      </c>
      <c r="I368" s="423" t="e">
        <f>SupplychainTier2[[#This Row],[Spend for which Tier 2 method accounts]]</f>
        <v>#VALUE!</v>
      </c>
      <c r="J368" s="423" t="s">
        <v>1095</v>
      </c>
      <c r="K368" s="423" t="str">
        <f>IFERROR(SupplychainTier2[[#This Row],[Calculated emissions (kgCO2e) for this spend]]/SupplychainTier2[[#This Row],[Spend for which Tier 2 method accounts]],"")</f>
        <v/>
      </c>
      <c r="L368" s="442"/>
      <c r="M368" s="201"/>
      <c r="N368" s="201"/>
      <c r="O368" s="255">
        <v>0</v>
      </c>
      <c r="P368" s="255">
        <v>0</v>
      </c>
      <c r="Q368" s="255" t="e">
        <f>SupplychainTier2[[#This Row],[Calculated emissions (kgCO2e) for this spend]]</f>
        <v>#VALUE!</v>
      </c>
      <c r="R368" s="255">
        <v>0</v>
      </c>
      <c r="S368" s="255">
        <v>0</v>
      </c>
      <c r="T368" s="387" t="e">
        <f>IF(SupplychainTier2[[#This Row],[Calculated emissions (kgCO2e) for this spend]]="","",(SupplychainTier2[[#This Row],[Calculated emissions (kgCO2e) for this spend]]*(1+SupplychainTier2[[#This Row],[RSD]])))</f>
        <v>#VALUE!</v>
      </c>
      <c r="U368" s="387" t="e">
        <f>IF(SupplychainTier2[[#This Row],[Calculated emissions (kgCO2e) for this spend]]="","",(SupplychainTier2[[#This Row],[Calculated emissions (kgCO2e) for this spend]]*(1-SupplychainTier2[[#This Row],[RSD]])))</f>
        <v>#VALUE!</v>
      </c>
      <c r="V368" s="255">
        <v>0</v>
      </c>
    </row>
    <row r="369" spans="2:22" ht="15" thickBot="1" x14ac:dyDescent="0.4">
      <c r="B369" s="173" t="str">
        <f t="shared" si="19"/>
        <v/>
      </c>
      <c r="C369" s="285" t="str">
        <f t="shared" si="20"/>
        <v/>
      </c>
      <c r="D369" s="211"/>
      <c r="E369" s="420" t="s">
        <v>163</v>
      </c>
      <c r="F369" s="209"/>
      <c r="G369" s="148"/>
      <c r="H369" s="422" t="s">
        <v>1095</v>
      </c>
      <c r="I369" s="423" t="e">
        <f>SupplychainTier2[[#This Row],[Spend for which Tier 2 method accounts]]</f>
        <v>#VALUE!</v>
      </c>
      <c r="J369" s="423" t="s">
        <v>1095</v>
      </c>
      <c r="K369" s="423" t="str">
        <f>IFERROR(SupplychainTier2[[#This Row],[Calculated emissions (kgCO2e) for this spend]]/SupplychainTier2[[#This Row],[Spend for which Tier 2 method accounts]],"")</f>
        <v/>
      </c>
      <c r="L369" s="442"/>
      <c r="M369" s="201"/>
      <c r="N369" s="201"/>
      <c r="O369" s="255">
        <v>0</v>
      </c>
      <c r="P369" s="255">
        <v>0</v>
      </c>
      <c r="Q369" s="255" t="e">
        <f>SupplychainTier2[[#This Row],[Calculated emissions (kgCO2e) for this spend]]</f>
        <v>#VALUE!</v>
      </c>
      <c r="R369" s="255">
        <v>0</v>
      </c>
      <c r="S369" s="255">
        <v>0</v>
      </c>
      <c r="T369" s="387" t="e">
        <f>IF(SupplychainTier2[[#This Row],[Calculated emissions (kgCO2e) for this spend]]="","",(SupplychainTier2[[#This Row],[Calculated emissions (kgCO2e) for this spend]]*(1+SupplychainTier2[[#This Row],[RSD]])))</f>
        <v>#VALUE!</v>
      </c>
      <c r="U369" s="387" t="e">
        <f>IF(SupplychainTier2[[#This Row],[Calculated emissions (kgCO2e) for this spend]]="","",(SupplychainTier2[[#This Row],[Calculated emissions (kgCO2e) for this spend]]*(1-SupplychainTier2[[#This Row],[RSD]])))</f>
        <v>#VALUE!</v>
      </c>
      <c r="V369" s="255">
        <v>0</v>
      </c>
    </row>
    <row r="370" spans="2:22" ht="15" thickBot="1" x14ac:dyDescent="0.4">
      <c r="B370" s="173" t="str">
        <f t="shared" si="19"/>
        <v/>
      </c>
      <c r="C370" s="285" t="str">
        <f t="shared" si="20"/>
        <v/>
      </c>
      <c r="D370" s="211"/>
      <c r="E370" s="420" t="s">
        <v>163</v>
      </c>
      <c r="F370" s="209"/>
      <c r="G370" s="148"/>
      <c r="H370" s="422" t="s">
        <v>1095</v>
      </c>
      <c r="I370" s="423" t="e">
        <f>SupplychainTier2[[#This Row],[Spend for which Tier 2 method accounts]]</f>
        <v>#VALUE!</v>
      </c>
      <c r="J370" s="423" t="s">
        <v>1095</v>
      </c>
      <c r="K370" s="423" t="str">
        <f>IFERROR(SupplychainTier2[[#This Row],[Calculated emissions (kgCO2e) for this spend]]/SupplychainTier2[[#This Row],[Spend for which Tier 2 method accounts]],"")</f>
        <v/>
      </c>
      <c r="L370" s="442"/>
      <c r="M370" s="201"/>
      <c r="N370" s="201"/>
      <c r="O370" s="255">
        <v>0</v>
      </c>
      <c r="P370" s="255">
        <v>0</v>
      </c>
      <c r="Q370" s="255" t="e">
        <f>SupplychainTier2[[#This Row],[Calculated emissions (kgCO2e) for this spend]]</f>
        <v>#VALUE!</v>
      </c>
      <c r="R370" s="255">
        <v>0</v>
      </c>
      <c r="S370" s="255">
        <v>0</v>
      </c>
      <c r="T370" s="387" t="e">
        <f>IF(SupplychainTier2[[#This Row],[Calculated emissions (kgCO2e) for this spend]]="","",(SupplychainTier2[[#This Row],[Calculated emissions (kgCO2e) for this spend]]*(1+SupplychainTier2[[#This Row],[RSD]])))</f>
        <v>#VALUE!</v>
      </c>
      <c r="U370" s="387" t="e">
        <f>IF(SupplychainTier2[[#This Row],[Calculated emissions (kgCO2e) for this spend]]="","",(SupplychainTier2[[#This Row],[Calculated emissions (kgCO2e) for this spend]]*(1-SupplychainTier2[[#This Row],[RSD]])))</f>
        <v>#VALUE!</v>
      </c>
      <c r="V370" s="255">
        <v>0</v>
      </c>
    </row>
    <row r="371" spans="2:22" ht="15" thickBot="1" x14ac:dyDescent="0.4">
      <c r="B371" s="173" t="str">
        <f t="shared" si="19"/>
        <v/>
      </c>
      <c r="C371" s="285" t="str">
        <f t="shared" si="20"/>
        <v/>
      </c>
      <c r="D371" s="211"/>
      <c r="E371" s="420" t="s">
        <v>163</v>
      </c>
      <c r="F371" s="209"/>
      <c r="G371" s="148"/>
      <c r="H371" s="422" t="s">
        <v>1095</v>
      </c>
      <c r="I371" s="423" t="e">
        <f>SupplychainTier2[[#This Row],[Spend for which Tier 2 method accounts]]</f>
        <v>#VALUE!</v>
      </c>
      <c r="J371" s="423" t="s">
        <v>1095</v>
      </c>
      <c r="K371" s="423" t="str">
        <f>IFERROR(SupplychainTier2[[#This Row],[Calculated emissions (kgCO2e) for this spend]]/SupplychainTier2[[#This Row],[Spend for which Tier 2 method accounts]],"")</f>
        <v/>
      </c>
      <c r="L371" s="442"/>
      <c r="M371" s="201"/>
      <c r="N371" s="201"/>
      <c r="O371" s="255">
        <v>0</v>
      </c>
      <c r="P371" s="255">
        <v>0</v>
      </c>
      <c r="Q371" s="255" t="e">
        <f>SupplychainTier2[[#This Row],[Calculated emissions (kgCO2e) for this spend]]</f>
        <v>#VALUE!</v>
      </c>
      <c r="R371" s="255">
        <v>0</v>
      </c>
      <c r="S371" s="255">
        <v>0</v>
      </c>
      <c r="T371" s="387" t="e">
        <f>IF(SupplychainTier2[[#This Row],[Calculated emissions (kgCO2e) for this spend]]="","",(SupplychainTier2[[#This Row],[Calculated emissions (kgCO2e) for this spend]]*(1+SupplychainTier2[[#This Row],[RSD]])))</f>
        <v>#VALUE!</v>
      </c>
      <c r="U371" s="387" t="e">
        <f>IF(SupplychainTier2[[#This Row],[Calculated emissions (kgCO2e) for this spend]]="","",(SupplychainTier2[[#This Row],[Calculated emissions (kgCO2e) for this spend]]*(1-SupplychainTier2[[#This Row],[RSD]])))</f>
        <v>#VALUE!</v>
      </c>
      <c r="V371" s="255">
        <v>0</v>
      </c>
    </row>
    <row r="372" spans="2:22" ht="15" thickBot="1" x14ac:dyDescent="0.4">
      <c r="B372" s="173" t="str">
        <f t="shared" si="19"/>
        <v/>
      </c>
      <c r="C372" s="285" t="str">
        <f t="shared" si="20"/>
        <v/>
      </c>
      <c r="D372" s="211"/>
      <c r="E372" s="420" t="s">
        <v>163</v>
      </c>
      <c r="F372" s="209"/>
      <c r="G372" s="148"/>
      <c r="H372" s="422" t="s">
        <v>1095</v>
      </c>
      <c r="I372" s="423" t="e">
        <f>SupplychainTier2[[#This Row],[Spend for which Tier 2 method accounts]]</f>
        <v>#VALUE!</v>
      </c>
      <c r="J372" s="423" t="s">
        <v>1095</v>
      </c>
      <c r="K372" s="423" t="str">
        <f>IFERROR(SupplychainTier2[[#This Row],[Calculated emissions (kgCO2e) for this spend]]/SupplychainTier2[[#This Row],[Spend for which Tier 2 method accounts]],"")</f>
        <v/>
      </c>
      <c r="L372" s="442"/>
      <c r="M372" s="201"/>
      <c r="N372" s="201"/>
      <c r="O372" s="255">
        <v>0</v>
      </c>
      <c r="P372" s="255">
        <v>0</v>
      </c>
      <c r="Q372" s="255" t="e">
        <f>SupplychainTier2[[#This Row],[Calculated emissions (kgCO2e) for this spend]]</f>
        <v>#VALUE!</v>
      </c>
      <c r="R372" s="255">
        <v>0</v>
      </c>
      <c r="S372" s="255">
        <v>0</v>
      </c>
      <c r="T372" s="387" t="e">
        <f>IF(SupplychainTier2[[#This Row],[Calculated emissions (kgCO2e) for this spend]]="","",(SupplychainTier2[[#This Row],[Calculated emissions (kgCO2e) for this spend]]*(1+SupplychainTier2[[#This Row],[RSD]])))</f>
        <v>#VALUE!</v>
      </c>
      <c r="U372" s="387" t="e">
        <f>IF(SupplychainTier2[[#This Row],[Calculated emissions (kgCO2e) for this spend]]="","",(SupplychainTier2[[#This Row],[Calculated emissions (kgCO2e) for this spend]]*(1-SupplychainTier2[[#This Row],[RSD]])))</f>
        <v>#VALUE!</v>
      </c>
      <c r="V372" s="255">
        <v>0</v>
      </c>
    </row>
    <row r="373" spans="2:22" ht="15" thickBot="1" x14ac:dyDescent="0.4">
      <c r="B373" s="173" t="str">
        <f t="shared" si="19"/>
        <v/>
      </c>
      <c r="C373" s="285" t="str">
        <f t="shared" si="20"/>
        <v/>
      </c>
      <c r="D373" s="211"/>
      <c r="E373" s="420" t="s">
        <v>163</v>
      </c>
      <c r="F373" s="209"/>
      <c r="G373" s="148"/>
      <c r="H373" s="422" t="s">
        <v>1095</v>
      </c>
      <c r="I373" s="423" t="e">
        <f>SupplychainTier2[[#This Row],[Spend for which Tier 2 method accounts]]</f>
        <v>#VALUE!</v>
      </c>
      <c r="J373" s="423" t="s">
        <v>1095</v>
      </c>
      <c r="K373" s="423" t="str">
        <f>IFERROR(SupplychainTier2[[#This Row],[Calculated emissions (kgCO2e) for this spend]]/SupplychainTier2[[#This Row],[Spend for which Tier 2 method accounts]],"")</f>
        <v/>
      </c>
      <c r="L373" s="442"/>
      <c r="M373" s="201"/>
      <c r="N373" s="201"/>
      <c r="O373" s="255">
        <v>0</v>
      </c>
      <c r="P373" s="255">
        <v>0</v>
      </c>
      <c r="Q373" s="255" t="e">
        <f>SupplychainTier2[[#This Row],[Calculated emissions (kgCO2e) for this spend]]</f>
        <v>#VALUE!</v>
      </c>
      <c r="R373" s="255">
        <v>0</v>
      </c>
      <c r="S373" s="255">
        <v>0</v>
      </c>
      <c r="T373" s="387" t="e">
        <f>IF(SupplychainTier2[[#This Row],[Calculated emissions (kgCO2e) for this spend]]="","",(SupplychainTier2[[#This Row],[Calculated emissions (kgCO2e) for this spend]]*(1+SupplychainTier2[[#This Row],[RSD]])))</f>
        <v>#VALUE!</v>
      </c>
      <c r="U373" s="387" t="e">
        <f>IF(SupplychainTier2[[#This Row],[Calculated emissions (kgCO2e) for this spend]]="","",(SupplychainTier2[[#This Row],[Calculated emissions (kgCO2e) for this spend]]*(1-SupplychainTier2[[#This Row],[RSD]])))</f>
        <v>#VALUE!</v>
      </c>
      <c r="V373" s="255">
        <v>0</v>
      </c>
    </row>
    <row r="374" spans="2:22" ht="15" thickBot="1" x14ac:dyDescent="0.4">
      <c r="B374" s="173" t="str">
        <f t="shared" si="19"/>
        <v/>
      </c>
      <c r="C374" s="285" t="str">
        <f t="shared" si="20"/>
        <v/>
      </c>
      <c r="D374" s="211"/>
      <c r="E374" s="420" t="s">
        <v>163</v>
      </c>
      <c r="F374" s="209"/>
      <c r="G374" s="148"/>
      <c r="H374" s="422" t="s">
        <v>1095</v>
      </c>
      <c r="I374" s="423" t="e">
        <f>SupplychainTier2[[#This Row],[Spend for which Tier 2 method accounts]]</f>
        <v>#VALUE!</v>
      </c>
      <c r="J374" s="423" t="s">
        <v>1095</v>
      </c>
      <c r="K374" s="423" t="str">
        <f>IFERROR(SupplychainTier2[[#This Row],[Calculated emissions (kgCO2e) for this spend]]/SupplychainTier2[[#This Row],[Spend for which Tier 2 method accounts]],"")</f>
        <v/>
      </c>
      <c r="L374" s="442"/>
      <c r="M374" s="201"/>
      <c r="N374" s="201"/>
      <c r="O374" s="255">
        <v>0</v>
      </c>
      <c r="P374" s="255">
        <v>0</v>
      </c>
      <c r="Q374" s="255" t="e">
        <f>SupplychainTier2[[#This Row],[Calculated emissions (kgCO2e) for this spend]]</f>
        <v>#VALUE!</v>
      </c>
      <c r="R374" s="255">
        <v>0</v>
      </c>
      <c r="S374" s="255">
        <v>0</v>
      </c>
      <c r="T374" s="387" t="e">
        <f>IF(SupplychainTier2[[#This Row],[Calculated emissions (kgCO2e) for this spend]]="","",(SupplychainTier2[[#This Row],[Calculated emissions (kgCO2e) for this spend]]*(1+SupplychainTier2[[#This Row],[RSD]])))</f>
        <v>#VALUE!</v>
      </c>
      <c r="U374" s="387" t="e">
        <f>IF(SupplychainTier2[[#This Row],[Calculated emissions (kgCO2e) for this spend]]="","",(SupplychainTier2[[#This Row],[Calculated emissions (kgCO2e) for this spend]]*(1-SupplychainTier2[[#This Row],[RSD]])))</f>
        <v>#VALUE!</v>
      </c>
      <c r="V374" s="255">
        <v>0</v>
      </c>
    </row>
    <row r="375" spans="2:22" ht="15" thickBot="1" x14ac:dyDescent="0.4">
      <c r="B375" s="173" t="str">
        <f t="shared" si="19"/>
        <v/>
      </c>
      <c r="C375" s="285" t="str">
        <f t="shared" si="20"/>
        <v/>
      </c>
      <c r="D375" s="211"/>
      <c r="E375" s="420" t="s">
        <v>163</v>
      </c>
      <c r="F375" s="209"/>
      <c r="G375" s="148"/>
      <c r="H375" s="422" t="s">
        <v>1095</v>
      </c>
      <c r="I375" s="423" t="e">
        <f>SupplychainTier2[[#This Row],[Spend for which Tier 2 method accounts]]</f>
        <v>#VALUE!</v>
      </c>
      <c r="J375" s="423" t="s">
        <v>1095</v>
      </c>
      <c r="K375" s="423" t="str">
        <f>IFERROR(SupplychainTier2[[#This Row],[Calculated emissions (kgCO2e) for this spend]]/SupplychainTier2[[#This Row],[Spend for which Tier 2 method accounts]],"")</f>
        <v/>
      </c>
      <c r="L375" s="442"/>
      <c r="M375" s="201"/>
      <c r="N375" s="201"/>
      <c r="O375" s="255">
        <v>0</v>
      </c>
      <c r="P375" s="255">
        <v>0</v>
      </c>
      <c r="Q375" s="255" t="e">
        <f>SupplychainTier2[[#This Row],[Calculated emissions (kgCO2e) for this spend]]</f>
        <v>#VALUE!</v>
      </c>
      <c r="R375" s="255">
        <v>0</v>
      </c>
      <c r="S375" s="255">
        <v>0</v>
      </c>
      <c r="T375" s="387" t="e">
        <f>IF(SupplychainTier2[[#This Row],[Calculated emissions (kgCO2e) for this spend]]="","",(SupplychainTier2[[#This Row],[Calculated emissions (kgCO2e) for this spend]]*(1+SupplychainTier2[[#This Row],[RSD]])))</f>
        <v>#VALUE!</v>
      </c>
      <c r="U375" s="387" t="e">
        <f>IF(SupplychainTier2[[#This Row],[Calculated emissions (kgCO2e) for this spend]]="","",(SupplychainTier2[[#This Row],[Calculated emissions (kgCO2e) for this spend]]*(1-SupplychainTier2[[#This Row],[RSD]])))</f>
        <v>#VALUE!</v>
      </c>
      <c r="V375" s="255">
        <v>0</v>
      </c>
    </row>
    <row r="376" spans="2:22" ht="15" thickBot="1" x14ac:dyDescent="0.4">
      <c r="B376" s="173" t="str">
        <f t="shared" ref="B376" si="21">IFERROR(VLOOKUP(D376,SICProductCodeLookup,2,FALSE), "")</f>
        <v/>
      </c>
      <c r="C376" s="285" t="str">
        <f t="shared" ref="C376" si="22">IFERROR((VLOOKUP(D376,SICProductCodeLookup,3,FALSE)), "")</f>
        <v/>
      </c>
      <c r="D376" s="211"/>
      <c r="E376" s="420" t="s">
        <v>163</v>
      </c>
      <c r="F376" s="209"/>
      <c r="G376" s="148"/>
      <c r="H376" s="422" t="s">
        <v>1095</v>
      </c>
      <c r="I376" s="423" t="e">
        <f>SupplychainTier2[[#This Row],[Spend for which Tier 2 method accounts]]</f>
        <v>#VALUE!</v>
      </c>
      <c r="J376" s="423" t="s">
        <v>1095</v>
      </c>
      <c r="K376" s="423" t="str">
        <f>IFERROR(SupplychainTier2[[#This Row],[Calculated emissions (kgCO2e) for this spend]]/SupplychainTier2[[#This Row],[Spend for which Tier 2 method accounts]],"")</f>
        <v/>
      </c>
      <c r="L376" s="442"/>
      <c r="M376" s="201"/>
      <c r="N376" s="201"/>
      <c r="O376" s="255">
        <v>0</v>
      </c>
      <c r="P376" s="255">
        <v>0</v>
      </c>
      <c r="Q376" s="255" t="e">
        <f>SupplychainTier2[[#This Row],[Calculated emissions (kgCO2e) for this spend]]</f>
        <v>#VALUE!</v>
      </c>
      <c r="R376" s="255">
        <v>0</v>
      </c>
      <c r="S376" s="255">
        <v>0</v>
      </c>
      <c r="T376" s="387" t="e">
        <f>IF(SupplychainTier2[[#This Row],[Calculated emissions (kgCO2e) for this spend]]="","",(SupplychainTier2[[#This Row],[Calculated emissions (kgCO2e) for this spend]]*(1+SupplychainTier2[[#This Row],[RSD]])))</f>
        <v>#VALUE!</v>
      </c>
      <c r="U376" s="387" t="e">
        <f>IF(SupplychainTier2[[#This Row],[Calculated emissions (kgCO2e) for this spend]]="","",(SupplychainTier2[[#This Row],[Calculated emissions (kgCO2e) for this spend]]*(1-SupplychainTier2[[#This Row],[RSD]])))</f>
        <v>#VALUE!</v>
      </c>
      <c r="V376" s="255">
        <v>0</v>
      </c>
    </row>
  </sheetData>
  <sheetProtection algorithmName="SHA-512" hashValue="p70URxI3I0mGkg1RxexGkb48yk6GfMqC1KofJCPZTlXH8hdabpjIu3uyZr+eIbfraW7XTsX1ao3rkBIe8zMAvg==" saltValue="iW7MNnnFWUKzMcX3Aee6+w==" spinCount="100000" sheet="1" objects="1" scenarios="1"/>
  <mergeCells count="115">
    <mergeCell ref="B4:L4"/>
    <mergeCell ref="B5:L5"/>
    <mergeCell ref="B119:I120"/>
    <mergeCell ref="B3:I3"/>
    <mergeCell ref="W12:Y12"/>
    <mergeCell ref="W13:Y13"/>
    <mergeCell ref="W14:Y14"/>
    <mergeCell ref="W15:Y15"/>
    <mergeCell ref="W16:Y16"/>
    <mergeCell ref="W9:Y9"/>
    <mergeCell ref="W10:Y10"/>
    <mergeCell ref="W11:Y11"/>
    <mergeCell ref="W22:Y22"/>
    <mergeCell ref="W23:Y23"/>
    <mergeCell ref="W24:Y24"/>
    <mergeCell ref="W25:Y25"/>
    <mergeCell ref="W26:Y26"/>
    <mergeCell ref="W17:Y17"/>
    <mergeCell ref="W18:Y18"/>
    <mergeCell ref="W19:Y19"/>
    <mergeCell ref="W20:Y20"/>
    <mergeCell ref="W21:Y21"/>
    <mergeCell ref="W32:Y32"/>
    <mergeCell ref="W33:Y33"/>
    <mergeCell ref="W34:Y34"/>
    <mergeCell ref="W35:Y35"/>
    <mergeCell ref="W36:Y36"/>
    <mergeCell ref="W27:Y27"/>
    <mergeCell ref="W28:Y28"/>
    <mergeCell ref="W29:Y29"/>
    <mergeCell ref="W30:Y30"/>
    <mergeCell ref="W31:Y31"/>
    <mergeCell ref="W42:Y42"/>
    <mergeCell ref="W43:Y43"/>
    <mergeCell ref="W44:Y44"/>
    <mergeCell ref="W45:Y45"/>
    <mergeCell ref="W46:Y46"/>
    <mergeCell ref="W37:Y37"/>
    <mergeCell ref="W38:Y38"/>
    <mergeCell ref="W39:Y39"/>
    <mergeCell ref="W40:Y40"/>
    <mergeCell ref="W41:Y41"/>
    <mergeCell ref="W52:Y52"/>
    <mergeCell ref="W53:Y53"/>
    <mergeCell ref="W54:Y54"/>
    <mergeCell ref="W55:Y55"/>
    <mergeCell ref="W56:Y56"/>
    <mergeCell ref="W47:Y47"/>
    <mergeCell ref="W48:Y48"/>
    <mergeCell ref="W49:Y49"/>
    <mergeCell ref="W50:Y50"/>
    <mergeCell ref="W51:Y51"/>
    <mergeCell ref="W62:Y62"/>
    <mergeCell ref="W63:Y63"/>
    <mergeCell ref="W64:Y64"/>
    <mergeCell ref="W65:Y65"/>
    <mergeCell ref="W66:Y66"/>
    <mergeCell ref="W57:Y57"/>
    <mergeCell ref="W58:Y58"/>
    <mergeCell ref="W59:Y59"/>
    <mergeCell ref="W60:Y60"/>
    <mergeCell ref="W61:Y61"/>
    <mergeCell ref="W72:Y72"/>
    <mergeCell ref="W73:Y73"/>
    <mergeCell ref="W74:Y74"/>
    <mergeCell ref="W75:Y75"/>
    <mergeCell ref="W76:Y76"/>
    <mergeCell ref="W67:Y67"/>
    <mergeCell ref="W68:Y68"/>
    <mergeCell ref="W69:Y69"/>
    <mergeCell ref="W70:Y70"/>
    <mergeCell ref="W71:Y71"/>
    <mergeCell ref="W82:Y82"/>
    <mergeCell ref="W83:Y83"/>
    <mergeCell ref="W84:Y84"/>
    <mergeCell ref="W85:Y85"/>
    <mergeCell ref="W86:Y86"/>
    <mergeCell ref="W77:Y77"/>
    <mergeCell ref="W78:Y78"/>
    <mergeCell ref="W79:Y79"/>
    <mergeCell ref="W80:Y80"/>
    <mergeCell ref="W81:Y81"/>
    <mergeCell ref="W93:Y93"/>
    <mergeCell ref="W94:Y94"/>
    <mergeCell ref="W95:Y95"/>
    <mergeCell ref="W96:Y96"/>
    <mergeCell ref="W87:Y87"/>
    <mergeCell ref="W88:Y88"/>
    <mergeCell ref="W89:Y89"/>
    <mergeCell ref="W90:Y90"/>
    <mergeCell ref="W91:Y91"/>
    <mergeCell ref="W117:Y117"/>
    <mergeCell ref="W8:Y8"/>
    <mergeCell ref="W7:Y7"/>
    <mergeCell ref="W112:Y112"/>
    <mergeCell ref="W113:Y113"/>
    <mergeCell ref="W114:Y114"/>
    <mergeCell ref="W115:Y115"/>
    <mergeCell ref="W116:Y116"/>
    <mergeCell ref="W107:Y107"/>
    <mergeCell ref="W108:Y108"/>
    <mergeCell ref="W109:Y109"/>
    <mergeCell ref="W110:Y110"/>
    <mergeCell ref="W111:Y111"/>
    <mergeCell ref="W102:Y102"/>
    <mergeCell ref="W103:Y103"/>
    <mergeCell ref="W104:Y104"/>
    <mergeCell ref="W105:Y105"/>
    <mergeCell ref="W106:Y106"/>
    <mergeCell ref="W97:Y97"/>
    <mergeCell ref="W98:Y98"/>
    <mergeCell ref="W99:Y99"/>
    <mergeCell ref="W100:Y100"/>
    <mergeCell ref="W101:Y101"/>
    <mergeCell ref="W92:Y92"/>
  </mergeCells>
  <phoneticPr fontId="20" type="noConversion"/>
  <conditionalFormatting sqref="B8:V117 B124:V376">
    <cfRule type="expression" dxfId="33" priority="1">
      <formula>IF($Z8=1,1,0)</formula>
    </cfRule>
  </conditionalFormatting>
  <conditionalFormatting sqref="L6">
    <cfRule type="containsText" dxfId="32" priority="4" operator="containsText" text="There are errors">
      <formula>NOT(ISERROR(SEARCH("There are errors",L6)))</formula>
    </cfRule>
    <cfRule type="containsText" dxfId="31" priority="5" operator="containsText" text="No errors in this table">
      <formula>NOT(ISERROR(SEARCH("No errors in this table",L6)))</formula>
    </cfRule>
  </conditionalFormatting>
  <conditionalFormatting sqref="L122">
    <cfRule type="containsText" dxfId="30" priority="2" operator="containsText" text="There are errors">
      <formula>NOT(ISERROR(SEARCH("There are errors",L122)))</formula>
    </cfRule>
    <cfRule type="containsText" dxfId="29" priority="3" operator="containsText" text="No errors in this table">
      <formula>NOT(ISERROR(SEARCH("No errors in this table",L122)))</formula>
    </cfRule>
  </conditionalFormatting>
  <dataValidations count="8">
    <dataValidation type="decimal" operator="greaterThan" allowBlank="1" showInputMessage="1" showErrorMessage="1" errorTitle="Numeric data" error="Please enter a number greater than zero" sqref="G124:G376 L124:L376" xr:uid="{00000000-0002-0000-0700-000001000000}">
      <formula1>0</formula1>
    </dataValidation>
    <dataValidation type="list" allowBlank="1" showInputMessage="1" showErrorMessage="1" sqref="F124:F376" xr:uid="{FB7B38A2-943D-4B83-AC50-FB0C3C90F742}">
      <formula1>SupplyChain_Tier2RSD</formula1>
    </dataValidation>
    <dataValidation type="list" allowBlank="1" showInputMessage="1" showErrorMessage="1" sqref="F8:F117" xr:uid="{00000000-0002-0000-0700-000000000000}">
      <formula1>RSD</formula1>
    </dataValidation>
    <dataValidation type="list" allowBlank="1" showInputMessage="1" showErrorMessage="1" sqref="D124:D376" xr:uid="{3702FA40-89AB-4357-98AD-B5CA1C324F41}">
      <formula1>SICProductCategories</formula1>
    </dataValidation>
    <dataValidation allowBlank="1" showInputMessage="1" showErrorMessage="1" promptTitle="Warning!" prompt="If you enter data here, please check that you are not double counting emissions that are already covered by operational emissions reported elsewhere" sqref="G11:G12 G32 G59:G63 G71:G74" xr:uid="{12C7B941-FF11-4393-B3AC-B249DFB8F699}"/>
    <dataValidation type="list" allowBlank="1" showInputMessage="1" showErrorMessage="1" sqref="N8:N117 N124:N376" xr:uid="{BD8058B9-C91A-4858-BB1F-11257C778D94}">
      <formula1>Ease</formula1>
    </dataValidation>
    <dataValidation allowBlank="1" showInputMessage="1" showErrorMessage="1" promptTitle="Info" prompt="This is the combined sum of tier 1 and 2, taking in to account that the spend in this table includes the spend in the tier 2 table below" sqref="Q7" xr:uid="{CD20A4E9-28B2-4E82-8430-A5A4BA558E61}"/>
    <dataValidation allowBlank="1" showInputMessage="1" showErrorMessage="1" promptTitle="Info" prompt="This is only the tier 1 total, add tier 2 spend and emissions in the table below" sqref="L7" xr:uid="{5A3F7D0A-3F42-4835-8487-E608BD45D36E}"/>
  </dataValidations>
  <pageMargins left="0.7" right="0.7" top="0.75" bottom="0.75" header="0.3" footer="0.3"/>
  <pageSetup paperSize="9" orientation="portrait" r:id="rId1"/>
  <ignoredErrors>
    <ignoredError sqref="F9:F117" listDataValidation="1"/>
  </ignoredErrors>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rgb="FF27CCF9"/>
  </sheetPr>
  <dimension ref="A1:Y107"/>
  <sheetViews>
    <sheetView workbookViewId="0">
      <selection activeCell="B1" sqref="B1"/>
    </sheetView>
  </sheetViews>
  <sheetFormatPr defaultColWidth="8.54296875" defaultRowHeight="14.5" x14ac:dyDescent="0.35"/>
  <cols>
    <col min="1" max="1" width="3.81640625" style="1" customWidth="1"/>
    <col min="2" max="2" width="33.81640625" style="1" customWidth="1"/>
    <col min="3" max="3" width="30.1796875" style="1" customWidth="1"/>
    <col min="4" max="4" width="6.453125" style="1" customWidth="1"/>
    <col min="5" max="5" width="14.1796875" style="1" customWidth="1"/>
    <col min="6" max="6" width="11.54296875" style="1" customWidth="1"/>
    <col min="7" max="7" width="15.453125" style="1" customWidth="1"/>
    <col min="8" max="8" width="15.54296875" style="1" customWidth="1"/>
    <col min="9" max="9" width="15" style="1" customWidth="1"/>
    <col min="10" max="10" width="22" style="1" customWidth="1"/>
    <col min="11" max="11" width="16" style="1" customWidth="1"/>
    <col min="12" max="12" width="11.81640625" style="1" customWidth="1"/>
    <col min="13" max="13" width="17.54296875" style="1" customWidth="1"/>
    <col min="14" max="14" width="12.81640625" style="1" customWidth="1"/>
    <col min="15" max="15" width="13.1796875" style="1" customWidth="1"/>
    <col min="16" max="20" width="12.81640625" style="1" customWidth="1"/>
    <col min="21" max="21" width="12.81640625" style="32" customWidth="1"/>
    <col min="22" max="22" width="8.54296875" style="335"/>
    <col min="23" max="23" width="8.54296875" style="66"/>
    <col min="24" max="25" width="8.54296875" style="1" hidden="1" customWidth="1"/>
    <col min="26" max="16384" width="8.54296875" style="1"/>
  </cols>
  <sheetData>
    <row r="1" spans="1:25" ht="15" thickBot="1" x14ac:dyDescent="0.4">
      <c r="M1" s="161" t="s">
        <v>108</v>
      </c>
      <c r="N1" s="547" t="s">
        <v>8</v>
      </c>
      <c r="O1" s="548"/>
      <c r="P1" s="549"/>
      <c r="Q1" s="508" t="s">
        <v>12</v>
      </c>
      <c r="R1" s="509"/>
      <c r="V1" s="334"/>
    </row>
    <row r="2" spans="1:25" ht="19" thickBot="1" x14ac:dyDescent="0.5">
      <c r="B2" s="550" t="s">
        <v>166</v>
      </c>
      <c r="C2" s="551"/>
      <c r="D2" s="551"/>
      <c r="E2" s="551"/>
      <c r="F2" s="552"/>
      <c r="G2" s="550"/>
      <c r="H2" s="551"/>
      <c r="I2" s="551"/>
      <c r="J2" s="551"/>
      <c r="K2" s="552"/>
      <c r="L2" s="386"/>
      <c r="M2" s="162"/>
      <c r="N2" s="544" t="s">
        <v>10</v>
      </c>
      <c r="O2" s="545"/>
      <c r="P2" s="546"/>
      <c r="Q2" s="510" t="s">
        <v>13</v>
      </c>
      <c r="R2" s="511"/>
    </row>
    <row r="3" spans="1:25" ht="140.4" customHeight="1" thickBot="1" x14ac:dyDescent="0.4">
      <c r="A3" s="32"/>
      <c r="B3" s="502" t="s">
        <v>1070</v>
      </c>
      <c r="C3" s="516"/>
      <c r="D3" s="516"/>
      <c r="E3" s="516"/>
      <c r="F3" s="516"/>
      <c r="G3" s="516"/>
      <c r="H3" s="516"/>
      <c r="I3" s="516"/>
      <c r="J3" s="516"/>
      <c r="K3" s="516"/>
      <c r="L3" s="516"/>
      <c r="M3" s="162"/>
    </row>
    <row r="4" spans="1:25" ht="120" customHeight="1" x14ac:dyDescent="0.35">
      <c r="A4" s="32"/>
      <c r="B4" s="543" t="s">
        <v>1065</v>
      </c>
      <c r="C4" s="516"/>
      <c r="D4" s="516"/>
      <c r="E4" s="516"/>
      <c r="F4" s="516"/>
      <c r="G4" s="516"/>
      <c r="H4" s="516"/>
      <c r="I4" s="516"/>
      <c r="J4" s="516"/>
      <c r="K4" s="516"/>
      <c r="L4" s="516"/>
      <c r="M4" s="162"/>
      <c r="N4" s="33"/>
    </row>
    <row r="5" spans="1:25" x14ac:dyDescent="0.35">
      <c r="B5" s="33"/>
      <c r="C5" s="33"/>
      <c r="D5" s="33"/>
      <c r="E5" s="33"/>
      <c r="F5" s="33"/>
      <c r="G5" s="33"/>
      <c r="H5" s="33"/>
      <c r="I5" s="33"/>
      <c r="J5" s="33"/>
      <c r="K5" s="33"/>
      <c r="L5" s="33"/>
    </row>
    <row r="6" spans="1:25" ht="19" thickBot="1" x14ac:dyDescent="0.4">
      <c r="B6" s="37" t="s">
        <v>74</v>
      </c>
      <c r="H6" s="441" t="str">
        <f>IF($Y$7=0,"No data entered",IF($X$7=0,"No errors in this table","There are errors in this table see highlighted row(s)"))</f>
        <v>No data entered</v>
      </c>
      <c r="N6" s="51" t="s">
        <v>111</v>
      </c>
      <c r="S6" s="56"/>
      <c r="U6" s="275"/>
      <c r="X6" s="15" t="s">
        <v>1188</v>
      </c>
      <c r="Y6" s="15" t="s">
        <v>1189</v>
      </c>
    </row>
    <row r="7" spans="1:25" ht="33" customHeight="1" thickBot="1" x14ac:dyDescent="0.4">
      <c r="B7" s="52" t="s">
        <v>167</v>
      </c>
      <c r="C7" s="34" t="s">
        <v>168</v>
      </c>
      <c r="D7" s="34" t="s">
        <v>1099</v>
      </c>
      <c r="E7" s="34" t="s">
        <v>159</v>
      </c>
      <c r="F7" s="34" t="s">
        <v>116</v>
      </c>
      <c r="G7" s="34" t="s">
        <v>117</v>
      </c>
      <c r="H7" s="34" t="s">
        <v>118</v>
      </c>
      <c r="I7" s="34" t="s">
        <v>119</v>
      </c>
      <c r="J7" s="34" t="s">
        <v>120</v>
      </c>
      <c r="K7" s="34" t="s">
        <v>121</v>
      </c>
      <c r="L7" s="34" t="s">
        <v>88</v>
      </c>
      <c r="M7" s="34" t="s">
        <v>122</v>
      </c>
      <c r="N7" s="34" t="s">
        <v>123</v>
      </c>
      <c r="O7" s="12" t="s">
        <v>59</v>
      </c>
      <c r="P7" s="12" t="s">
        <v>124</v>
      </c>
      <c r="Q7" s="12" t="s">
        <v>125</v>
      </c>
      <c r="R7" s="12" t="s">
        <v>126</v>
      </c>
      <c r="S7" s="12" t="s">
        <v>127</v>
      </c>
      <c r="T7" s="12" t="s">
        <v>67</v>
      </c>
      <c r="U7" s="342" t="s">
        <v>68</v>
      </c>
      <c r="V7" s="356" t="s">
        <v>63</v>
      </c>
      <c r="W7" s="335"/>
      <c r="X7" s="15">
        <f>SUM(X8:X48)</f>
        <v>0</v>
      </c>
      <c r="Y7" s="15">
        <f>SUM(Y8:Y48)</f>
        <v>0</v>
      </c>
    </row>
    <row r="8" spans="1:25" ht="15" thickBot="1" x14ac:dyDescent="0.4">
      <c r="B8" s="198"/>
      <c r="C8" s="198"/>
      <c r="D8" s="6"/>
      <c r="E8" s="199"/>
      <c r="F8" s="179" t="str">
        <f>IF(E8="","",INDEX(Methodologytier,MATCH(B$50,Lists!$AZ$4:$AZ$32,0),MATCH(E8,Lists!$BA$3:$BC$3,0)))</f>
        <v/>
      </c>
      <c r="G8" s="148"/>
      <c r="H8" s="199"/>
      <c r="I8" s="38" t="str" cm="1">
        <f t="array" ref="I8">IF(OR($B8="",$C8="",H8=""),"",IF(H8=J8,G8,(INDEX('Emission factors'!$K$3:$V$381,MATCH($B8&amp;$C8,'Emission factors'!$K$3:$K$381&amp;'Emission factors'!$L$3:$L$381,0),MATCH($I$7,'Emission factors'!$K$2:$V$2,0)))*G8))</f>
        <v/>
      </c>
      <c r="J8" s="35" t="str" cm="1">
        <f t="array" ref="J8">IF(OR($B8="",$G8="",OrganisationalWasteTable[[#This Row],[Units]]=""),"",INDEX('Emission factors'!$K$3:$V$381,MATCH($B8&amp;$C8,'Emission factors'!$K$3:$K$381&amp;'Emission factors'!$L$3:$L$381,0),MATCH($J$7,'Emission factors'!$K$2:$V$2,0)))</f>
        <v/>
      </c>
      <c r="K8" s="379" t="str" cm="1">
        <f t="array" ref="K8">IF(OR(B8="",C8="",OrganisationalWasteTable[[#This Row],[Data]]=""),"",INDEX('Emission factors'!$K$3:$V$381,MATCH($B8&amp;$C8,'Emission factors'!$K$3:$K$381&amp;'Emission factors'!$L$3:$L$381,0),MATCH($K$7,'Emission factors'!$K$2:$V$2,0)))</f>
        <v/>
      </c>
      <c r="L8" s="38" t="str">
        <f>IF(OR(OrganisationalWasteTable[[#This Row],[Waste type]]="",OrganisationalWasteTable[[#This Row],[Converted data]]=""),"",SUM(OrganisationalWasteTable[[#This Row],[Direct]:[Indirect WTT]]))</f>
        <v/>
      </c>
      <c r="M8" s="201"/>
      <c r="N8" s="199"/>
      <c r="O8" s="298" t="str" cm="1">
        <f t="array" ref="O8">IF(OR($B8="",$G8="",$I8=""),"",(INDEX('Emission factors'!$K$3:$V$381,MATCH($B8&amp;$C8,'Emission factors'!$K$3:$K$381&amp;'Emission factors'!$L$3:$L$381,0),MATCH(O$7,'Emission factors'!$K$2:$V$2,0)))*$I8)</f>
        <v/>
      </c>
      <c r="P8" s="298" t="str" cm="1">
        <f t="array" ref="P8">IF(OR($B8="",$G8="",$I8=""),"",(INDEX('Emission factors'!$K$3:$V$381,MATCH($B8&amp;$C8,'Emission factors'!$K$3:$K$381&amp;'Emission factors'!$L$3:$L$381,0),MATCH(P$7,'Emission factors'!$K$2:$V$2,0)))*$I8)</f>
        <v/>
      </c>
      <c r="Q8" s="298" t="str" cm="1">
        <f t="array" ref="Q8">IF(OR($B8="",$G8="",$I8=""),"",(INDEX('Emission factors'!$K$3:$V$381,MATCH($B8&amp;$C8,'Emission factors'!$K$3:$K$381&amp;'Emission factors'!$L$3:$L$381,0),MATCH(Q$7,'Emission factors'!$K$2:$V$2,0)))*$I8)</f>
        <v/>
      </c>
      <c r="R8" s="298" t="str" cm="1">
        <f t="array" ref="R8">IF(OR($B8="",$G8="",$I8=""),"",(INDEX('Emission factors'!$K$3:$V$381,MATCH($B8&amp;$C8,'Emission factors'!$K$3:$K$381&amp;'Emission factors'!$L$3:$L$381,0),MATCH(R$7,'Emission factors'!$K$2:$V$2,0)))*$I8)</f>
        <v/>
      </c>
      <c r="S8" s="298" t="str" cm="1">
        <f t="array" ref="S8">IF(OR($B8="",$G8="",$I8=""),"",(INDEX('Emission factors'!$K$3:$V$381,MATCH($B8&amp;$C8,'Emission factors'!$K$3:$K$381&amp;'Emission factors'!$L$3:$L$381,0),MATCH(S$7,'Emission factors'!$K$2:$V$2,0)))*$I8)</f>
        <v/>
      </c>
      <c r="T8" s="299" t="str">
        <f t="shared" ref="T8:T48" si="0">IF(OR(F8="", L8=""), "", L8*(1+F8))</f>
        <v/>
      </c>
      <c r="U8" s="343" t="str">
        <f>IF(OR(OrganisationalWasteTable[[#This Row],[RSD]]="", OrganisationalWasteTable[[#This Row],[Total emissions]]=""), "", OrganisationalWasteTable[[#This Row],[Total emissions]]*(1-OrganisationalWasteTable[[#This Row],[RSD]]))</f>
        <v/>
      </c>
      <c r="V8" s="357" t="str" cm="1">
        <f t="array" ref="V8">IF(OR($B8="",$G8="",$I8=""),"",(INDEX('Emission factors'!$K$3:$V$381,MATCH($B8&amp;$C8,'Emission factors'!$K$3:$K$381&amp;'Emission factors'!$L$3:$L$381,0),MATCH(V$7,'Emission factors'!$K$2:$V$2,0)))*$I8)</f>
        <v/>
      </c>
      <c r="W8" s="335"/>
      <c r="X8" s="1" cm="1">
        <f t="array" ref="X8">IF(OR(ISERROR(B8:V8)),1,0)</f>
        <v>0</v>
      </c>
      <c r="Y8" s="1">
        <f>IF(AND(C8="",G8="",H8=""),0,1)</f>
        <v>0</v>
      </c>
    </row>
    <row r="9" spans="1:25" ht="15" thickBot="1" x14ac:dyDescent="0.4">
      <c r="B9" s="198"/>
      <c r="C9" s="199"/>
      <c r="D9" s="6"/>
      <c r="E9" s="199"/>
      <c r="F9" s="179" t="str">
        <f>IF(E9="","",INDEX(Methodologytier,MATCH(B$50,Lists!$AZ$4:$AZ$32,0),MATCH(E9,Lists!$BA$3:$BC$3,0)))</f>
        <v/>
      </c>
      <c r="G9" s="148"/>
      <c r="H9" s="199"/>
      <c r="I9" s="38" t="str" cm="1">
        <f t="array" ref="I9">IF(OR($B9="",$C9="",H9=""),"",IF(H9=J9,G9,(INDEX('Emission factors'!$K$3:$V$381,MATCH($B9&amp;$C9,'Emission factors'!$K$3:$K$381&amp;'Emission factors'!$L$3:$L$381,0),MATCH($I$7,'Emission factors'!$K$2:$V$2,0)))*G9))</f>
        <v/>
      </c>
      <c r="J9" s="35" t="str" cm="1">
        <f t="array" ref="J9">IF(OR($B9="",$G9="",OrganisationalWasteTable[[#This Row],[Units]]=""),"",INDEX('Emission factors'!$K$3:$V$381,MATCH($B9&amp;$C9,'Emission factors'!$K$3:$K$381&amp;'Emission factors'!$L$3:$L$381,0),MATCH($J$7,'Emission factors'!$K$2:$V$2,0)))</f>
        <v/>
      </c>
      <c r="K9" s="379" t="str" cm="1">
        <f t="array" ref="K9">IF(OR(B9="",C9="",OrganisationalWasteTable[[#This Row],[Data]]=""),"",INDEX('Emission factors'!$K$3:$V$381,MATCH($B9&amp;$C9,'Emission factors'!$K$3:$K$381&amp;'Emission factors'!$L$3:$L$381,0),MATCH($K$7,'Emission factors'!$K$2:$V$2,0)))</f>
        <v/>
      </c>
      <c r="L9" s="38" t="str">
        <f>IF(OR(OrganisationalWasteTable[[#This Row],[Waste type]]="",OrganisationalWasteTable[[#This Row],[Converted data]]=""),"",SUM(OrganisationalWasteTable[[#This Row],[Direct]:[Indirect WTT]]))</f>
        <v/>
      </c>
      <c r="M9" s="201"/>
      <c r="N9" s="199"/>
      <c r="O9" s="298" t="str" cm="1">
        <f t="array" ref="O9">IF(OR($B9="",$G9="",$I9=""),"",(INDEX('Emission factors'!$K$3:$V$381,MATCH($B9&amp;$C9,'Emission factors'!$K$3:$K$381&amp;'Emission factors'!$L$3:$L$381,0),MATCH(O$7,'Emission factors'!$K$2:$V$2,0)))*$I9)</f>
        <v/>
      </c>
      <c r="P9" s="298" t="str" cm="1">
        <f t="array" ref="P9">IF(OR($B9="",$G9="",$I9=""),"",(INDEX('Emission factors'!$K$3:$V$381,MATCH($B9&amp;$C9,'Emission factors'!$K$3:$K$381&amp;'Emission factors'!$L$3:$L$381,0),MATCH(P$7,'Emission factors'!$K$2:$V$2,0)))*$I9)</f>
        <v/>
      </c>
      <c r="Q9" s="298" t="str" cm="1">
        <f t="array" ref="Q9">IF(OR($B9="",$G9="",$I9=""),"",(INDEX('Emission factors'!$K$3:$V$381,MATCH($B9&amp;$C9,'Emission factors'!$K$3:$K$381&amp;'Emission factors'!$L$3:$L$381,0),MATCH(Q$7,'Emission factors'!$K$2:$V$2,0)))*$I9)</f>
        <v/>
      </c>
      <c r="R9" s="298" t="str" cm="1">
        <f t="array" ref="R9">IF(OR($B9="",$G9="",$I9=""),"",(INDEX('Emission factors'!$K$3:$V$381,MATCH($B9&amp;$C9,'Emission factors'!$K$3:$K$381&amp;'Emission factors'!$L$3:$L$381,0),MATCH(R$7,'Emission factors'!$K$2:$V$2,0)))*$I9)</f>
        <v/>
      </c>
      <c r="S9" s="298" t="str" cm="1">
        <f t="array" ref="S9">IF(OR($B9="",$G9="",$I9=""),"",(INDEX('Emission factors'!$K$3:$V$381,MATCH($B9&amp;$C9,'Emission factors'!$K$3:$K$381&amp;'Emission factors'!$L$3:$L$381,0),MATCH(S$7,'Emission factors'!$K$2:$V$2,0)))*$I9)</f>
        <v/>
      </c>
      <c r="T9" s="299" t="str">
        <f t="shared" si="0"/>
        <v/>
      </c>
      <c r="U9" s="344" t="str">
        <f>IF(OR(OrganisationalWasteTable[[#This Row],[RSD]]="", OrganisationalWasteTable[[#This Row],[Total emissions]]=""), "", OrganisationalWasteTable[[#This Row],[Total emissions]]*(1-OrganisationalWasteTable[[#This Row],[RSD]]))</f>
        <v/>
      </c>
      <c r="V9" s="357" t="str" cm="1">
        <f t="array" ref="V9">IF(OR($B9="",$G9="",$I9=""),"",(INDEX('Emission factors'!$K$3:$V$381,MATCH($B9&amp;$C9,'Emission factors'!$K$3:$K$381&amp;'Emission factors'!$L$3:$L$381,0),MATCH(V$7,'Emission factors'!$K$2:$V$2,0)))*$I9)</f>
        <v/>
      </c>
      <c r="W9" s="335"/>
      <c r="X9" s="1" cm="1">
        <f t="array" ref="X9">IF(OR(ISERROR(B9:V9)),1,0)</f>
        <v>0</v>
      </c>
      <c r="Y9" s="1">
        <f t="shared" ref="Y9:Y48" si="1">IF(AND(C9="",G9="",H9=""),0,1)</f>
        <v>0</v>
      </c>
    </row>
    <row r="10" spans="1:25" ht="15" thickBot="1" x14ac:dyDescent="0.4">
      <c r="B10" s="198"/>
      <c r="C10" s="199"/>
      <c r="D10" s="6"/>
      <c r="E10" s="199"/>
      <c r="F10" s="179" t="str">
        <f>IF(E10="","",INDEX(Methodologytier,MATCH(B$50,Lists!$AZ$4:$AZ$32,0),MATCH(E10,Lists!$BA$3:$BC$3,0)))</f>
        <v/>
      </c>
      <c r="G10" s="148"/>
      <c r="H10" s="199"/>
      <c r="I10" s="38" t="str" cm="1">
        <f t="array" ref="I10">IF(OR($B10="",$C10="",H10=""),"",IF(H10=J10,G10,(INDEX('Emission factors'!$K$3:$V$381,MATCH($B10&amp;$C10,'Emission factors'!$K$3:$K$381&amp;'Emission factors'!$L$3:$L$381,0),MATCH($I$7,'Emission factors'!$K$2:$V$2,0)))*G10))</f>
        <v/>
      </c>
      <c r="J10" s="35" t="str" cm="1">
        <f t="array" ref="J10">IF(OR($B10="",$G10="",OrganisationalWasteTable[[#This Row],[Units]]=""),"",INDEX('Emission factors'!$K$3:$V$381,MATCH($B10&amp;$C10,'Emission factors'!$K$3:$K$381&amp;'Emission factors'!$L$3:$L$381,0),MATCH($J$7,'Emission factors'!$K$2:$V$2,0)))</f>
        <v/>
      </c>
      <c r="K10" s="379" t="str" cm="1">
        <f t="array" ref="K10">IF(OR(B10="",C10="",OrganisationalWasteTable[[#This Row],[Data]]=""),"",INDEX('Emission factors'!$K$3:$V$381,MATCH($B10&amp;$C10,'Emission factors'!$K$3:$K$381&amp;'Emission factors'!$L$3:$L$381,0),MATCH($K$7,'Emission factors'!$K$2:$V$2,0)))</f>
        <v/>
      </c>
      <c r="L10" s="38" t="str">
        <f>IF(OR(OrganisationalWasteTable[[#This Row],[Waste type]]="",OrganisationalWasteTable[[#This Row],[Converted data]]=""),"",SUM(OrganisationalWasteTable[[#This Row],[Direct]:[Indirect WTT]]))</f>
        <v/>
      </c>
      <c r="M10" s="201"/>
      <c r="N10" s="199"/>
      <c r="O10" s="298" t="str" cm="1">
        <f t="array" ref="O10">IF(OR($B10="",$G10="",$I10=""),"",(INDEX('Emission factors'!$K$3:$V$381,MATCH($B10&amp;$C10,'Emission factors'!$K$3:$K$381&amp;'Emission factors'!$L$3:$L$381,0),MATCH(O$7,'Emission factors'!$K$2:$V$2,0)))*$I10)</f>
        <v/>
      </c>
      <c r="P10" s="298" t="str" cm="1">
        <f t="array" ref="P10">IF(OR($B10="",$G10="",$I10=""),"",(INDEX('Emission factors'!$K$3:$V$381,MATCH($B10&amp;$C10,'Emission factors'!$K$3:$K$381&amp;'Emission factors'!$L$3:$L$381,0),MATCH(P$7,'Emission factors'!$K$2:$V$2,0)))*$I10)</f>
        <v/>
      </c>
      <c r="Q10" s="298" t="str" cm="1">
        <f t="array" ref="Q10">IF(OR($B10="",$G10="",$I10=""),"",(INDEX('Emission factors'!$K$3:$V$381,MATCH($B10&amp;$C10,'Emission factors'!$K$3:$K$381&amp;'Emission factors'!$L$3:$L$381,0),MATCH(Q$7,'Emission factors'!$K$2:$V$2,0)))*$I10)</f>
        <v/>
      </c>
      <c r="R10" s="298" t="str" cm="1">
        <f t="array" ref="R10">IF(OR($B10="",$G10="",$I10=""),"",(INDEX('Emission factors'!$K$3:$V$381,MATCH($B10&amp;$C10,'Emission factors'!$K$3:$K$381&amp;'Emission factors'!$L$3:$L$381,0),MATCH(R$7,'Emission factors'!$K$2:$V$2,0)))*$I10)</f>
        <v/>
      </c>
      <c r="S10" s="298" t="str" cm="1">
        <f t="array" ref="S10">IF(OR($B10="",$G10="",$I10=""),"",(INDEX('Emission factors'!$K$3:$V$381,MATCH($B10&amp;$C10,'Emission factors'!$K$3:$K$381&amp;'Emission factors'!$L$3:$L$381,0),MATCH(S$7,'Emission factors'!$K$2:$V$2,0)))*$I10)</f>
        <v/>
      </c>
      <c r="T10" s="299" t="str">
        <f t="shared" si="0"/>
        <v/>
      </c>
      <c r="U10" s="344" t="str">
        <f>IF(OR(OrganisationalWasteTable[[#This Row],[RSD]]="", OrganisationalWasteTable[[#This Row],[Total emissions]]=""), "", OrganisationalWasteTable[[#This Row],[Total emissions]]*(1-OrganisationalWasteTable[[#This Row],[RSD]]))</f>
        <v/>
      </c>
      <c r="V10" s="357" t="str" cm="1">
        <f t="array" ref="V10">IF(OR($B10="",$G10="",$I10=""),"",(INDEX('Emission factors'!$K$3:$V$381,MATCH($B10&amp;$C10,'Emission factors'!$K$3:$K$381&amp;'Emission factors'!$L$3:$L$381,0),MATCH(V$7,'Emission factors'!$K$2:$V$2,0)))*$I10)</f>
        <v/>
      </c>
      <c r="W10" s="335"/>
      <c r="X10" s="1" cm="1">
        <f t="array" ref="X10">IF(OR(ISERROR(B10:V10)),1,0)</f>
        <v>0</v>
      </c>
      <c r="Y10" s="1">
        <f t="shared" si="1"/>
        <v>0</v>
      </c>
    </row>
    <row r="11" spans="1:25" ht="15" thickBot="1" x14ac:dyDescent="0.4">
      <c r="B11" s="198"/>
      <c r="C11" s="199"/>
      <c r="D11" s="6"/>
      <c r="E11" s="199"/>
      <c r="F11" s="179" t="str">
        <f>IF(E11="","",INDEX(Methodologytier,MATCH(B$50,Lists!$AZ$4:$AZ$32,0),MATCH(E11,Lists!$BA$3:$BC$3,0)))</f>
        <v/>
      </c>
      <c r="G11" s="148"/>
      <c r="H11" s="199"/>
      <c r="I11" s="38" t="str" cm="1">
        <f t="array" ref="I11">IF(OR($B11="",$C11="",H11=""),"",IF(H11=J11,G11,(INDEX('Emission factors'!$K$3:$V$381,MATCH($B11&amp;$C11,'Emission factors'!$K$3:$K$381&amp;'Emission factors'!$L$3:$L$381,0),MATCH($I$7,'Emission factors'!$K$2:$V$2,0)))*G11))</f>
        <v/>
      </c>
      <c r="J11" s="35" t="str" cm="1">
        <f t="array" ref="J11">IF(OR($B11="",$G11="",OrganisationalWasteTable[[#This Row],[Units]]=""),"",INDEX('Emission factors'!$K$3:$V$381,MATCH($B11&amp;$C11,'Emission factors'!$K$3:$K$381&amp;'Emission factors'!$L$3:$L$381,0),MATCH($J$7,'Emission factors'!$K$2:$V$2,0)))</f>
        <v/>
      </c>
      <c r="K11" s="379" t="str" cm="1">
        <f t="array" ref="K11">IF(OR(B11="",C11="",OrganisationalWasteTable[[#This Row],[Data]]=""),"",INDEX('Emission factors'!$K$3:$V$381,MATCH($B11&amp;$C11,'Emission factors'!$K$3:$K$381&amp;'Emission factors'!$L$3:$L$381,0),MATCH($K$7,'Emission factors'!$K$2:$V$2,0)))</f>
        <v/>
      </c>
      <c r="L11" s="38" t="str">
        <f>IF(OR(OrganisationalWasteTable[[#This Row],[Waste type]]="",OrganisationalWasteTable[[#This Row],[Converted data]]=""),"",SUM(OrganisationalWasteTable[[#This Row],[Direct]:[Indirect WTT]]))</f>
        <v/>
      </c>
      <c r="M11" s="201"/>
      <c r="N11" s="199"/>
      <c r="O11" s="298" t="str" cm="1">
        <f t="array" ref="O11">IF(OR($B11="",$G11="",$I11=""),"",(INDEX('Emission factors'!$K$3:$V$381,MATCH($B11&amp;$C11,'Emission factors'!$K$3:$K$381&amp;'Emission factors'!$L$3:$L$381,0),MATCH(O$7,'Emission factors'!$K$2:$V$2,0)))*$I11)</f>
        <v/>
      </c>
      <c r="P11" s="298" t="str" cm="1">
        <f t="array" ref="P11">IF(OR($B11="",$G11="",$I11=""),"",(INDEX('Emission factors'!$K$3:$V$381,MATCH($B11&amp;$C11,'Emission factors'!$K$3:$K$381&amp;'Emission factors'!$L$3:$L$381,0),MATCH(P$7,'Emission factors'!$K$2:$V$2,0)))*$I11)</f>
        <v/>
      </c>
      <c r="Q11" s="298" t="str" cm="1">
        <f t="array" ref="Q11">IF(OR($B11="",$G11="",$I11=""),"",(INDEX('Emission factors'!$K$3:$V$381,MATCH($B11&amp;$C11,'Emission factors'!$K$3:$K$381&amp;'Emission factors'!$L$3:$L$381,0),MATCH(Q$7,'Emission factors'!$K$2:$V$2,0)))*$I11)</f>
        <v/>
      </c>
      <c r="R11" s="298" t="str" cm="1">
        <f t="array" ref="R11">IF(OR($B11="",$G11="",$I11=""),"",(INDEX('Emission factors'!$K$3:$V$381,MATCH($B11&amp;$C11,'Emission factors'!$K$3:$K$381&amp;'Emission factors'!$L$3:$L$381,0),MATCH(R$7,'Emission factors'!$K$2:$V$2,0)))*$I11)</f>
        <v/>
      </c>
      <c r="S11" s="298" t="str" cm="1">
        <f t="array" ref="S11">IF(OR($B11="",$G11="",$I11=""),"",(INDEX('Emission factors'!$K$3:$V$381,MATCH($B11&amp;$C11,'Emission factors'!$K$3:$K$381&amp;'Emission factors'!$L$3:$L$381,0),MATCH(S$7,'Emission factors'!$K$2:$V$2,0)))*$I11)</f>
        <v/>
      </c>
      <c r="T11" s="299" t="str">
        <f t="shared" si="0"/>
        <v/>
      </c>
      <c r="U11" s="344" t="str">
        <f>IF(OR(OrganisationalWasteTable[[#This Row],[RSD]]="", OrganisationalWasteTable[[#This Row],[Total emissions]]=""), "", OrganisationalWasteTable[[#This Row],[Total emissions]]*(1-OrganisationalWasteTable[[#This Row],[RSD]]))</f>
        <v/>
      </c>
      <c r="V11" s="357" t="str" cm="1">
        <f t="array" ref="V11">IF(OR($B11="",$G11="",$I11=""),"",(INDEX('Emission factors'!$K$3:$V$381,MATCH($B11&amp;$C11,'Emission factors'!$K$3:$K$381&amp;'Emission factors'!$L$3:$L$381,0),MATCH(V$7,'Emission factors'!$K$2:$V$2,0)))*$I11)</f>
        <v/>
      </c>
      <c r="W11" s="335"/>
      <c r="X11" s="1" cm="1">
        <f t="array" ref="X11">IF(OR(ISERROR(B11:V11)),1,0)</f>
        <v>0</v>
      </c>
      <c r="Y11" s="1">
        <f t="shared" si="1"/>
        <v>0</v>
      </c>
    </row>
    <row r="12" spans="1:25" ht="15" thickBot="1" x14ac:dyDescent="0.4">
      <c r="B12" s="198"/>
      <c r="C12" s="199"/>
      <c r="D12" s="6"/>
      <c r="E12" s="199"/>
      <c r="F12" s="179" t="str">
        <f>IF(E12="","",INDEX(Methodologytier,MATCH(B$50,Lists!$AZ$4:$AZ$32,0),MATCH(E12,Lists!$BA$3:$BC$3,0)))</f>
        <v/>
      </c>
      <c r="G12" s="148"/>
      <c r="H12" s="199"/>
      <c r="I12" s="38" t="str" cm="1">
        <f t="array" ref="I12">IF(OR($B12="",$C12="",H12=""),"",IF(H12=J12,G12,(INDEX('Emission factors'!$K$3:$V$381,MATCH($B12&amp;$C12,'Emission factors'!$K$3:$K$381&amp;'Emission factors'!$L$3:$L$381,0),MATCH($I$7,'Emission factors'!$K$2:$V$2,0)))*G12))</f>
        <v/>
      </c>
      <c r="J12" s="35" t="str" cm="1">
        <f t="array" ref="J12">IF(OR($B12="",$G12="",OrganisationalWasteTable[[#This Row],[Units]]=""),"",INDEX('Emission factors'!$K$3:$V$381,MATCH($B12&amp;$C12,'Emission factors'!$K$3:$K$381&amp;'Emission factors'!$L$3:$L$381,0),MATCH($J$7,'Emission factors'!$K$2:$V$2,0)))</f>
        <v/>
      </c>
      <c r="K12" s="379" t="str" cm="1">
        <f t="array" ref="K12">IF(OR(B12="",C12="",OrganisationalWasteTable[[#This Row],[Data]]=""),"",INDEX('Emission factors'!$K$3:$V$381,MATCH($B12&amp;$C12,'Emission factors'!$K$3:$K$381&amp;'Emission factors'!$L$3:$L$381,0),MATCH($K$7,'Emission factors'!$K$2:$V$2,0)))</f>
        <v/>
      </c>
      <c r="L12" s="38" t="str">
        <f>IF(OR(OrganisationalWasteTable[[#This Row],[Waste type]]="",OrganisationalWasteTable[[#This Row],[Converted data]]=""),"",SUM(OrganisationalWasteTable[[#This Row],[Direct]:[Indirect WTT]]))</f>
        <v/>
      </c>
      <c r="M12" s="201"/>
      <c r="N12" s="199"/>
      <c r="O12" s="298" t="str" cm="1">
        <f t="array" ref="O12">IF(OR($B12="",$G12="",$I12=""),"",(INDEX('Emission factors'!$K$3:$V$381,MATCH($B12&amp;$C12,'Emission factors'!$K$3:$K$381&amp;'Emission factors'!$L$3:$L$381,0),MATCH(O$7,'Emission factors'!$K$2:$V$2,0)))*$I12)</f>
        <v/>
      </c>
      <c r="P12" s="298" t="str" cm="1">
        <f t="array" ref="P12">IF(OR($B12="",$G12="",$I12=""),"",(INDEX('Emission factors'!$K$3:$V$381,MATCH($B12&amp;$C12,'Emission factors'!$K$3:$K$381&amp;'Emission factors'!$L$3:$L$381,0),MATCH(P$7,'Emission factors'!$K$2:$V$2,0)))*$I12)</f>
        <v/>
      </c>
      <c r="Q12" s="298" t="str" cm="1">
        <f t="array" ref="Q12">IF(OR($B12="",$G12="",$I12=""),"",(INDEX('Emission factors'!$K$3:$V$381,MATCH($B12&amp;$C12,'Emission factors'!$K$3:$K$381&amp;'Emission factors'!$L$3:$L$381,0),MATCH(Q$7,'Emission factors'!$K$2:$V$2,0)))*$I12)</f>
        <v/>
      </c>
      <c r="R12" s="298" t="str" cm="1">
        <f t="array" ref="R12">IF(OR($B12="",$G12="",$I12=""),"",(INDEX('Emission factors'!$K$3:$V$381,MATCH($B12&amp;$C12,'Emission factors'!$K$3:$K$381&amp;'Emission factors'!$L$3:$L$381,0),MATCH(R$7,'Emission factors'!$K$2:$V$2,0)))*$I12)</f>
        <v/>
      </c>
      <c r="S12" s="298" t="str" cm="1">
        <f t="array" ref="S12">IF(OR($B12="",$G12="",$I12=""),"",(INDEX('Emission factors'!$K$3:$V$381,MATCH($B12&amp;$C12,'Emission factors'!$K$3:$K$381&amp;'Emission factors'!$L$3:$L$381,0),MATCH(S$7,'Emission factors'!$K$2:$V$2,0)))*$I12)</f>
        <v/>
      </c>
      <c r="T12" s="299" t="str">
        <f t="shared" si="0"/>
        <v/>
      </c>
      <c r="U12" s="344" t="str">
        <f>IF(OR(OrganisationalWasteTable[[#This Row],[RSD]]="", OrganisationalWasteTable[[#This Row],[Total emissions]]=""), "", OrganisationalWasteTable[[#This Row],[Total emissions]]*(1-OrganisationalWasteTable[[#This Row],[RSD]]))</f>
        <v/>
      </c>
      <c r="V12" s="357" t="str" cm="1">
        <f t="array" ref="V12">IF(OR($B12="",$G12="",$I12=""),"",(INDEX('Emission factors'!$K$3:$V$381,MATCH($B12&amp;$C12,'Emission factors'!$K$3:$K$381&amp;'Emission factors'!$L$3:$L$381,0),MATCH(V$7,'Emission factors'!$K$2:$V$2,0)))*$I12)</f>
        <v/>
      </c>
      <c r="W12" s="335"/>
      <c r="X12" s="1" cm="1">
        <f t="array" ref="X12">IF(OR(ISERROR(B12:V12)),1,0)</f>
        <v>0</v>
      </c>
      <c r="Y12" s="1">
        <f t="shared" si="1"/>
        <v>0</v>
      </c>
    </row>
    <row r="13" spans="1:25" ht="15" thickBot="1" x14ac:dyDescent="0.4">
      <c r="B13" s="198"/>
      <c r="C13" s="199"/>
      <c r="D13" s="6"/>
      <c r="E13" s="199"/>
      <c r="F13" s="179" t="str">
        <f>IF(E13="","",INDEX(Methodologytier,MATCH(B$50,Lists!$AZ$4:$AZ$32,0),MATCH(E13,Lists!$BA$3:$BC$3,0)))</f>
        <v/>
      </c>
      <c r="G13" s="148"/>
      <c r="H13" s="199"/>
      <c r="I13" s="38" t="str" cm="1">
        <f t="array" ref="I13">IF(OR($B13="",$C13="",H13=""),"",IF(H13=J13,G13,(INDEX('Emission factors'!$K$3:$V$381,MATCH($B13&amp;$C13,'Emission factors'!$K$3:$K$381&amp;'Emission factors'!$L$3:$L$381,0),MATCH($I$7,'Emission factors'!$K$2:$V$2,0)))*G13))</f>
        <v/>
      </c>
      <c r="J13" s="35" t="str" cm="1">
        <f t="array" ref="J13">IF(OR($B13="",$G13="",OrganisationalWasteTable[[#This Row],[Units]]=""),"",INDEX('Emission factors'!$K$3:$V$381,MATCH($B13&amp;$C13,'Emission factors'!$K$3:$K$381&amp;'Emission factors'!$L$3:$L$381,0),MATCH($J$7,'Emission factors'!$K$2:$V$2,0)))</f>
        <v/>
      </c>
      <c r="K13" s="379" t="str" cm="1">
        <f t="array" ref="K13">IF(OR(B13="",C13="",OrganisationalWasteTable[[#This Row],[Data]]=""),"",INDEX('Emission factors'!$K$3:$V$381,MATCH($B13&amp;$C13,'Emission factors'!$K$3:$K$381&amp;'Emission factors'!$L$3:$L$381,0),MATCH($K$7,'Emission factors'!$K$2:$V$2,0)))</f>
        <v/>
      </c>
      <c r="L13" s="38" t="str">
        <f>IF(OR(OrganisationalWasteTable[[#This Row],[Waste type]]="",OrganisationalWasteTable[[#This Row],[Converted data]]=""),"",SUM(OrganisationalWasteTable[[#This Row],[Direct]:[Indirect WTT]]))</f>
        <v/>
      </c>
      <c r="M13" s="201"/>
      <c r="N13" s="199"/>
      <c r="O13" s="298" t="str" cm="1">
        <f t="array" ref="O13">IF(OR($B13="",$G13="",$I13=""),"",(INDEX('Emission factors'!$K$3:$V$381,MATCH($B13&amp;$C13,'Emission factors'!$K$3:$K$381&amp;'Emission factors'!$L$3:$L$381,0),MATCH(O$7,'Emission factors'!$K$2:$V$2,0)))*$I13)</f>
        <v/>
      </c>
      <c r="P13" s="298" t="str" cm="1">
        <f t="array" ref="P13">IF(OR($B13="",$G13="",$I13=""),"",(INDEX('Emission factors'!$K$3:$V$381,MATCH($B13&amp;$C13,'Emission factors'!$K$3:$K$381&amp;'Emission factors'!$L$3:$L$381,0),MATCH(P$7,'Emission factors'!$K$2:$V$2,0)))*$I13)</f>
        <v/>
      </c>
      <c r="Q13" s="298" t="str" cm="1">
        <f t="array" ref="Q13">IF(OR($B13="",$G13="",$I13=""),"",(INDEX('Emission factors'!$K$3:$V$381,MATCH($B13&amp;$C13,'Emission factors'!$K$3:$K$381&amp;'Emission factors'!$L$3:$L$381,0),MATCH(Q$7,'Emission factors'!$K$2:$V$2,0)))*$I13)</f>
        <v/>
      </c>
      <c r="R13" s="298" t="str" cm="1">
        <f t="array" ref="R13">IF(OR($B13="",$G13="",$I13=""),"",(INDEX('Emission factors'!$K$3:$V$381,MATCH($B13&amp;$C13,'Emission factors'!$K$3:$K$381&amp;'Emission factors'!$L$3:$L$381,0),MATCH(R$7,'Emission factors'!$K$2:$V$2,0)))*$I13)</f>
        <v/>
      </c>
      <c r="S13" s="298" t="str" cm="1">
        <f t="array" ref="S13">IF(OR($B13="",$G13="",$I13=""),"",(INDEX('Emission factors'!$K$3:$V$381,MATCH($B13&amp;$C13,'Emission factors'!$K$3:$K$381&amp;'Emission factors'!$L$3:$L$381,0),MATCH(S$7,'Emission factors'!$K$2:$V$2,0)))*$I13)</f>
        <v/>
      </c>
      <c r="T13" s="299" t="str">
        <f t="shared" si="0"/>
        <v/>
      </c>
      <c r="U13" s="344" t="str">
        <f>IF(OR(OrganisationalWasteTable[[#This Row],[RSD]]="", OrganisationalWasteTable[[#This Row],[Total emissions]]=""), "", OrganisationalWasteTable[[#This Row],[Total emissions]]*(1-OrganisationalWasteTable[[#This Row],[RSD]]))</f>
        <v/>
      </c>
      <c r="V13" s="357" t="str" cm="1">
        <f t="array" ref="V13">IF(OR($B13="",$G13="",$I13=""),"",(INDEX('Emission factors'!$K$3:$V$381,MATCH($B13&amp;$C13,'Emission factors'!$K$3:$K$381&amp;'Emission factors'!$L$3:$L$381,0),MATCH(V$7,'Emission factors'!$K$2:$V$2,0)))*$I13)</f>
        <v/>
      </c>
      <c r="W13" s="335"/>
      <c r="X13" s="1" cm="1">
        <f t="array" ref="X13">IF(OR(ISERROR(B13:V13)),1,0)</f>
        <v>0</v>
      </c>
      <c r="Y13" s="1">
        <f t="shared" si="1"/>
        <v>0</v>
      </c>
    </row>
    <row r="14" spans="1:25" ht="15" thickBot="1" x14ac:dyDescent="0.4">
      <c r="B14" s="198"/>
      <c r="C14" s="199"/>
      <c r="D14" s="6"/>
      <c r="E14" s="199"/>
      <c r="F14" s="179" t="str">
        <f>IF(E14="","",INDEX(Methodologytier,MATCH(B$50,Lists!$AZ$4:$AZ$32,0),MATCH(E14,Lists!$BA$3:$BC$3,0)))</f>
        <v/>
      </c>
      <c r="G14" s="148"/>
      <c r="H14" s="199"/>
      <c r="I14" s="38" t="str" cm="1">
        <f t="array" ref="I14">IF(OR($B14="",$C14="",H14=""),"",IF(H14=J14,G14,(INDEX('Emission factors'!$K$3:$V$381,MATCH($B14&amp;$C14,'Emission factors'!$K$3:$K$381&amp;'Emission factors'!$L$3:$L$381,0),MATCH($I$7,'Emission factors'!$K$2:$V$2,0)))*G14))</f>
        <v/>
      </c>
      <c r="J14" s="35" t="str" cm="1">
        <f t="array" ref="J14">IF(OR($B14="",$G14="",OrganisationalWasteTable[[#This Row],[Units]]=""),"",INDEX('Emission factors'!$K$3:$V$381,MATCH($B14&amp;$C14,'Emission factors'!$K$3:$K$381&amp;'Emission factors'!$L$3:$L$381,0),MATCH($J$7,'Emission factors'!$K$2:$V$2,0)))</f>
        <v/>
      </c>
      <c r="K14" s="379" t="str" cm="1">
        <f t="array" ref="K14">IF(OR(B14="",C14="",OrganisationalWasteTable[[#This Row],[Data]]=""),"",INDEX('Emission factors'!$K$3:$V$381,MATCH($B14&amp;$C14,'Emission factors'!$K$3:$K$381&amp;'Emission factors'!$L$3:$L$381,0),MATCH($K$7,'Emission factors'!$K$2:$V$2,0)))</f>
        <v/>
      </c>
      <c r="L14" s="38" t="str">
        <f>IF(OR(OrganisationalWasteTable[[#This Row],[Waste type]]="",OrganisationalWasteTable[[#This Row],[Converted data]]=""),"",SUM(OrganisationalWasteTable[[#This Row],[Direct]:[Indirect WTT]]))</f>
        <v/>
      </c>
      <c r="M14" s="201"/>
      <c r="N14" s="199"/>
      <c r="O14" s="298" t="str" cm="1">
        <f t="array" ref="O14">IF(OR($B14="",$G14="",$I14=""),"",(INDEX('Emission factors'!$K$3:$V$381,MATCH($B14&amp;$C14,'Emission factors'!$K$3:$K$381&amp;'Emission factors'!$L$3:$L$381,0),MATCH(O$7,'Emission factors'!$K$2:$V$2,0)))*$I14)</f>
        <v/>
      </c>
      <c r="P14" s="298" t="str" cm="1">
        <f t="array" ref="P14">IF(OR($B14="",$G14="",$I14=""),"",(INDEX('Emission factors'!$K$3:$V$381,MATCH($B14&amp;$C14,'Emission factors'!$K$3:$K$381&amp;'Emission factors'!$L$3:$L$381,0),MATCH(P$7,'Emission factors'!$K$2:$V$2,0)))*$I14)</f>
        <v/>
      </c>
      <c r="Q14" s="298" t="str" cm="1">
        <f t="array" ref="Q14">IF(OR($B14="",$G14="",$I14=""),"",(INDEX('Emission factors'!$K$3:$V$381,MATCH($B14&amp;$C14,'Emission factors'!$K$3:$K$381&amp;'Emission factors'!$L$3:$L$381,0),MATCH(Q$7,'Emission factors'!$K$2:$V$2,0)))*$I14)</f>
        <v/>
      </c>
      <c r="R14" s="298" t="str" cm="1">
        <f t="array" ref="R14">IF(OR($B14="",$G14="",$I14=""),"",(INDEX('Emission factors'!$K$3:$V$381,MATCH($B14&amp;$C14,'Emission factors'!$K$3:$K$381&amp;'Emission factors'!$L$3:$L$381,0),MATCH(R$7,'Emission factors'!$K$2:$V$2,0)))*$I14)</f>
        <v/>
      </c>
      <c r="S14" s="298" t="str" cm="1">
        <f t="array" ref="S14">IF(OR($B14="",$G14="",$I14=""),"",(INDEX('Emission factors'!$K$3:$V$381,MATCH($B14&amp;$C14,'Emission factors'!$K$3:$K$381&amp;'Emission factors'!$L$3:$L$381,0),MATCH(S$7,'Emission factors'!$K$2:$V$2,0)))*$I14)</f>
        <v/>
      </c>
      <c r="T14" s="299" t="str">
        <f t="shared" si="0"/>
        <v/>
      </c>
      <c r="U14" s="344" t="str">
        <f>IF(OR(OrganisationalWasteTable[[#This Row],[RSD]]="", OrganisationalWasteTable[[#This Row],[Total emissions]]=""), "", OrganisationalWasteTable[[#This Row],[Total emissions]]*(1-OrganisationalWasteTable[[#This Row],[RSD]]))</f>
        <v/>
      </c>
      <c r="V14" s="357" t="str" cm="1">
        <f t="array" ref="V14">IF(OR($B14="",$G14="",$I14=""),"",(INDEX('Emission factors'!$K$3:$V$381,MATCH($B14&amp;$C14,'Emission factors'!$K$3:$K$381&amp;'Emission factors'!$L$3:$L$381,0),MATCH(V$7,'Emission factors'!$K$2:$V$2,0)))*$I14)</f>
        <v/>
      </c>
      <c r="W14" s="335"/>
      <c r="X14" s="1" cm="1">
        <f t="array" ref="X14">IF(OR(ISERROR(B14:V14)),1,0)</f>
        <v>0</v>
      </c>
      <c r="Y14" s="1">
        <f t="shared" si="1"/>
        <v>0</v>
      </c>
    </row>
    <row r="15" spans="1:25" ht="15" thickBot="1" x14ac:dyDescent="0.4">
      <c r="B15" s="198"/>
      <c r="C15" s="199"/>
      <c r="D15" s="6"/>
      <c r="E15" s="199"/>
      <c r="F15" s="179" t="str">
        <f>IF(E15="","",INDEX(Methodologytier,MATCH(B$50,Lists!$AZ$4:$AZ$32,0),MATCH(E15,Lists!$BA$3:$BC$3,0)))</f>
        <v/>
      </c>
      <c r="G15" s="148"/>
      <c r="H15" s="199"/>
      <c r="I15" s="38" t="str" cm="1">
        <f t="array" ref="I15">IF(OR($B15="",$C15="",H15=""),"",IF(H15=J15,G15,(INDEX('Emission factors'!$K$3:$V$381,MATCH($B15&amp;$C15,'Emission factors'!$K$3:$K$381&amp;'Emission factors'!$L$3:$L$381,0),MATCH($I$7,'Emission factors'!$K$2:$V$2,0)))*G15))</f>
        <v/>
      </c>
      <c r="J15" s="35" t="str" cm="1">
        <f t="array" ref="J15">IF(OR($B15="",$G15="",OrganisationalWasteTable[[#This Row],[Units]]=""),"",INDEX('Emission factors'!$K$3:$V$381,MATCH($B15&amp;$C15,'Emission factors'!$K$3:$K$381&amp;'Emission factors'!$L$3:$L$381,0),MATCH($J$7,'Emission factors'!$K$2:$V$2,0)))</f>
        <v/>
      </c>
      <c r="K15" s="379" t="str" cm="1">
        <f t="array" ref="K15">IF(OR(B15="",C15="",OrganisationalWasteTable[[#This Row],[Data]]=""),"",INDEX('Emission factors'!$K$3:$V$381,MATCH($B15&amp;$C15,'Emission factors'!$K$3:$K$381&amp;'Emission factors'!$L$3:$L$381,0),MATCH($K$7,'Emission factors'!$K$2:$V$2,0)))</f>
        <v/>
      </c>
      <c r="L15" s="38" t="str">
        <f>IF(OR(OrganisationalWasteTable[[#This Row],[Waste type]]="",OrganisationalWasteTable[[#This Row],[Converted data]]=""),"",SUM(OrganisationalWasteTable[[#This Row],[Direct]:[Indirect WTT]]))</f>
        <v/>
      </c>
      <c r="M15" s="201"/>
      <c r="N15" s="199"/>
      <c r="O15" s="298" t="str" cm="1">
        <f t="array" ref="O15">IF(OR($B15="",$G15="",$I15=""),"",(INDEX('Emission factors'!$K$3:$V$381,MATCH($B15&amp;$C15,'Emission factors'!$K$3:$K$381&amp;'Emission factors'!$L$3:$L$381,0),MATCH(O$7,'Emission factors'!$K$2:$V$2,0)))*$I15)</f>
        <v/>
      </c>
      <c r="P15" s="298" t="str" cm="1">
        <f t="array" ref="P15">IF(OR($B15="",$G15="",$I15=""),"",(INDEX('Emission factors'!$K$3:$V$381,MATCH($B15&amp;$C15,'Emission factors'!$K$3:$K$381&amp;'Emission factors'!$L$3:$L$381,0),MATCH(P$7,'Emission factors'!$K$2:$V$2,0)))*$I15)</f>
        <v/>
      </c>
      <c r="Q15" s="298" t="str" cm="1">
        <f t="array" ref="Q15">IF(OR($B15="",$G15="",$I15=""),"",(INDEX('Emission factors'!$K$3:$V$381,MATCH($B15&amp;$C15,'Emission factors'!$K$3:$K$381&amp;'Emission factors'!$L$3:$L$381,0),MATCH(Q$7,'Emission factors'!$K$2:$V$2,0)))*$I15)</f>
        <v/>
      </c>
      <c r="R15" s="298" t="str" cm="1">
        <f t="array" ref="R15">IF(OR($B15="",$G15="",$I15=""),"",(INDEX('Emission factors'!$K$3:$V$381,MATCH($B15&amp;$C15,'Emission factors'!$K$3:$K$381&amp;'Emission factors'!$L$3:$L$381,0),MATCH(R$7,'Emission factors'!$K$2:$V$2,0)))*$I15)</f>
        <v/>
      </c>
      <c r="S15" s="298" t="str" cm="1">
        <f t="array" ref="S15">IF(OR($B15="",$G15="",$I15=""),"",(INDEX('Emission factors'!$K$3:$V$381,MATCH($B15&amp;$C15,'Emission factors'!$K$3:$K$381&amp;'Emission factors'!$L$3:$L$381,0),MATCH(S$7,'Emission factors'!$K$2:$V$2,0)))*$I15)</f>
        <v/>
      </c>
      <c r="T15" s="299" t="str">
        <f t="shared" si="0"/>
        <v/>
      </c>
      <c r="U15" s="344" t="str">
        <f>IF(OR(OrganisationalWasteTable[[#This Row],[RSD]]="", OrganisationalWasteTable[[#This Row],[Total emissions]]=""), "", OrganisationalWasteTable[[#This Row],[Total emissions]]*(1-OrganisationalWasteTable[[#This Row],[RSD]]))</f>
        <v/>
      </c>
      <c r="V15" s="357" t="str" cm="1">
        <f t="array" ref="V15">IF(OR($B15="",$G15="",$I15=""),"",(INDEX('Emission factors'!$K$3:$V$381,MATCH($B15&amp;$C15,'Emission factors'!$K$3:$K$381&amp;'Emission factors'!$L$3:$L$381,0),MATCH(V$7,'Emission factors'!$K$2:$V$2,0)))*$I15)</f>
        <v/>
      </c>
      <c r="W15" s="335"/>
      <c r="X15" s="1" cm="1">
        <f t="array" ref="X15">IF(OR(ISERROR(B15:V15)),1,0)</f>
        <v>0</v>
      </c>
      <c r="Y15" s="1">
        <f t="shared" si="1"/>
        <v>0</v>
      </c>
    </row>
    <row r="16" spans="1:25" ht="15" thickBot="1" x14ac:dyDescent="0.4">
      <c r="B16" s="198"/>
      <c r="C16" s="199"/>
      <c r="D16" s="6"/>
      <c r="E16" s="199"/>
      <c r="F16" s="179" t="str">
        <f>IF(E16="","",INDEX(Methodologytier,MATCH(B$50,Lists!$AZ$4:$AZ$32,0),MATCH(E16,Lists!$BA$3:$BC$3,0)))</f>
        <v/>
      </c>
      <c r="G16" s="148"/>
      <c r="H16" s="199"/>
      <c r="I16" s="38" t="str" cm="1">
        <f t="array" ref="I16">IF(OR($B16="",$C16="",H16=""),"",IF(H16=J16,G16,(INDEX('Emission factors'!$K$3:$V$381,MATCH($B16&amp;$C16,'Emission factors'!$K$3:$K$381&amp;'Emission factors'!$L$3:$L$381,0),MATCH($I$7,'Emission factors'!$K$2:$V$2,0)))*G16))</f>
        <v/>
      </c>
      <c r="J16" s="35" t="str" cm="1">
        <f t="array" ref="J16">IF(OR($B16="",$G16="",OrganisationalWasteTable[[#This Row],[Units]]=""),"",INDEX('Emission factors'!$K$3:$V$381,MATCH($B16&amp;$C16,'Emission factors'!$K$3:$K$381&amp;'Emission factors'!$L$3:$L$381,0),MATCH($J$7,'Emission factors'!$K$2:$V$2,0)))</f>
        <v/>
      </c>
      <c r="K16" s="379" t="str" cm="1">
        <f t="array" ref="K16">IF(OR(B16="",C16="",OrganisationalWasteTable[[#This Row],[Data]]=""),"",INDEX('Emission factors'!$K$3:$V$381,MATCH($B16&amp;$C16,'Emission factors'!$K$3:$K$381&amp;'Emission factors'!$L$3:$L$381,0),MATCH($K$7,'Emission factors'!$K$2:$V$2,0)))</f>
        <v/>
      </c>
      <c r="L16" s="38" t="str">
        <f>IF(OR(OrganisationalWasteTable[[#This Row],[Waste type]]="",OrganisationalWasteTable[[#This Row],[Converted data]]=""),"",SUM(OrganisationalWasteTable[[#This Row],[Direct]:[Indirect WTT]]))</f>
        <v/>
      </c>
      <c r="M16" s="201"/>
      <c r="N16" s="199"/>
      <c r="O16" s="298" t="str" cm="1">
        <f t="array" ref="O16">IF(OR($B16="",$G16="",$I16=""),"",(INDEX('Emission factors'!$K$3:$V$381,MATCH($B16&amp;$C16,'Emission factors'!$K$3:$K$381&amp;'Emission factors'!$L$3:$L$381,0),MATCH(O$7,'Emission factors'!$K$2:$V$2,0)))*$I16)</f>
        <v/>
      </c>
      <c r="P16" s="298" t="str" cm="1">
        <f t="array" ref="P16">IF(OR($B16="",$G16="",$I16=""),"",(INDEX('Emission factors'!$K$3:$V$381,MATCH($B16&amp;$C16,'Emission factors'!$K$3:$K$381&amp;'Emission factors'!$L$3:$L$381,0),MATCH(P$7,'Emission factors'!$K$2:$V$2,0)))*$I16)</f>
        <v/>
      </c>
      <c r="Q16" s="298" t="str" cm="1">
        <f t="array" ref="Q16">IF(OR($B16="",$G16="",$I16=""),"",(INDEX('Emission factors'!$K$3:$V$381,MATCH($B16&amp;$C16,'Emission factors'!$K$3:$K$381&amp;'Emission factors'!$L$3:$L$381,0),MATCH(Q$7,'Emission factors'!$K$2:$V$2,0)))*$I16)</f>
        <v/>
      </c>
      <c r="R16" s="298" t="str" cm="1">
        <f t="array" ref="R16">IF(OR($B16="",$G16="",$I16=""),"",(INDEX('Emission factors'!$K$3:$V$381,MATCH($B16&amp;$C16,'Emission factors'!$K$3:$K$381&amp;'Emission factors'!$L$3:$L$381,0),MATCH(R$7,'Emission factors'!$K$2:$V$2,0)))*$I16)</f>
        <v/>
      </c>
      <c r="S16" s="298" t="str" cm="1">
        <f t="array" ref="S16">IF(OR($B16="",$G16="",$I16=""),"",(INDEX('Emission factors'!$K$3:$V$381,MATCH($B16&amp;$C16,'Emission factors'!$K$3:$K$381&amp;'Emission factors'!$L$3:$L$381,0),MATCH(S$7,'Emission factors'!$K$2:$V$2,0)))*$I16)</f>
        <v/>
      </c>
      <c r="T16" s="299" t="str">
        <f t="shared" si="0"/>
        <v/>
      </c>
      <c r="U16" s="344" t="str">
        <f>IF(OR(OrganisationalWasteTable[[#This Row],[RSD]]="", OrganisationalWasteTable[[#This Row],[Total emissions]]=""), "", OrganisationalWasteTable[[#This Row],[Total emissions]]*(1-OrganisationalWasteTable[[#This Row],[RSD]]))</f>
        <v/>
      </c>
      <c r="V16" s="357" t="str" cm="1">
        <f t="array" ref="V16">IF(OR($B16="",$G16="",$I16=""),"",(INDEX('Emission factors'!$K$3:$V$381,MATCH($B16&amp;$C16,'Emission factors'!$K$3:$K$381&amp;'Emission factors'!$L$3:$L$381,0),MATCH(V$7,'Emission factors'!$K$2:$V$2,0)))*$I16)</f>
        <v/>
      </c>
      <c r="W16" s="335"/>
      <c r="X16" s="1" cm="1">
        <f t="array" ref="X16">IF(OR(ISERROR(B16:V16)),1,0)</f>
        <v>0</v>
      </c>
      <c r="Y16" s="1">
        <f t="shared" si="1"/>
        <v>0</v>
      </c>
    </row>
    <row r="17" spans="2:25" ht="15" thickBot="1" x14ac:dyDescent="0.4">
      <c r="B17" s="198"/>
      <c r="C17" s="199"/>
      <c r="D17" s="6"/>
      <c r="E17" s="199"/>
      <c r="F17" s="179" t="str">
        <f>IF(E17="","",INDEX(Methodologytier,MATCH(B$50,Lists!$AZ$4:$AZ$32,0),MATCH(E17,Lists!$BA$3:$BC$3,0)))</f>
        <v/>
      </c>
      <c r="G17" s="148"/>
      <c r="H17" s="199"/>
      <c r="I17" s="38" t="str" cm="1">
        <f t="array" ref="I17">IF(OR($B17="",$C17="",H17=""),"",IF(H17=J17,G17,(INDEX('Emission factors'!$K$3:$V$381,MATCH($B17&amp;$C17,'Emission factors'!$K$3:$K$381&amp;'Emission factors'!$L$3:$L$381,0),MATCH($I$7,'Emission factors'!$K$2:$V$2,0)))*G17))</f>
        <v/>
      </c>
      <c r="J17" s="35" t="str" cm="1">
        <f t="array" ref="J17">IF(OR($B17="",$G17="",OrganisationalWasteTable[[#This Row],[Units]]=""),"",INDEX('Emission factors'!$K$3:$V$381,MATCH($B17&amp;$C17,'Emission factors'!$K$3:$K$381&amp;'Emission factors'!$L$3:$L$381,0),MATCH($J$7,'Emission factors'!$K$2:$V$2,0)))</f>
        <v/>
      </c>
      <c r="K17" s="379" t="str" cm="1">
        <f t="array" ref="K17">IF(OR(B17="",C17="",OrganisationalWasteTable[[#This Row],[Data]]=""),"",INDEX('Emission factors'!$K$3:$V$381,MATCH($B17&amp;$C17,'Emission factors'!$K$3:$K$381&amp;'Emission factors'!$L$3:$L$381,0),MATCH($K$7,'Emission factors'!$K$2:$V$2,0)))</f>
        <v/>
      </c>
      <c r="L17" s="38" t="str">
        <f>IF(OR(OrganisationalWasteTable[[#This Row],[Waste type]]="",OrganisationalWasteTable[[#This Row],[Converted data]]=""),"",SUM(OrganisationalWasteTable[[#This Row],[Direct]:[Indirect WTT]]))</f>
        <v/>
      </c>
      <c r="M17" s="201"/>
      <c r="N17" s="199"/>
      <c r="O17" s="298" t="str" cm="1">
        <f t="array" ref="O17">IF(OR($B17="",$G17="",$I17=""),"",(INDEX('Emission factors'!$K$3:$V$381,MATCH($B17&amp;$C17,'Emission factors'!$K$3:$K$381&amp;'Emission factors'!$L$3:$L$381,0),MATCH(O$7,'Emission factors'!$K$2:$V$2,0)))*$I17)</f>
        <v/>
      </c>
      <c r="P17" s="298" t="str" cm="1">
        <f t="array" ref="P17">IF(OR($B17="",$G17="",$I17=""),"",(INDEX('Emission factors'!$K$3:$V$381,MATCH($B17&amp;$C17,'Emission factors'!$K$3:$K$381&amp;'Emission factors'!$L$3:$L$381,0),MATCH(P$7,'Emission factors'!$K$2:$V$2,0)))*$I17)</f>
        <v/>
      </c>
      <c r="Q17" s="298" t="str" cm="1">
        <f t="array" ref="Q17">IF(OR($B17="",$G17="",$I17=""),"",(INDEX('Emission factors'!$K$3:$V$381,MATCH($B17&amp;$C17,'Emission factors'!$K$3:$K$381&amp;'Emission factors'!$L$3:$L$381,0),MATCH(Q$7,'Emission factors'!$K$2:$V$2,0)))*$I17)</f>
        <v/>
      </c>
      <c r="R17" s="298" t="str" cm="1">
        <f t="array" ref="R17">IF(OR($B17="",$G17="",$I17=""),"",(INDEX('Emission factors'!$K$3:$V$381,MATCH($B17&amp;$C17,'Emission factors'!$K$3:$K$381&amp;'Emission factors'!$L$3:$L$381,0),MATCH(R$7,'Emission factors'!$K$2:$V$2,0)))*$I17)</f>
        <v/>
      </c>
      <c r="S17" s="298" t="str" cm="1">
        <f t="array" ref="S17">IF(OR($B17="",$G17="",$I17=""),"",(INDEX('Emission factors'!$K$3:$V$381,MATCH($B17&amp;$C17,'Emission factors'!$K$3:$K$381&amp;'Emission factors'!$L$3:$L$381,0),MATCH(S$7,'Emission factors'!$K$2:$V$2,0)))*$I17)</f>
        <v/>
      </c>
      <c r="T17" s="299" t="str">
        <f t="shared" si="0"/>
        <v/>
      </c>
      <c r="U17" s="344" t="str">
        <f>IF(OR(OrganisationalWasteTable[[#This Row],[RSD]]="", OrganisationalWasteTable[[#This Row],[Total emissions]]=""), "", OrganisationalWasteTable[[#This Row],[Total emissions]]*(1-OrganisationalWasteTable[[#This Row],[RSD]]))</f>
        <v/>
      </c>
      <c r="V17" s="357" t="str" cm="1">
        <f t="array" ref="V17">IF(OR($B17="",$G17="",$I17=""),"",(INDEX('Emission factors'!$K$3:$V$381,MATCH($B17&amp;$C17,'Emission factors'!$K$3:$K$381&amp;'Emission factors'!$L$3:$L$381,0),MATCH(V$7,'Emission factors'!$K$2:$V$2,0)))*$I17)</f>
        <v/>
      </c>
      <c r="W17" s="335"/>
      <c r="X17" s="1" cm="1">
        <f t="array" ref="X17">IF(OR(ISERROR(B17:V17)),1,0)</f>
        <v>0</v>
      </c>
      <c r="Y17" s="1">
        <f t="shared" si="1"/>
        <v>0</v>
      </c>
    </row>
    <row r="18" spans="2:25" ht="15" thickBot="1" x14ac:dyDescent="0.4">
      <c r="B18" s="198"/>
      <c r="C18" s="199"/>
      <c r="D18" s="6"/>
      <c r="E18" s="199"/>
      <c r="F18" s="179" t="str">
        <f>IF(E18="","",INDEX(Methodologytier,MATCH(B$50,Lists!$AZ$4:$AZ$32,0),MATCH(E18,Lists!$BA$3:$BC$3,0)))</f>
        <v/>
      </c>
      <c r="G18" s="148"/>
      <c r="H18" s="199"/>
      <c r="I18" s="38" t="str" cm="1">
        <f t="array" ref="I18">IF(OR($B18="",$C18="",H18=""),"",IF(H18=J18,G18,(INDEX('Emission factors'!$K$3:$V$381,MATCH($B18&amp;$C18,'Emission factors'!$K$3:$K$381&amp;'Emission factors'!$L$3:$L$381,0),MATCH($I$7,'Emission factors'!$K$2:$V$2,0)))*G18))</f>
        <v/>
      </c>
      <c r="J18" s="35" t="str" cm="1">
        <f t="array" ref="J18">IF(OR($B18="",$G18="",OrganisationalWasteTable[[#This Row],[Units]]=""),"",INDEX('Emission factors'!$K$3:$V$381,MATCH($B18&amp;$C18,'Emission factors'!$K$3:$K$381&amp;'Emission factors'!$L$3:$L$381,0),MATCH($J$7,'Emission factors'!$K$2:$V$2,0)))</f>
        <v/>
      </c>
      <c r="K18" s="379" t="str" cm="1">
        <f t="array" ref="K18">IF(OR(B18="",C18="",OrganisationalWasteTable[[#This Row],[Data]]=""),"",INDEX('Emission factors'!$K$3:$V$381,MATCH($B18&amp;$C18,'Emission factors'!$K$3:$K$381&amp;'Emission factors'!$L$3:$L$381,0),MATCH($K$7,'Emission factors'!$K$2:$V$2,0)))</f>
        <v/>
      </c>
      <c r="L18" s="38" t="str">
        <f>IF(OR(OrganisationalWasteTable[[#This Row],[Waste type]]="",OrganisationalWasteTable[[#This Row],[Converted data]]=""),"",SUM(OrganisationalWasteTable[[#This Row],[Direct]:[Indirect WTT]]))</f>
        <v/>
      </c>
      <c r="M18" s="201"/>
      <c r="N18" s="199"/>
      <c r="O18" s="298" t="str" cm="1">
        <f t="array" ref="O18">IF(OR($B18="",$G18="",$I18=""),"",(INDEX('Emission factors'!$K$3:$V$381,MATCH($B18&amp;$C18,'Emission factors'!$K$3:$K$381&amp;'Emission factors'!$L$3:$L$381,0),MATCH(O$7,'Emission factors'!$K$2:$V$2,0)))*$I18)</f>
        <v/>
      </c>
      <c r="P18" s="298" t="str" cm="1">
        <f t="array" ref="P18">IF(OR($B18="",$G18="",$I18=""),"",(INDEX('Emission factors'!$K$3:$V$381,MATCH($B18&amp;$C18,'Emission factors'!$K$3:$K$381&amp;'Emission factors'!$L$3:$L$381,0),MATCH(P$7,'Emission factors'!$K$2:$V$2,0)))*$I18)</f>
        <v/>
      </c>
      <c r="Q18" s="298" t="str" cm="1">
        <f t="array" ref="Q18">IF(OR($B18="",$G18="",$I18=""),"",(INDEX('Emission factors'!$K$3:$V$381,MATCH($B18&amp;$C18,'Emission factors'!$K$3:$K$381&amp;'Emission factors'!$L$3:$L$381,0),MATCH(Q$7,'Emission factors'!$K$2:$V$2,0)))*$I18)</f>
        <v/>
      </c>
      <c r="R18" s="298" t="str" cm="1">
        <f t="array" ref="R18">IF(OR($B18="",$G18="",$I18=""),"",(INDEX('Emission factors'!$K$3:$V$381,MATCH($B18&amp;$C18,'Emission factors'!$K$3:$K$381&amp;'Emission factors'!$L$3:$L$381,0),MATCH(R$7,'Emission factors'!$K$2:$V$2,0)))*$I18)</f>
        <v/>
      </c>
      <c r="S18" s="298" t="str" cm="1">
        <f t="array" ref="S18">IF(OR($B18="",$G18="",$I18=""),"",(INDEX('Emission factors'!$K$3:$V$381,MATCH($B18&amp;$C18,'Emission factors'!$K$3:$K$381&amp;'Emission factors'!$L$3:$L$381,0),MATCH(S$7,'Emission factors'!$K$2:$V$2,0)))*$I18)</f>
        <v/>
      </c>
      <c r="T18" s="299" t="str">
        <f t="shared" si="0"/>
        <v/>
      </c>
      <c r="U18" s="344" t="str">
        <f>IF(OR(OrganisationalWasteTable[[#This Row],[RSD]]="", OrganisationalWasteTable[[#This Row],[Total emissions]]=""), "", OrganisationalWasteTable[[#This Row],[Total emissions]]*(1-OrganisationalWasteTable[[#This Row],[RSD]]))</f>
        <v/>
      </c>
      <c r="V18" s="357" t="str" cm="1">
        <f t="array" ref="V18">IF(OR($B18="",$G18="",$I18=""),"",(INDEX('Emission factors'!$K$3:$V$381,MATCH($B18&amp;$C18,'Emission factors'!$K$3:$K$381&amp;'Emission factors'!$L$3:$L$381,0),MATCH(V$7,'Emission factors'!$K$2:$V$2,0)))*$I18)</f>
        <v/>
      </c>
      <c r="W18" s="335"/>
      <c r="X18" s="1" cm="1">
        <f t="array" ref="X18">IF(OR(ISERROR(B18:V18)),1,0)</f>
        <v>0</v>
      </c>
      <c r="Y18" s="1">
        <f t="shared" si="1"/>
        <v>0</v>
      </c>
    </row>
    <row r="19" spans="2:25" ht="15" thickBot="1" x14ac:dyDescent="0.4">
      <c r="B19" s="198"/>
      <c r="C19" s="199"/>
      <c r="D19" s="6"/>
      <c r="E19" s="199"/>
      <c r="F19" s="179" t="str">
        <f>IF(E19="","",INDEX(Methodologytier,MATCH(B$50,Lists!$AZ$4:$AZ$32,0),MATCH(E19,Lists!$BA$3:$BC$3,0)))</f>
        <v/>
      </c>
      <c r="G19" s="148"/>
      <c r="H19" s="199"/>
      <c r="I19" s="38" t="str" cm="1">
        <f t="array" ref="I19">IF(OR($B19="",$C19="",H19=""),"",IF(H19=J19,G19,(INDEX('Emission factors'!$K$3:$V$381,MATCH($B19&amp;$C19,'Emission factors'!$K$3:$K$381&amp;'Emission factors'!$L$3:$L$381,0),MATCH($I$7,'Emission factors'!$K$2:$V$2,0)))*G19))</f>
        <v/>
      </c>
      <c r="J19" s="35" t="str" cm="1">
        <f t="array" ref="J19">IF(OR($B19="",$G19="",OrganisationalWasteTable[[#This Row],[Units]]=""),"",INDEX('Emission factors'!$K$3:$V$381,MATCH($B19&amp;$C19,'Emission factors'!$K$3:$K$381&amp;'Emission factors'!$L$3:$L$381,0),MATCH($J$7,'Emission factors'!$K$2:$V$2,0)))</f>
        <v/>
      </c>
      <c r="K19" s="379" t="str" cm="1">
        <f t="array" ref="K19">IF(OR(B19="",C19="",OrganisationalWasteTable[[#This Row],[Data]]=""),"",INDEX('Emission factors'!$K$3:$V$381,MATCH($B19&amp;$C19,'Emission factors'!$K$3:$K$381&amp;'Emission factors'!$L$3:$L$381,0),MATCH($K$7,'Emission factors'!$K$2:$V$2,0)))</f>
        <v/>
      </c>
      <c r="L19" s="38" t="str">
        <f>IF(OR(OrganisationalWasteTable[[#This Row],[Waste type]]="",OrganisationalWasteTable[[#This Row],[Converted data]]=""),"",SUM(OrganisationalWasteTable[[#This Row],[Direct]:[Indirect WTT]]))</f>
        <v/>
      </c>
      <c r="M19" s="201"/>
      <c r="N19" s="199"/>
      <c r="O19" s="298" t="str" cm="1">
        <f t="array" ref="O19">IF(OR($B19="",$G19="",$I19=""),"",(INDEX('Emission factors'!$K$3:$V$381,MATCH($B19&amp;$C19,'Emission factors'!$K$3:$K$381&amp;'Emission factors'!$L$3:$L$381,0),MATCH(O$7,'Emission factors'!$K$2:$V$2,0)))*$I19)</f>
        <v/>
      </c>
      <c r="P19" s="298" t="str" cm="1">
        <f t="array" ref="P19">IF(OR($B19="",$G19="",$I19=""),"",(INDEX('Emission factors'!$K$3:$V$381,MATCH($B19&amp;$C19,'Emission factors'!$K$3:$K$381&amp;'Emission factors'!$L$3:$L$381,0),MATCH(P$7,'Emission factors'!$K$2:$V$2,0)))*$I19)</f>
        <v/>
      </c>
      <c r="Q19" s="298" t="str" cm="1">
        <f t="array" ref="Q19">IF(OR($B19="",$G19="",$I19=""),"",(INDEX('Emission factors'!$K$3:$V$381,MATCH($B19&amp;$C19,'Emission factors'!$K$3:$K$381&amp;'Emission factors'!$L$3:$L$381,0),MATCH(Q$7,'Emission factors'!$K$2:$V$2,0)))*$I19)</f>
        <v/>
      </c>
      <c r="R19" s="298" t="str" cm="1">
        <f t="array" ref="R19">IF(OR($B19="",$G19="",$I19=""),"",(INDEX('Emission factors'!$K$3:$V$381,MATCH($B19&amp;$C19,'Emission factors'!$K$3:$K$381&amp;'Emission factors'!$L$3:$L$381,0),MATCH(R$7,'Emission factors'!$K$2:$V$2,0)))*$I19)</f>
        <v/>
      </c>
      <c r="S19" s="298" t="str" cm="1">
        <f t="array" ref="S19">IF(OR($B19="",$G19="",$I19=""),"",(INDEX('Emission factors'!$K$3:$V$381,MATCH($B19&amp;$C19,'Emission factors'!$K$3:$K$381&amp;'Emission factors'!$L$3:$L$381,0),MATCH(S$7,'Emission factors'!$K$2:$V$2,0)))*$I19)</f>
        <v/>
      </c>
      <c r="T19" s="299" t="str">
        <f t="shared" si="0"/>
        <v/>
      </c>
      <c r="U19" s="344" t="str">
        <f>IF(OR(OrganisationalWasteTable[[#This Row],[RSD]]="", OrganisationalWasteTable[[#This Row],[Total emissions]]=""), "", OrganisationalWasteTable[[#This Row],[Total emissions]]*(1-OrganisationalWasteTable[[#This Row],[RSD]]))</f>
        <v/>
      </c>
      <c r="V19" s="357" t="str" cm="1">
        <f t="array" ref="V19">IF(OR($B19="",$G19="",$I19=""),"",(INDEX('Emission factors'!$K$3:$V$381,MATCH($B19&amp;$C19,'Emission factors'!$K$3:$K$381&amp;'Emission factors'!$L$3:$L$381,0),MATCH(V$7,'Emission factors'!$K$2:$V$2,0)))*$I19)</f>
        <v/>
      </c>
      <c r="W19" s="335"/>
      <c r="X19" s="1" cm="1">
        <f t="array" ref="X19">IF(OR(ISERROR(B19:V19)),1,0)</f>
        <v>0</v>
      </c>
      <c r="Y19" s="1">
        <f t="shared" si="1"/>
        <v>0</v>
      </c>
    </row>
    <row r="20" spans="2:25" ht="15" thickBot="1" x14ac:dyDescent="0.4">
      <c r="B20" s="198"/>
      <c r="C20" s="199"/>
      <c r="D20" s="6"/>
      <c r="E20" s="199"/>
      <c r="F20" s="179" t="str">
        <f>IF(E20="","",INDEX(Methodologytier,MATCH(B$50,Lists!$AZ$4:$AZ$32,0),MATCH(E20,Lists!$BA$3:$BC$3,0)))</f>
        <v/>
      </c>
      <c r="G20" s="148"/>
      <c r="H20" s="199"/>
      <c r="I20" s="38" t="str" cm="1">
        <f t="array" ref="I20">IF(OR($B20="",$C20="",H20=""),"",IF(H20=J20,G20,(INDEX('Emission factors'!$K$3:$V$381,MATCH($B20&amp;$C20,'Emission factors'!$K$3:$K$381&amp;'Emission factors'!$L$3:$L$381,0),MATCH($I$7,'Emission factors'!$K$2:$V$2,0)))*G20))</f>
        <v/>
      </c>
      <c r="J20" s="35" t="str" cm="1">
        <f t="array" ref="J20">IF(OR($B20="",$G20="",OrganisationalWasteTable[[#This Row],[Units]]=""),"",INDEX('Emission factors'!$K$3:$V$381,MATCH($B20&amp;$C20,'Emission factors'!$K$3:$K$381&amp;'Emission factors'!$L$3:$L$381,0),MATCH($J$7,'Emission factors'!$K$2:$V$2,0)))</f>
        <v/>
      </c>
      <c r="K20" s="379" t="str" cm="1">
        <f t="array" ref="K20">IF(OR(B20="",C20="",OrganisationalWasteTable[[#This Row],[Data]]=""),"",INDEX('Emission factors'!$K$3:$V$381,MATCH($B20&amp;$C20,'Emission factors'!$K$3:$K$381&amp;'Emission factors'!$L$3:$L$381,0),MATCH($K$7,'Emission factors'!$K$2:$V$2,0)))</f>
        <v/>
      </c>
      <c r="L20" s="38" t="str">
        <f>IF(OR(OrganisationalWasteTable[[#This Row],[Waste type]]="",OrganisationalWasteTable[[#This Row],[Converted data]]=""),"",SUM(OrganisationalWasteTable[[#This Row],[Direct]:[Indirect WTT]]))</f>
        <v/>
      </c>
      <c r="M20" s="201"/>
      <c r="N20" s="199"/>
      <c r="O20" s="298" t="str" cm="1">
        <f t="array" ref="O20">IF(OR($B20="",$G20="",$I20=""),"",(INDEX('Emission factors'!$K$3:$V$381,MATCH($B20&amp;$C20,'Emission factors'!$K$3:$K$381&amp;'Emission factors'!$L$3:$L$381,0),MATCH(O$7,'Emission factors'!$K$2:$V$2,0)))*$I20)</f>
        <v/>
      </c>
      <c r="P20" s="298" t="str" cm="1">
        <f t="array" ref="P20">IF(OR($B20="",$G20="",$I20=""),"",(INDEX('Emission factors'!$K$3:$V$381,MATCH($B20&amp;$C20,'Emission factors'!$K$3:$K$381&amp;'Emission factors'!$L$3:$L$381,0),MATCH(P$7,'Emission factors'!$K$2:$V$2,0)))*$I20)</f>
        <v/>
      </c>
      <c r="Q20" s="298" t="str" cm="1">
        <f t="array" ref="Q20">IF(OR($B20="",$G20="",$I20=""),"",(INDEX('Emission factors'!$K$3:$V$381,MATCH($B20&amp;$C20,'Emission factors'!$K$3:$K$381&amp;'Emission factors'!$L$3:$L$381,0),MATCH(Q$7,'Emission factors'!$K$2:$V$2,0)))*$I20)</f>
        <v/>
      </c>
      <c r="R20" s="298" t="str" cm="1">
        <f t="array" ref="R20">IF(OR($B20="",$G20="",$I20=""),"",(INDEX('Emission factors'!$K$3:$V$381,MATCH($B20&amp;$C20,'Emission factors'!$K$3:$K$381&amp;'Emission factors'!$L$3:$L$381,0),MATCH(R$7,'Emission factors'!$K$2:$V$2,0)))*$I20)</f>
        <v/>
      </c>
      <c r="S20" s="298" t="str" cm="1">
        <f t="array" ref="S20">IF(OR($B20="",$G20="",$I20=""),"",(INDEX('Emission factors'!$K$3:$V$381,MATCH($B20&amp;$C20,'Emission factors'!$K$3:$K$381&amp;'Emission factors'!$L$3:$L$381,0),MATCH(S$7,'Emission factors'!$K$2:$V$2,0)))*$I20)</f>
        <v/>
      </c>
      <c r="T20" s="299" t="str">
        <f t="shared" si="0"/>
        <v/>
      </c>
      <c r="U20" s="344" t="str">
        <f>IF(OR(OrganisationalWasteTable[[#This Row],[RSD]]="", OrganisationalWasteTable[[#This Row],[Total emissions]]=""), "", OrganisationalWasteTable[[#This Row],[Total emissions]]*(1-OrganisationalWasteTable[[#This Row],[RSD]]))</f>
        <v/>
      </c>
      <c r="V20" s="357" t="str" cm="1">
        <f t="array" ref="V20">IF(OR($B20="",$G20="",$I20=""),"",(INDEX('Emission factors'!$K$3:$V$381,MATCH($B20&amp;$C20,'Emission factors'!$K$3:$K$381&amp;'Emission factors'!$L$3:$L$381,0),MATCH(V$7,'Emission factors'!$K$2:$V$2,0)))*$I20)</f>
        <v/>
      </c>
      <c r="W20" s="335"/>
      <c r="X20" s="1" cm="1">
        <f t="array" ref="X20">IF(OR(ISERROR(B20:V20)),1,0)</f>
        <v>0</v>
      </c>
      <c r="Y20" s="1">
        <f t="shared" si="1"/>
        <v>0</v>
      </c>
    </row>
    <row r="21" spans="2:25" ht="15" thickBot="1" x14ac:dyDescent="0.4">
      <c r="B21" s="198"/>
      <c r="C21" s="199"/>
      <c r="D21" s="6"/>
      <c r="E21" s="199"/>
      <c r="F21" s="179" t="str">
        <f>IF(E21="","",INDEX(Methodologytier,MATCH(B$50,Lists!$AZ$4:$AZ$32,0),MATCH(E21,Lists!$BA$3:$BC$3,0)))</f>
        <v/>
      </c>
      <c r="G21" s="148"/>
      <c r="H21" s="199"/>
      <c r="I21" s="38" t="str" cm="1">
        <f t="array" ref="I21">IF(OR($B21="",$C21="",H21=""),"",IF(H21=J21,G21,(INDEX('Emission factors'!$K$3:$V$381,MATCH($B21&amp;$C21,'Emission factors'!$K$3:$K$381&amp;'Emission factors'!$L$3:$L$381,0),MATCH($I$7,'Emission factors'!$K$2:$V$2,0)))*G21))</f>
        <v/>
      </c>
      <c r="J21" s="35" t="str" cm="1">
        <f t="array" ref="J21">IF(OR($B21="",$G21="",OrganisationalWasteTable[[#This Row],[Units]]=""),"",INDEX('Emission factors'!$K$3:$V$381,MATCH($B21&amp;$C21,'Emission factors'!$K$3:$K$381&amp;'Emission factors'!$L$3:$L$381,0),MATCH($J$7,'Emission factors'!$K$2:$V$2,0)))</f>
        <v/>
      </c>
      <c r="K21" s="379" t="str" cm="1">
        <f t="array" ref="K21">IF(OR(B21="",C21="",OrganisationalWasteTable[[#This Row],[Data]]=""),"",INDEX('Emission factors'!$K$3:$V$381,MATCH($B21&amp;$C21,'Emission factors'!$K$3:$K$381&amp;'Emission factors'!$L$3:$L$381,0),MATCH($K$7,'Emission factors'!$K$2:$V$2,0)))</f>
        <v/>
      </c>
      <c r="L21" s="38" t="str">
        <f>IF(OR(OrganisationalWasteTable[[#This Row],[Waste type]]="",OrganisationalWasteTable[[#This Row],[Converted data]]=""),"",SUM(OrganisationalWasteTable[[#This Row],[Direct]:[Indirect WTT]]))</f>
        <v/>
      </c>
      <c r="M21" s="201"/>
      <c r="N21" s="199"/>
      <c r="O21" s="298" t="str" cm="1">
        <f t="array" ref="O21">IF(OR($B21="",$G21="",$I21=""),"",(INDEX('Emission factors'!$K$3:$V$381,MATCH($B21&amp;$C21,'Emission factors'!$K$3:$K$381&amp;'Emission factors'!$L$3:$L$381,0),MATCH(O$7,'Emission factors'!$K$2:$V$2,0)))*$I21)</f>
        <v/>
      </c>
      <c r="P21" s="298" t="str" cm="1">
        <f t="array" ref="P21">IF(OR($B21="",$G21="",$I21=""),"",(INDEX('Emission factors'!$K$3:$V$381,MATCH($B21&amp;$C21,'Emission factors'!$K$3:$K$381&amp;'Emission factors'!$L$3:$L$381,0),MATCH(P$7,'Emission factors'!$K$2:$V$2,0)))*$I21)</f>
        <v/>
      </c>
      <c r="Q21" s="298" t="str" cm="1">
        <f t="array" ref="Q21">IF(OR($B21="",$G21="",$I21=""),"",(INDEX('Emission factors'!$K$3:$V$381,MATCH($B21&amp;$C21,'Emission factors'!$K$3:$K$381&amp;'Emission factors'!$L$3:$L$381,0),MATCH(Q$7,'Emission factors'!$K$2:$V$2,0)))*$I21)</f>
        <v/>
      </c>
      <c r="R21" s="298" t="str" cm="1">
        <f t="array" ref="R21">IF(OR($B21="",$G21="",$I21=""),"",(INDEX('Emission factors'!$K$3:$V$381,MATCH($B21&amp;$C21,'Emission factors'!$K$3:$K$381&amp;'Emission factors'!$L$3:$L$381,0),MATCH(R$7,'Emission factors'!$K$2:$V$2,0)))*$I21)</f>
        <v/>
      </c>
      <c r="S21" s="298" t="str" cm="1">
        <f t="array" ref="S21">IF(OR($B21="",$G21="",$I21=""),"",(INDEX('Emission factors'!$K$3:$V$381,MATCH($B21&amp;$C21,'Emission factors'!$K$3:$K$381&amp;'Emission factors'!$L$3:$L$381,0),MATCH(S$7,'Emission factors'!$K$2:$V$2,0)))*$I21)</f>
        <v/>
      </c>
      <c r="T21" s="299" t="str">
        <f t="shared" si="0"/>
        <v/>
      </c>
      <c r="U21" s="344" t="str">
        <f>IF(OR(OrganisationalWasteTable[[#This Row],[RSD]]="", OrganisationalWasteTable[[#This Row],[Total emissions]]=""), "", OrganisationalWasteTable[[#This Row],[Total emissions]]*(1-OrganisationalWasteTable[[#This Row],[RSD]]))</f>
        <v/>
      </c>
      <c r="V21" s="357" t="str" cm="1">
        <f t="array" ref="V21">IF(OR($B21="",$G21="",$I21=""),"",(INDEX('Emission factors'!$K$3:$V$381,MATCH($B21&amp;$C21,'Emission factors'!$K$3:$K$381&amp;'Emission factors'!$L$3:$L$381,0),MATCH(V$7,'Emission factors'!$K$2:$V$2,0)))*$I21)</f>
        <v/>
      </c>
      <c r="W21" s="335"/>
      <c r="X21" s="1" cm="1">
        <f t="array" ref="X21">IF(OR(ISERROR(B21:V21)),1,0)</f>
        <v>0</v>
      </c>
      <c r="Y21" s="1">
        <f t="shared" si="1"/>
        <v>0</v>
      </c>
    </row>
    <row r="22" spans="2:25" ht="15" thickBot="1" x14ac:dyDescent="0.4">
      <c r="B22" s="198"/>
      <c r="C22" s="199"/>
      <c r="D22" s="6"/>
      <c r="E22" s="199"/>
      <c r="F22" s="179" t="str">
        <f>IF(E22="","",INDEX(Methodologytier,MATCH(B$50,Lists!$AZ$4:$AZ$32,0),MATCH(E22,Lists!$BA$3:$BC$3,0)))</f>
        <v/>
      </c>
      <c r="G22" s="148"/>
      <c r="H22" s="199"/>
      <c r="I22" s="38" t="str" cm="1">
        <f t="array" ref="I22">IF(OR($B22="",$C22="",H22=""),"",IF(H22=J22,G22,(INDEX('Emission factors'!$K$3:$V$381,MATCH($B22&amp;$C22,'Emission factors'!$K$3:$K$381&amp;'Emission factors'!$L$3:$L$381,0),MATCH($I$7,'Emission factors'!$K$2:$V$2,0)))*G22))</f>
        <v/>
      </c>
      <c r="J22" s="35" t="str" cm="1">
        <f t="array" ref="J22">IF(OR($B22="",$G22="",OrganisationalWasteTable[[#This Row],[Units]]=""),"",INDEX('Emission factors'!$K$3:$V$381,MATCH($B22&amp;$C22,'Emission factors'!$K$3:$K$381&amp;'Emission factors'!$L$3:$L$381,0),MATCH($J$7,'Emission factors'!$K$2:$V$2,0)))</f>
        <v/>
      </c>
      <c r="K22" s="379" t="str" cm="1">
        <f t="array" ref="K22">IF(OR(B22="",C22="",OrganisationalWasteTable[[#This Row],[Data]]=""),"",INDEX('Emission factors'!$K$3:$V$381,MATCH($B22&amp;$C22,'Emission factors'!$K$3:$K$381&amp;'Emission factors'!$L$3:$L$381,0),MATCH($K$7,'Emission factors'!$K$2:$V$2,0)))</f>
        <v/>
      </c>
      <c r="L22" s="38" t="str">
        <f>IF(OR(OrganisationalWasteTable[[#This Row],[Waste type]]="",OrganisationalWasteTable[[#This Row],[Converted data]]=""),"",SUM(OrganisationalWasteTable[[#This Row],[Direct]:[Indirect WTT]]))</f>
        <v/>
      </c>
      <c r="M22" s="201"/>
      <c r="N22" s="199"/>
      <c r="O22" s="298" t="str" cm="1">
        <f t="array" ref="O22">IF(OR($B22="",$G22="",$I22=""),"",(INDEX('Emission factors'!$K$3:$V$381,MATCH($B22&amp;$C22,'Emission factors'!$K$3:$K$381&amp;'Emission factors'!$L$3:$L$381,0),MATCH(O$7,'Emission factors'!$K$2:$V$2,0)))*$I22)</f>
        <v/>
      </c>
      <c r="P22" s="298" t="str" cm="1">
        <f t="array" ref="P22">IF(OR($B22="",$G22="",$I22=""),"",(INDEX('Emission factors'!$K$3:$V$381,MATCH($B22&amp;$C22,'Emission factors'!$K$3:$K$381&amp;'Emission factors'!$L$3:$L$381,0),MATCH(P$7,'Emission factors'!$K$2:$V$2,0)))*$I22)</f>
        <v/>
      </c>
      <c r="Q22" s="298" t="str" cm="1">
        <f t="array" ref="Q22">IF(OR($B22="",$G22="",$I22=""),"",(INDEX('Emission factors'!$K$3:$V$381,MATCH($B22&amp;$C22,'Emission factors'!$K$3:$K$381&amp;'Emission factors'!$L$3:$L$381,0),MATCH(Q$7,'Emission factors'!$K$2:$V$2,0)))*$I22)</f>
        <v/>
      </c>
      <c r="R22" s="298" t="str" cm="1">
        <f t="array" ref="R22">IF(OR($B22="",$G22="",$I22=""),"",(INDEX('Emission factors'!$K$3:$V$381,MATCH($B22&amp;$C22,'Emission factors'!$K$3:$K$381&amp;'Emission factors'!$L$3:$L$381,0),MATCH(R$7,'Emission factors'!$K$2:$V$2,0)))*$I22)</f>
        <v/>
      </c>
      <c r="S22" s="298" t="str" cm="1">
        <f t="array" ref="S22">IF(OR($B22="",$G22="",$I22=""),"",(INDEX('Emission factors'!$K$3:$V$381,MATCH($B22&amp;$C22,'Emission factors'!$K$3:$K$381&amp;'Emission factors'!$L$3:$L$381,0),MATCH(S$7,'Emission factors'!$K$2:$V$2,0)))*$I22)</f>
        <v/>
      </c>
      <c r="T22" s="299" t="str">
        <f t="shared" si="0"/>
        <v/>
      </c>
      <c r="U22" s="344" t="str">
        <f>IF(OR(OrganisationalWasteTable[[#This Row],[RSD]]="", OrganisationalWasteTable[[#This Row],[Total emissions]]=""), "", OrganisationalWasteTable[[#This Row],[Total emissions]]*(1-OrganisationalWasteTable[[#This Row],[RSD]]))</f>
        <v/>
      </c>
      <c r="V22" s="357" t="str" cm="1">
        <f t="array" ref="V22">IF(OR($B22="",$G22="",$I22=""),"",(INDEX('Emission factors'!$K$3:$V$381,MATCH($B22&amp;$C22,'Emission factors'!$K$3:$K$381&amp;'Emission factors'!$L$3:$L$381,0),MATCH(V$7,'Emission factors'!$K$2:$V$2,0)))*$I22)</f>
        <v/>
      </c>
      <c r="W22" s="335"/>
      <c r="X22" s="1" cm="1">
        <f t="array" ref="X22">IF(OR(ISERROR(B22:V22)),1,0)</f>
        <v>0</v>
      </c>
      <c r="Y22" s="1">
        <f t="shared" si="1"/>
        <v>0</v>
      </c>
    </row>
    <row r="23" spans="2:25" ht="15" thickBot="1" x14ac:dyDescent="0.4">
      <c r="B23" s="198"/>
      <c r="C23" s="199"/>
      <c r="D23" s="6"/>
      <c r="E23" s="199"/>
      <c r="F23" s="179" t="str">
        <f>IF(E23="","",INDEX(Methodologytier,MATCH(B$50,Lists!$AZ$4:$AZ$32,0),MATCH(E23,Lists!$BA$3:$BC$3,0)))</f>
        <v/>
      </c>
      <c r="G23" s="148"/>
      <c r="H23" s="199"/>
      <c r="I23" s="38" t="str" cm="1">
        <f t="array" ref="I23">IF(OR($B23="",$C23="",H23=""),"",IF(H23=J23,G23,(INDEX('Emission factors'!$K$3:$V$381,MATCH($B23&amp;$C23,'Emission factors'!$K$3:$K$381&amp;'Emission factors'!$L$3:$L$381,0),MATCH($I$7,'Emission factors'!$K$2:$V$2,0)))*G23))</f>
        <v/>
      </c>
      <c r="J23" s="35" t="str" cm="1">
        <f t="array" ref="J23">IF(OR($B23="",$G23="",OrganisationalWasteTable[[#This Row],[Units]]=""),"",INDEX('Emission factors'!$K$3:$V$381,MATCH($B23&amp;$C23,'Emission factors'!$K$3:$K$381&amp;'Emission factors'!$L$3:$L$381,0),MATCH($J$7,'Emission factors'!$K$2:$V$2,0)))</f>
        <v/>
      </c>
      <c r="K23" s="379" t="str" cm="1">
        <f t="array" ref="K23">IF(OR(B23="",C23="",OrganisationalWasteTable[[#This Row],[Data]]=""),"",INDEX('Emission factors'!$K$3:$V$381,MATCH($B23&amp;$C23,'Emission factors'!$K$3:$K$381&amp;'Emission factors'!$L$3:$L$381,0),MATCH($K$7,'Emission factors'!$K$2:$V$2,0)))</f>
        <v/>
      </c>
      <c r="L23" s="38" t="str">
        <f>IF(OR(OrganisationalWasteTable[[#This Row],[Waste type]]="",OrganisationalWasteTable[[#This Row],[Converted data]]=""),"",SUM(OrganisationalWasteTable[[#This Row],[Direct]:[Indirect WTT]]))</f>
        <v/>
      </c>
      <c r="M23" s="201"/>
      <c r="N23" s="199"/>
      <c r="O23" s="298" t="str" cm="1">
        <f t="array" ref="O23">IF(OR($B23="",$G23="",$I23=""),"",(INDEX('Emission factors'!$K$3:$V$381,MATCH($B23&amp;$C23,'Emission factors'!$K$3:$K$381&amp;'Emission factors'!$L$3:$L$381,0),MATCH(O$7,'Emission factors'!$K$2:$V$2,0)))*$I23)</f>
        <v/>
      </c>
      <c r="P23" s="298" t="str" cm="1">
        <f t="array" ref="P23">IF(OR($B23="",$G23="",$I23=""),"",(INDEX('Emission factors'!$K$3:$V$381,MATCH($B23&amp;$C23,'Emission factors'!$K$3:$K$381&amp;'Emission factors'!$L$3:$L$381,0),MATCH(P$7,'Emission factors'!$K$2:$V$2,0)))*$I23)</f>
        <v/>
      </c>
      <c r="Q23" s="298" t="str" cm="1">
        <f t="array" ref="Q23">IF(OR($B23="",$G23="",$I23=""),"",(INDEX('Emission factors'!$K$3:$V$381,MATCH($B23&amp;$C23,'Emission factors'!$K$3:$K$381&amp;'Emission factors'!$L$3:$L$381,0),MATCH(Q$7,'Emission factors'!$K$2:$V$2,0)))*$I23)</f>
        <v/>
      </c>
      <c r="R23" s="298" t="str" cm="1">
        <f t="array" ref="R23">IF(OR($B23="",$G23="",$I23=""),"",(INDEX('Emission factors'!$K$3:$V$381,MATCH($B23&amp;$C23,'Emission factors'!$K$3:$K$381&amp;'Emission factors'!$L$3:$L$381,0),MATCH(R$7,'Emission factors'!$K$2:$V$2,0)))*$I23)</f>
        <v/>
      </c>
      <c r="S23" s="298" t="str" cm="1">
        <f t="array" ref="S23">IF(OR($B23="",$G23="",$I23=""),"",(INDEX('Emission factors'!$K$3:$V$381,MATCH($B23&amp;$C23,'Emission factors'!$K$3:$K$381&amp;'Emission factors'!$L$3:$L$381,0),MATCH(S$7,'Emission factors'!$K$2:$V$2,0)))*$I23)</f>
        <v/>
      </c>
      <c r="T23" s="299" t="str">
        <f t="shared" si="0"/>
        <v/>
      </c>
      <c r="U23" s="344" t="str">
        <f>IF(OR(OrganisationalWasteTable[[#This Row],[RSD]]="", OrganisationalWasteTable[[#This Row],[Total emissions]]=""), "", OrganisationalWasteTable[[#This Row],[Total emissions]]*(1-OrganisationalWasteTable[[#This Row],[RSD]]))</f>
        <v/>
      </c>
      <c r="V23" s="357" t="str" cm="1">
        <f t="array" ref="V23">IF(OR($B23="",$G23="",$I23=""),"",(INDEX('Emission factors'!$K$3:$V$381,MATCH($B23&amp;$C23,'Emission factors'!$K$3:$K$381&amp;'Emission factors'!$L$3:$L$381,0),MATCH(V$7,'Emission factors'!$K$2:$V$2,0)))*$I23)</f>
        <v/>
      </c>
      <c r="W23" s="335"/>
      <c r="X23" s="1" cm="1">
        <f t="array" ref="X23">IF(OR(ISERROR(B23:V23)),1,0)</f>
        <v>0</v>
      </c>
      <c r="Y23" s="1">
        <f t="shared" si="1"/>
        <v>0</v>
      </c>
    </row>
    <row r="24" spans="2:25" ht="15" thickBot="1" x14ac:dyDescent="0.4">
      <c r="B24" s="198"/>
      <c r="C24" s="199"/>
      <c r="D24" s="6"/>
      <c r="E24" s="199"/>
      <c r="F24" s="179" t="str">
        <f>IF(E24="","",INDEX(Methodologytier,MATCH(B$50,Lists!$AZ$4:$AZ$32,0),MATCH(E24,Lists!$BA$3:$BC$3,0)))</f>
        <v/>
      </c>
      <c r="G24" s="148"/>
      <c r="H24" s="199"/>
      <c r="I24" s="38" t="str" cm="1">
        <f t="array" ref="I24">IF(OR($B24="",$C24="",H24=""),"",IF(H24=J24,G24,(INDEX('Emission factors'!$K$3:$V$381,MATCH($B24&amp;$C24,'Emission factors'!$K$3:$K$381&amp;'Emission factors'!$L$3:$L$381,0),MATCH($I$7,'Emission factors'!$K$2:$V$2,0)))*G24))</f>
        <v/>
      </c>
      <c r="J24" s="35" t="str" cm="1">
        <f t="array" ref="J24">IF(OR($B24="",$G24="",OrganisationalWasteTable[[#This Row],[Units]]=""),"",INDEX('Emission factors'!$K$3:$V$381,MATCH($B24&amp;$C24,'Emission factors'!$K$3:$K$381&amp;'Emission factors'!$L$3:$L$381,0),MATCH($J$7,'Emission factors'!$K$2:$V$2,0)))</f>
        <v/>
      </c>
      <c r="K24" s="379" t="str" cm="1">
        <f t="array" ref="K24">IF(OR(B24="",C24="",OrganisationalWasteTable[[#This Row],[Data]]=""),"",INDEX('Emission factors'!$K$3:$V$381,MATCH($B24&amp;$C24,'Emission factors'!$K$3:$K$381&amp;'Emission factors'!$L$3:$L$381,0),MATCH($K$7,'Emission factors'!$K$2:$V$2,0)))</f>
        <v/>
      </c>
      <c r="L24" s="38" t="str">
        <f>IF(OR(OrganisationalWasteTable[[#This Row],[Waste type]]="",OrganisationalWasteTable[[#This Row],[Converted data]]=""),"",SUM(OrganisationalWasteTable[[#This Row],[Direct]:[Indirect WTT]]))</f>
        <v/>
      </c>
      <c r="M24" s="201"/>
      <c r="N24" s="199"/>
      <c r="O24" s="298" t="str" cm="1">
        <f t="array" ref="O24">IF(OR($B24="",$G24="",$I24=""),"",(INDEX('Emission factors'!$K$3:$V$381,MATCH($B24&amp;$C24,'Emission factors'!$K$3:$K$381&amp;'Emission factors'!$L$3:$L$381,0),MATCH(O$7,'Emission factors'!$K$2:$V$2,0)))*$I24)</f>
        <v/>
      </c>
      <c r="P24" s="298" t="str" cm="1">
        <f t="array" ref="P24">IF(OR($B24="",$G24="",$I24=""),"",(INDEX('Emission factors'!$K$3:$V$381,MATCH($B24&amp;$C24,'Emission factors'!$K$3:$K$381&amp;'Emission factors'!$L$3:$L$381,0),MATCH(P$7,'Emission factors'!$K$2:$V$2,0)))*$I24)</f>
        <v/>
      </c>
      <c r="Q24" s="298" t="str" cm="1">
        <f t="array" ref="Q24">IF(OR($B24="",$G24="",$I24=""),"",(INDEX('Emission factors'!$K$3:$V$381,MATCH($B24&amp;$C24,'Emission factors'!$K$3:$K$381&amp;'Emission factors'!$L$3:$L$381,0),MATCH(Q$7,'Emission factors'!$K$2:$V$2,0)))*$I24)</f>
        <v/>
      </c>
      <c r="R24" s="298" t="str" cm="1">
        <f t="array" ref="R24">IF(OR($B24="",$G24="",$I24=""),"",(INDEX('Emission factors'!$K$3:$V$381,MATCH($B24&amp;$C24,'Emission factors'!$K$3:$K$381&amp;'Emission factors'!$L$3:$L$381,0),MATCH(R$7,'Emission factors'!$K$2:$V$2,0)))*$I24)</f>
        <v/>
      </c>
      <c r="S24" s="298" t="str" cm="1">
        <f t="array" ref="S24">IF(OR($B24="",$G24="",$I24=""),"",(INDEX('Emission factors'!$K$3:$V$381,MATCH($B24&amp;$C24,'Emission factors'!$K$3:$K$381&amp;'Emission factors'!$L$3:$L$381,0),MATCH(S$7,'Emission factors'!$K$2:$V$2,0)))*$I24)</f>
        <v/>
      </c>
      <c r="T24" s="299" t="str">
        <f t="shared" si="0"/>
        <v/>
      </c>
      <c r="U24" s="344" t="str">
        <f>IF(OR(OrganisationalWasteTable[[#This Row],[RSD]]="", OrganisationalWasteTable[[#This Row],[Total emissions]]=""), "", OrganisationalWasteTable[[#This Row],[Total emissions]]*(1-OrganisationalWasteTable[[#This Row],[RSD]]))</f>
        <v/>
      </c>
      <c r="V24" s="357" t="str" cm="1">
        <f t="array" ref="V24">IF(OR($B24="",$G24="",$I24=""),"",(INDEX('Emission factors'!$K$3:$V$381,MATCH($B24&amp;$C24,'Emission factors'!$K$3:$K$381&amp;'Emission factors'!$L$3:$L$381,0),MATCH(V$7,'Emission factors'!$K$2:$V$2,0)))*$I24)</f>
        <v/>
      </c>
      <c r="W24" s="335"/>
      <c r="X24" s="1" cm="1">
        <f t="array" ref="X24">IF(OR(ISERROR(B24:V24)),1,0)</f>
        <v>0</v>
      </c>
      <c r="Y24" s="1">
        <f t="shared" si="1"/>
        <v>0</v>
      </c>
    </row>
    <row r="25" spans="2:25" ht="15" thickBot="1" x14ac:dyDescent="0.4">
      <c r="B25" s="198"/>
      <c r="C25" s="199"/>
      <c r="D25" s="6"/>
      <c r="E25" s="199"/>
      <c r="F25" s="179" t="str">
        <f>IF(E25="","",INDEX(Methodologytier,MATCH(B$50,Lists!$AZ$4:$AZ$32,0),MATCH(E25,Lists!$BA$3:$BC$3,0)))</f>
        <v/>
      </c>
      <c r="G25" s="148"/>
      <c r="H25" s="199"/>
      <c r="I25" s="38" t="str" cm="1">
        <f t="array" ref="I25">IF(OR($B25="",$C25="",H25=""),"",IF(H25=J25,G25,(INDEX('Emission factors'!$K$3:$V$381,MATCH($B25&amp;$C25,'Emission factors'!$K$3:$K$381&amp;'Emission factors'!$L$3:$L$381,0),MATCH($I$7,'Emission factors'!$K$2:$V$2,0)))*G25))</f>
        <v/>
      </c>
      <c r="J25" s="35" t="str" cm="1">
        <f t="array" ref="J25">IF(OR($B25="",$G25="",OrganisationalWasteTable[[#This Row],[Units]]=""),"",INDEX('Emission factors'!$K$3:$V$381,MATCH($B25&amp;$C25,'Emission factors'!$K$3:$K$381&amp;'Emission factors'!$L$3:$L$381,0),MATCH($J$7,'Emission factors'!$K$2:$V$2,0)))</f>
        <v/>
      </c>
      <c r="K25" s="379" t="str" cm="1">
        <f t="array" ref="K25">IF(OR(B25="",C25="",OrganisationalWasteTable[[#This Row],[Data]]=""),"",INDEX('Emission factors'!$K$3:$V$381,MATCH($B25&amp;$C25,'Emission factors'!$K$3:$K$381&amp;'Emission factors'!$L$3:$L$381,0),MATCH($K$7,'Emission factors'!$K$2:$V$2,0)))</f>
        <v/>
      </c>
      <c r="L25" s="38" t="str">
        <f>IF(OR(OrganisationalWasteTable[[#This Row],[Waste type]]="",OrganisationalWasteTable[[#This Row],[Converted data]]=""),"",SUM(OrganisationalWasteTable[[#This Row],[Direct]:[Indirect WTT]]))</f>
        <v/>
      </c>
      <c r="M25" s="201"/>
      <c r="N25" s="199"/>
      <c r="O25" s="298" t="str" cm="1">
        <f t="array" ref="O25">IF(OR($B25="",$G25="",$I25=""),"",(INDEX('Emission factors'!$K$3:$V$381,MATCH($B25&amp;$C25,'Emission factors'!$K$3:$K$381&amp;'Emission factors'!$L$3:$L$381,0),MATCH(O$7,'Emission factors'!$K$2:$V$2,0)))*$I25)</f>
        <v/>
      </c>
      <c r="P25" s="298" t="str" cm="1">
        <f t="array" ref="P25">IF(OR($B25="",$G25="",$I25=""),"",(INDEX('Emission factors'!$K$3:$V$381,MATCH($B25&amp;$C25,'Emission factors'!$K$3:$K$381&amp;'Emission factors'!$L$3:$L$381,0),MATCH(P$7,'Emission factors'!$K$2:$V$2,0)))*$I25)</f>
        <v/>
      </c>
      <c r="Q25" s="298" t="str" cm="1">
        <f t="array" ref="Q25">IF(OR($B25="",$G25="",$I25=""),"",(INDEX('Emission factors'!$K$3:$V$381,MATCH($B25&amp;$C25,'Emission factors'!$K$3:$K$381&amp;'Emission factors'!$L$3:$L$381,0),MATCH(Q$7,'Emission factors'!$K$2:$V$2,0)))*$I25)</f>
        <v/>
      </c>
      <c r="R25" s="298" t="str" cm="1">
        <f t="array" ref="R25">IF(OR($B25="",$G25="",$I25=""),"",(INDEX('Emission factors'!$K$3:$V$381,MATCH($B25&amp;$C25,'Emission factors'!$K$3:$K$381&amp;'Emission factors'!$L$3:$L$381,0),MATCH(R$7,'Emission factors'!$K$2:$V$2,0)))*$I25)</f>
        <v/>
      </c>
      <c r="S25" s="298" t="str" cm="1">
        <f t="array" ref="S25">IF(OR($B25="",$G25="",$I25=""),"",(INDEX('Emission factors'!$K$3:$V$381,MATCH($B25&amp;$C25,'Emission factors'!$K$3:$K$381&amp;'Emission factors'!$L$3:$L$381,0),MATCH(S$7,'Emission factors'!$K$2:$V$2,0)))*$I25)</f>
        <v/>
      </c>
      <c r="T25" s="299" t="str">
        <f t="shared" si="0"/>
        <v/>
      </c>
      <c r="U25" s="344" t="str">
        <f>IF(OR(OrganisationalWasteTable[[#This Row],[RSD]]="", OrganisationalWasteTable[[#This Row],[Total emissions]]=""), "", OrganisationalWasteTable[[#This Row],[Total emissions]]*(1-OrganisationalWasteTable[[#This Row],[RSD]]))</f>
        <v/>
      </c>
      <c r="V25" s="357" t="str" cm="1">
        <f t="array" ref="V25">IF(OR($B25="",$G25="",$I25=""),"",(INDEX('Emission factors'!$K$3:$V$381,MATCH($B25&amp;$C25,'Emission factors'!$K$3:$K$381&amp;'Emission factors'!$L$3:$L$381,0),MATCH(V$7,'Emission factors'!$K$2:$V$2,0)))*$I25)</f>
        <v/>
      </c>
      <c r="W25" s="335"/>
      <c r="X25" s="1" cm="1">
        <f t="array" ref="X25">IF(OR(ISERROR(B25:V25)),1,0)</f>
        <v>0</v>
      </c>
      <c r="Y25" s="1">
        <f t="shared" si="1"/>
        <v>0</v>
      </c>
    </row>
    <row r="26" spans="2:25" ht="15" thickBot="1" x14ac:dyDescent="0.4">
      <c r="B26" s="198"/>
      <c r="C26" s="199"/>
      <c r="D26" s="6"/>
      <c r="E26" s="199"/>
      <c r="F26" s="179" t="str">
        <f>IF(E26="","",INDEX(Methodologytier,MATCH(B$50,Lists!$AZ$4:$AZ$32,0),MATCH(E26,Lists!$BA$3:$BC$3,0)))</f>
        <v/>
      </c>
      <c r="G26" s="148"/>
      <c r="H26" s="199"/>
      <c r="I26" s="38" t="str" cm="1">
        <f t="array" ref="I26">IF(OR($B26="",$C26="",H26=""),"",IF(H26=J26,G26,(INDEX('Emission factors'!$K$3:$V$381,MATCH($B26&amp;$C26,'Emission factors'!$K$3:$K$381&amp;'Emission factors'!$L$3:$L$381,0),MATCH($I$7,'Emission factors'!$K$2:$V$2,0)))*G26))</f>
        <v/>
      </c>
      <c r="J26" s="35" t="str" cm="1">
        <f t="array" ref="J26">IF(OR($B26="",$G26="",OrganisationalWasteTable[[#This Row],[Units]]=""),"",INDEX('Emission factors'!$K$3:$V$381,MATCH($B26&amp;$C26,'Emission factors'!$K$3:$K$381&amp;'Emission factors'!$L$3:$L$381,0),MATCH($J$7,'Emission factors'!$K$2:$V$2,0)))</f>
        <v/>
      </c>
      <c r="K26" s="379" t="str" cm="1">
        <f t="array" ref="K26">IF(OR(B26="",C26="",OrganisationalWasteTable[[#This Row],[Data]]=""),"",INDEX('Emission factors'!$K$3:$V$381,MATCH($B26&amp;$C26,'Emission factors'!$K$3:$K$381&amp;'Emission factors'!$L$3:$L$381,0),MATCH($K$7,'Emission factors'!$K$2:$V$2,0)))</f>
        <v/>
      </c>
      <c r="L26" s="38" t="str">
        <f>IF(OR(OrganisationalWasteTable[[#This Row],[Waste type]]="",OrganisationalWasteTable[[#This Row],[Converted data]]=""),"",SUM(OrganisationalWasteTable[[#This Row],[Direct]:[Indirect WTT]]))</f>
        <v/>
      </c>
      <c r="M26" s="201"/>
      <c r="N26" s="199"/>
      <c r="O26" s="298" t="str" cm="1">
        <f t="array" ref="O26">IF(OR($B26="",$G26="",$I26=""),"",(INDEX('Emission factors'!$K$3:$V$381,MATCH($B26&amp;$C26,'Emission factors'!$K$3:$K$381&amp;'Emission factors'!$L$3:$L$381,0),MATCH(O$7,'Emission factors'!$K$2:$V$2,0)))*$I26)</f>
        <v/>
      </c>
      <c r="P26" s="298" t="str" cm="1">
        <f t="array" ref="P26">IF(OR($B26="",$G26="",$I26=""),"",(INDEX('Emission factors'!$K$3:$V$381,MATCH($B26&amp;$C26,'Emission factors'!$K$3:$K$381&amp;'Emission factors'!$L$3:$L$381,0),MATCH(P$7,'Emission factors'!$K$2:$V$2,0)))*$I26)</f>
        <v/>
      </c>
      <c r="Q26" s="298" t="str" cm="1">
        <f t="array" ref="Q26">IF(OR($B26="",$G26="",$I26=""),"",(INDEX('Emission factors'!$K$3:$V$381,MATCH($B26&amp;$C26,'Emission factors'!$K$3:$K$381&amp;'Emission factors'!$L$3:$L$381,0),MATCH(Q$7,'Emission factors'!$K$2:$V$2,0)))*$I26)</f>
        <v/>
      </c>
      <c r="R26" s="298" t="str" cm="1">
        <f t="array" ref="R26">IF(OR($B26="",$G26="",$I26=""),"",(INDEX('Emission factors'!$K$3:$V$381,MATCH($B26&amp;$C26,'Emission factors'!$K$3:$K$381&amp;'Emission factors'!$L$3:$L$381,0),MATCH(R$7,'Emission factors'!$K$2:$V$2,0)))*$I26)</f>
        <v/>
      </c>
      <c r="S26" s="298" t="str" cm="1">
        <f t="array" ref="S26">IF(OR($B26="",$G26="",$I26=""),"",(INDEX('Emission factors'!$K$3:$V$381,MATCH($B26&amp;$C26,'Emission factors'!$K$3:$K$381&amp;'Emission factors'!$L$3:$L$381,0),MATCH(S$7,'Emission factors'!$K$2:$V$2,0)))*$I26)</f>
        <v/>
      </c>
      <c r="T26" s="299" t="str">
        <f t="shared" si="0"/>
        <v/>
      </c>
      <c r="U26" s="344" t="str">
        <f>IF(OR(OrganisationalWasteTable[[#This Row],[RSD]]="", OrganisationalWasteTable[[#This Row],[Total emissions]]=""), "", OrganisationalWasteTable[[#This Row],[Total emissions]]*(1-OrganisationalWasteTable[[#This Row],[RSD]]))</f>
        <v/>
      </c>
      <c r="V26" s="357" t="str" cm="1">
        <f t="array" ref="V26">IF(OR($B26="",$G26="",$I26=""),"",(INDEX('Emission factors'!$K$3:$V$381,MATCH($B26&amp;$C26,'Emission factors'!$K$3:$K$381&amp;'Emission factors'!$L$3:$L$381,0),MATCH(V$7,'Emission factors'!$K$2:$V$2,0)))*$I26)</f>
        <v/>
      </c>
      <c r="W26" s="335"/>
      <c r="X26" s="1" cm="1">
        <f t="array" ref="X26">IF(OR(ISERROR(B26:V26)),1,0)</f>
        <v>0</v>
      </c>
      <c r="Y26" s="1">
        <f t="shared" si="1"/>
        <v>0</v>
      </c>
    </row>
    <row r="27" spans="2:25" ht="15" thickBot="1" x14ac:dyDescent="0.4">
      <c r="B27" s="198"/>
      <c r="C27" s="199"/>
      <c r="D27" s="6"/>
      <c r="E27" s="199"/>
      <c r="F27" s="179" t="str">
        <f>IF(E27="","",INDEX(Methodologytier,MATCH(B$50,Lists!$AZ$4:$AZ$32,0),MATCH(E27,Lists!$BA$3:$BC$3,0)))</f>
        <v/>
      </c>
      <c r="G27" s="148"/>
      <c r="H27" s="199"/>
      <c r="I27" s="38" t="str" cm="1">
        <f t="array" ref="I27">IF(OR($B27="",$C27="",H27=""),"",IF(H27=J27,G27,(INDEX('Emission factors'!$K$3:$V$381,MATCH($B27&amp;$C27,'Emission factors'!$K$3:$K$381&amp;'Emission factors'!$L$3:$L$381,0),MATCH($I$7,'Emission factors'!$K$2:$V$2,0)))*G27))</f>
        <v/>
      </c>
      <c r="J27" s="35" t="str" cm="1">
        <f t="array" ref="J27">IF(OR($B27="",$G27="",OrganisationalWasteTable[[#This Row],[Units]]=""),"",INDEX('Emission factors'!$K$3:$V$381,MATCH($B27&amp;$C27,'Emission factors'!$K$3:$K$381&amp;'Emission factors'!$L$3:$L$381,0),MATCH($J$7,'Emission factors'!$K$2:$V$2,0)))</f>
        <v/>
      </c>
      <c r="K27" s="379" t="str" cm="1">
        <f t="array" ref="K27">IF(OR(B27="",C27="",OrganisationalWasteTable[[#This Row],[Data]]=""),"",INDEX('Emission factors'!$K$3:$V$381,MATCH($B27&amp;$C27,'Emission factors'!$K$3:$K$381&amp;'Emission factors'!$L$3:$L$381,0),MATCH($K$7,'Emission factors'!$K$2:$V$2,0)))</f>
        <v/>
      </c>
      <c r="L27" s="38" t="str">
        <f>IF(OR(OrganisationalWasteTable[[#This Row],[Waste type]]="",OrganisationalWasteTable[[#This Row],[Converted data]]=""),"",SUM(OrganisationalWasteTable[[#This Row],[Direct]:[Indirect WTT]]))</f>
        <v/>
      </c>
      <c r="M27" s="201"/>
      <c r="N27" s="199"/>
      <c r="O27" s="298" t="str" cm="1">
        <f t="array" ref="O27">IF(OR($B27="",$G27="",$I27=""),"",(INDEX('Emission factors'!$K$3:$V$381,MATCH($B27&amp;$C27,'Emission factors'!$K$3:$K$381&amp;'Emission factors'!$L$3:$L$381,0),MATCH(O$7,'Emission factors'!$K$2:$V$2,0)))*$I27)</f>
        <v/>
      </c>
      <c r="P27" s="298" t="str" cm="1">
        <f t="array" ref="P27">IF(OR($B27="",$G27="",$I27=""),"",(INDEX('Emission factors'!$K$3:$V$381,MATCH($B27&amp;$C27,'Emission factors'!$K$3:$K$381&amp;'Emission factors'!$L$3:$L$381,0),MATCH(P$7,'Emission factors'!$K$2:$V$2,0)))*$I27)</f>
        <v/>
      </c>
      <c r="Q27" s="298" t="str" cm="1">
        <f t="array" ref="Q27">IF(OR($B27="",$G27="",$I27=""),"",(INDEX('Emission factors'!$K$3:$V$381,MATCH($B27&amp;$C27,'Emission factors'!$K$3:$K$381&amp;'Emission factors'!$L$3:$L$381,0),MATCH(Q$7,'Emission factors'!$K$2:$V$2,0)))*$I27)</f>
        <v/>
      </c>
      <c r="R27" s="298" t="str" cm="1">
        <f t="array" ref="R27">IF(OR($B27="",$G27="",$I27=""),"",(INDEX('Emission factors'!$K$3:$V$381,MATCH($B27&amp;$C27,'Emission factors'!$K$3:$K$381&amp;'Emission factors'!$L$3:$L$381,0),MATCH(R$7,'Emission factors'!$K$2:$V$2,0)))*$I27)</f>
        <v/>
      </c>
      <c r="S27" s="298" t="str" cm="1">
        <f t="array" ref="S27">IF(OR($B27="",$G27="",$I27=""),"",(INDEX('Emission factors'!$K$3:$V$381,MATCH($B27&amp;$C27,'Emission factors'!$K$3:$K$381&amp;'Emission factors'!$L$3:$L$381,0),MATCH(S$7,'Emission factors'!$K$2:$V$2,0)))*$I27)</f>
        <v/>
      </c>
      <c r="T27" s="299" t="str">
        <f t="shared" si="0"/>
        <v/>
      </c>
      <c r="U27" s="344" t="str">
        <f>IF(OR(OrganisationalWasteTable[[#This Row],[RSD]]="", OrganisationalWasteTable[[#This Row],[Total emissions]]=""), "", OrganisationalWasteTable[[#This Row],[Total emissions]]*(1-OrganisationalWasteTable[[#This Row],[RSD]]))</f>
        <v/>
      </c>
      <c r="V27" s="357" t="str" cm="1">
        <f t="array" ref="V27">IF(OR($B27="",$G27="",$I27=""),"",(INDEX('Emission factors'!$K$3:$V$381,MATCH($B27&amp;$C27,'Emission factors'!$K$3:$K$381&amp;'Emission factors'!$L$3:$L$381,0),MATCH(V$7,'Emission factors'!$K$2:$V$2,0)))*$I27)</f>
        <v/>
      </c>
      <c r="W27" s="335"/>
      <c r="X27" s="1" cm="1">
        <f t="array" ref="X27">IF(OR(ISERROR(B27:V27)),1,0)</f>
        <v>0</v>
      </c>
      <c r="Y27" s="1">
        <f t="shared" si="1"/>
        <v>0</v>
      </c>
    </row>
    <row r="28" spans="2:25" ht="15" thickBot="1" x14ac:dyDescent="0.4">
      <c r="B28" s="198"/>
      <c r="C28" s="199"/>
      <c r="D28" s="6"/>
      <c r="E28" s="199"/>
      <c r="F28" s="179" t="str">
        <f>IF(E28="","",INDEX(Methodologytier,MATCH(B$50,Lists!$AZ$4:$AZ$32,0),MATCH(E28,Lists!$BA$3:$BC$3,0)))</f>
        <v/>
      </c>
      <c r="G28" s="148"/>
      <c r="H28" s="199"/>
      <c r="I28" s="38" t="str" cm="1">
        <f t="array" ref="I28">IF(OR($B28="",$C28="",H28=""),"",IF(H28=J28,G28,(INDEX('Emission factors'!$K$3:$V$381,MATCH($B28&amp;$C28,'Emission factors'!$K$3:$K$381&amp;'Emission factors'!$L$3:$L$381,0),MATCH($I$7,'Emission factors'!$K$2:$V$2,0)))*G28))</f>
        <v/>
      </c>
      <c r="J28" s="35" t="str" cm="1">
        <f t="array" ref="J28">IF(OR($B28="",$G28="",OrganisationalWasteTable[[#This Row],[Units]]=""),"",INDEX('Emission factors'!$K$3:$V$381,MATCH($B28&amp;$C28,'Emission factors'!$K$3:$K$381&amp;'Emission factors'!$L$3:$L$381,0),MATCH($J$7,'Emission factors'!$K$2:$V$2,0)))</f>
        <v/>
      </c>
      <c r="K28" s="379" t="str" cm="1">
        <f t="array" ref="K28">IF(OR(B28="",C28="",OrganisationalWasteTable[[#This Row],[Data]]=""),"",INDEX('Emission factors'!$K$3:$V$381,MATCH($B28&amp;$C28,'Emission factors'!$K$3:$K$381&amp;'Emission factors'!$L$3:$L$381,0),MATCH($K$7,'Emission factors'!$K$2:$V$2,0)))</f>
        <v/>
      </c>
      <c r="L28" s="38" t="str">
        <f>IF(OR(OrganisationalWasteTable[[#This Row],[Waste type]]="",OrganisationalWasteTable[[#This Row],[Converted data]]=""),"",SUM(OrganisationalWasteTable[[#This Row],[Direct]:[Indirect WTT]]))</f>
        <v/>
      </c>
      <c r="M28" s="201"/>
      <c r="N28" s="199"/>
      <c r="O28" s="298" t="str" cm="1">
        <f t="array" ref="O28">IF(OR($B28="",$G28="",$I28=""),"",(INDEX('Emission factors'!$K$3:$V$381,MATCH($B28&amp;$C28,'Emission factors'!$K$3:$K$381&amp;'Emission factors'!$L$3:$L$381,0),MATCH(O$7,'Emission factors'!$K$2:$V$2,0)))*$I28)</f>
        <v/>
      </c>
      <c r="P28" s="298" t="str" cm="1">
        <f t="array" ref="P28">IF(OR($B28="",$G28="",$I28=""),"",(INDEX('Emission factors'!$K$3:$V$381,MATCH($B28&amp;$C28,'Emission factors'!$K$3:$K$381&amp;'Emission factors'!$L$3:$L$381,0),MATCH(P$7,'Emission factors'!$K$2:$V$2,0)))*$I28)</f>
        <v/>
      </c>
      <c r="Q28" s="298" t="str" cm="1">
        <f t="array" ref="Q28">IF(OR($B28="",$G28="",$I28=""),"",(INDEX('Emission factors'!$K$3:$V$381,MATCH($B28&amp;$C28,'Emission factors'!$K$3:$K$381&amp;'Emission factors'!$L$3:$L$381,0),MATCH(Q$7,'Emission factors'!$K$2:$V$2,0)))*$I28)</f>
        <v/>
      </c>
      <c r="R28" s="298" t="str" cm="1">
        <f t="array" ref="R28">IF(OR($B28="",$G28="",$I28=""),"",(INDEX('Emission factors'!$K$3:$V$381,MATCH($B28&amp;$C28,'Emission factors'!$K$3:$K$381&amp;'Emission factors'!$L$3:$L$381,0),MATCH(R$7,'Emission factors'!$K$2:$V$2,0)))*$I28)</f>
        <v/>
      </c>
      <c r="S28" s="298" t="str" cm="1">
        <f t="array" ref="S28">IF(OR($B28="",$G28="",$I28=""),"",(INDEX('Emission factors'!$K$3:$V$381,MATCH($B28&amp;$C28,'Emission factors'!$K$3:$K$381&amp;'Emission factors'!$L$3:$L$381,0),MATCH(S$7,'Emission factors'!$K$2:$V$2,0)))*$I28)</f>
        <v/>
      </c>
      <c r="T28" s="299" t="str">
        <f t="shared" si="0"/>
        <v/>
      </c>
      <c r="U28" s="344" t="str">
        <f>IF(OR(OrganisationalWasteTable[[#This Row],[RSD]]="", OrganisationalWasteTable[[#This Row],[Total emissions]]=""), "", OrganisationalWasteTable[[#This Row],[Total emissions]]*(1-OrganisationalWasteTable[[#This Row],[RSD]]))</f>
        <v/>
      </c>
      <c r="V28" s="357" t="str" cm="1">
        <f t="array" ref="V28">IF(OR($B28="",$G28="",$I28=""),"",(INDEX('Emission factors'!$K$3:$V$381,MATCH($B28&amp;$C28,'Emission factors'!$K$3:$K$381&amp;'Emission factors'!$L$3:$L$381,0),MATCH(V$7,'Emission factors'!$K$2:$V$2,0)))*$I28)</f>
        <v/>
      </c>
      <c r="W28" s="335"/>
      <c r="X28" s="1" cm="1">
        <f t="array" ref="X28">IF(OR(ISERROR(B28:V28)),1,0)</f>
        <v>0</v>
      </c>
      <c r="Y28" s="1">
        <f t="shared" si="1"/>
        <v>0</v>
      </c>
    </row>
    <row r="29" spans="2:25" ht="15" thickBot="1" x14ac:dyDescent="0.4">
      <c r="B29" s="198"/>
      <c r="C29" s="199"/>
      <c r="D29" s="6"/>
      <c r="E29" s="199"/>
      <c r="F29" s="179" t="str">
        <f>IF(E29="","",INDEX(Methodologytier,MATCH(B$50,Lists!$AZ$4:$AZ$32,0),MATCH(E29,Lists!$BA$3:$BC$3,0)))</f>
        <v/>
      </c>
      <c r="G29" s="148"/>
      <c r="H29" s="199"/>
      <c r="I29" s="38" t="str" cm="1">
        <f t="array" ref="I29">IF(OR($B29="",$C29="",H29=""),"",IF(H29=J29,G29,(INDEX('Emission factors'!$K$3:$V$381,MATCH($B29&amp;$C29,'Emission factors'!$K$3:$K$381&amp;'Emission factors'!$L$3:$L$381,0),MATCH($I$7,'Emission factors'!$K$2:$V$2,0)))*G29))</f>
        <v/>
      </c>
      <c r="J29" s="35" t="str" cm="1">
        <f t="array" ref="J29">IF(OR($B29="",$G29="",OrganisationalWasteTable[[#This Row],[Units]]=""),"",INDEX('Emission factors'!$K$3:$V$381,MATCH($B29&amp;$C29,'Emission factors'!$K$3:$K$381&amp;'Emission factors'!$L$3:$L$381,0),MATCH($J$7,'Emission factors'!$K$2:$V$2,0)))</f>
        <v/>
      </c>
      <c r="K29" s="379" t="str" cm="1">
        <f t="array" ref="K29">IF(OR(B29="",C29="",OrganisationalWasteTable[[#This Row],[Data]]=""),"",INDEX('Emission factors'!$K$3:$V$381,MATCH($B29&amp;$C29,'Emission factors'!$K$3:$K$381&amp;'Emission factors'!$L$3:$L$381,0),MATCH($K$7,'Emission factors'!$K$2:$V$2,0)))</f>
        <v/>
      </c>
      <c r="L29" s="38" t="str">
        <f>IF(OR(OrganisationalWasteTable[[#This Row],[Waste type]]="",OrganisationalWasteTable[[#This Row],[Converted data]]=""),"",SUM(OrganisationalWasteTable[[#This Row],[Direct]:[Indirect WTT]]))</f>
        <v/>
      </c>
      <c r="M29" s="201"/>
      <c r="N29" s="199"/>
      <c r="O29" s="298" t="str" cm="1">
        <f t="array" ref="O29">IF(OR($B29="",$G29="",$I29=""),"",(INDEX('Emission factors'!$K$3:$V$381,MATCH($B29&amp;$C29,'Emission factors'!$K$3:$K$381&amp;'Emission factors'!$L$3:$L$381,0),MATCH(O$7,'Emission factors'!$K$2:$V$2,0)))*$I29)</f>
        <v/>
      </c>
      <c r="P29" s="298" t="str" cm="1">
        <f t="array" ref="P29">IF(OR($B29="",$G29="",$I29=""),"",(INDEX('Emission factors'!$K$3:$V$381,MATCH($B29&amp;$C29,'Emission factors'!$K$3:$K$381&amp;'Emission factors'!$L$3:$L$381,0),MATCH(P$7,'Emission factors'!$K$2:$V$2,0)))*$I29)</f>
        <v/>
      </c>
      <c r="Q29" s="298" t="str" cm="1">
        <f t="array" ref="Q29">IF(OR($B29="",$G29="",$I29=""),"",(INDEX('Emission factors'!$K$3:$V$381,MATCH($B29&amp;$C29,'Emission factors'!$K$3:$K$381&amp;'Emission factors'!$L$3:$L$381,0),MATCH(Q$7,'Emission factors'!$K$2:$V$2,0)))*$I29)</f>
        <v/>
      </c>
      <c r="R29" s="298" t="str" cm="1">
        <f t="array" ref="R29">IF(OR($B29="",$G29="",$I29=""),"",(INDEX('Emission factors'!$K$3:$V$381,MATCH($B29&amp;$C29,'Emission factors'!$K$3:$K$381&amp;'Emission factors'!$L$3:$L$381,0),MATCH(R$7,'Emission factors'!$K$2:$V$2,0)))*$I29)</f>
        <v/>
      </c>
      <c r="S29" s="298" t="str" cm="1">
        <f t="array" ref="S29">IF(OR($B29="",$G29="",$I29=""),"",(INDEX('Emission factors'!$K$3:$V$381,MATCH($B29&amp;$C29,'Emission factors'!$K$3:$K$381&amp;'Emission factors'!$L$3:$L$381,0),MATCH(S$7,'Emission factors'!$K$2:$V$2,0)))*$I29)</f>
        <v/>
      </c>
      <c r="T29" s="299" t="str">
        <f t="shared" si="0"/>
        <v/>
      </c>
      <c r="U29" s="344" t="str">
        <f>IF(OR(OrganisationalWasteTable[[#This Row],[RSD]]="", OrganisationalWasteTable[[#This Row],[Total emissions]]=""), "", OrganisationalWasteTable[[#This Row],[Total emissions]]*(1-OrganisationalWasteTable[[#This Row],[RSD]]))</f>
        <v/>
      </c>
      <c r="V29" s="357" t="str" cm="1">
        <f t="array" ref="V29">IF(OR($B29="",$G29="",$I29=""),"",(INDEX('Emission factors'!$K$3:$V$381,MATCH($B29&amp;$C29,'Emission factors'!$K$3:$K$381&amp;'Emission factors'!$L$3:$L$381,0),MATCH(V$7,'Emission factors'!$K$2:$V$2,0)))*$I29)</f>
        <v/>
      </c>
      <c r="W29" s="335"/>
      <c r="X29" s="1" cm="1">
        <f t="array" ref="X29">IF(OR(ISERROR(B29:V29)),1,0)</f>
        <v>0</v>
      </c>
      <c r="Y29" s="1">
        <f t="shared" si="1"/>
        <v>0</v>
      </c>
    </row>
    <row r="30" spans="2:25" ht="15" thickBot="1" x14ac:dyDescent="0.4">
      <c r="B30" s="198"/>
      <c r="C30" s="199"/>
      <c r="D30" s="6"/>
      <c r="E30" s="199"/>
      <c r="F30" s="179" t="str">
        <f>IF(E30="","",INDEX(Methodologytier,MATCH(B$50,Lists!$AZ$4:$AZ$32,0),MATCH(E30,Lists!$BA$3:$BC$3,0)))</f>
        <v/>
      </c>
      <c r="G30" s="148"/>
      <c r="H30" s="199"/>
      <c r="I30" s="38" t="str" cm="1">
        <f t="array" ref="I30">IF(OR($B30="",$C30="",H30=""),"",IF(H30=J30,G30,(INDEX('Emission factors'!$K$3:$V$381,MATCH($B30&amp;$C30,'Emission factors'!$K$3:$K$381&amp;'Emission factors'!$L$3:$L$381,0),MATCH($I$7,'Emission factors'!$K$2:$V$2,0)))*G30))</f>
        <v/>
      </c>
      <c r="J30" s="35" t="str" cm="1">
        <f t="array" ref="J30">IF(OR($B30="",$G30="",OrganisationalWasteTable[[#This Row],[Units]]=""),"",INDEX('Emission factors'!$K$3:$V$381,MATCH($B30&amp;$C30,'Emission factors'!$K$3:$K$381&amp;'Emission factors'!$L$3:$L$381,0),MATCH($J$7,'Emission factors'!$K$2:$V$2,0)))</f>
        <v/>
      </c>
      <c r="K30" s="379" t="str" cm="1">
        <f t="array" ref="K30">IF(OR(B30="",C30="",OrganisationalWasteTable[[#This Row],[Data]]=""),"",INDEX('Emission factors'!$K$3:$V$381,MATCH($B30&amp;$C30,'Emission factors'!$K$3:$K$381&amp;'Emission factors'!$L$3:$L$381,0),MATCH($K$7,'Emission factors'!$K$2:$V$2,0)))</f>
        <v/>
      </c>
      <c r="L30" s="38" t="str">
        <f>IF(OR(OrganisationalWasteTable[[#This Row],[Waste type]]="",OrganisationalWasteTable[[#This Row],[Converted data]]=""),"",SUM(OrganisationalWasteTable[[#This Row],[Direct]:[Indirect WTT]]))</f>
        <v/>
      </c>
      <c r="M30" s="201"/>
      <c r="N30" s="199"/>
      <c r="O30" s="298" t="str" cm="1">
        <f t="array" ref="O30">IF(OR($B30="",$G30="",$I30=""),"",(INDEX('Emission factors'!$K$3:$V$381,MATCH($B30&amp;$C30,'Emission factors'!$K$3:$K$381&amp;'Emission factors'!$L$3:$L$381,0),MATCH(O$7,'Emission factors'!$K$2:$V$2,0)))*$I30)</f>
        <v/>
      </c>
      <c r="P30" s="298" t="str" cm="1">
        <f t="array" ref="P30">IF(OR($B30="",$G30="",$I30=""),"",(INDEX('Emission factors'!$K$3:$V$381,MATCH($B30&amp;$C30,'Emission factors'!$K$3:$K$381&amp;'Emission factors'!$L$3:$L$381,0),MATCH(P$7,'Emission factors'!$K$2:$V$2,0)))*$I30)</f>
        <v/>
      </c>
      <c r="Q30" s="298" t="str" cm="1">
        <f t="array" ref="Q30">IF(OR($B30="",$G30="",$I30=""),"",(INDEX('Emission factors'!$K$3:$V$381,MATCH($B30&amp;$C30,'Emission factors'!$K$3:$K$381&amp;'Emission factors'!$L$3:$L$381,0),MATCH(Q$7,'Emission factors'!$K$2:$V$2,0)))*$I30)</f>
        <v/>
      </c>
      <c r="R30" s="298" t="str" cm="1">
        <f t="array" ref="R30">IF(OR($B30="",$G30="",$I30=""),"",(INDEX('Emission factors'!$K$3:$V$381,MATCH($B30&amp;$C30,'Emission factors'!$K$3:$K$381&amp;'Emission factors'!$L$3:$L$381,0),MATCH(R$7,'Emission factors'!$K$2:$V$2,0)))*$I30)</f>
        <v/>
      </c>
      <c r="S30" s="298" t="str" cm="1">
        <f t="array" ref="S30">IF(OR($B30="",$G30="",$I30=""),"",(INDEX('Emission factors'!$K$3:$V$381,MATCH($B30&amp;$C30,'Emission factors'!$K$3:$K$381&amp;'Emission factors'!$L$3:$L$381,0),MATCH(S$7,'Emission factors'!$K$2:$V$2,0)))*$I30)</f>
        <v/>
      </c>
      <c r="T30" s="299" t="str">
        <f t="shared" si="0"/>
        <v/>
      </c>
      <c r="U30" s="344" t="str">
        <f>IF(OR(OrganisationalWasteTable[[#This Row],[RSD]]="", OrganisationalWasteTable[[#This Row],[Total emissions]]=""), "", OrganisationalWasteTable[[#This Row],[Total emissions]]*(1-OrganisationalWasteTable[[#This Row],[RSD]]))</f>
        <v/>
      </c>
      <c r="V30" s="357" t="str" cm="1">
        <f t="array" ref="V30">IF(OR($B30="",$G30="",$I30=""),"",(INDEX('Emission factors'!$K$3:$V$381,MATCH($B30&amp;$C30,'Emission factors'!$K$3:$K$381&amp;'Emission factors'!$L$3:$L$381,0),MATCH(V$7,'Emission factors'!$K$2:$V$2,0)))*$I30)</f>
        <v/>
      </c>
      <c r="W30" s="335"/>
      <c r="X30" s="1" cm="1">
        <f t="array" ref="X30">IF(OR(ISERROR(B30:V30)),1,0)</f>
        <v>0</v>
      </c>
      <c r="Y30" s="1">
        <f t="shared" si="1"/>
        <v>0</v>
      </c>
    </row>
    <row r="31" spans="2:25" ht="15" thickBot="1" x14ac:dyDescent="0.4">
      <c r="B31" s="198"/>
      <c r="C31" s="199"/>
      <c r="D31" s="6"/>
      <c r="E31" s="199"/>
      <c r="F31" s="179" t="str">
        <f>IF(E31="","",INDEX(Methodologytier,MATCH(B$50,Lists!$AZ$4:$AZ$32,0),MATCH(E31,Lists!$BA$3:$BC$3,0)))</f>
        <v/>
      </c>
      <c r="G31" s="148"/>
      <c r="H31" s="199"/>
      <c r="I31" s="38" t="str" cm="1">
        <f t="array" ref="I31">IF(OR($B31="",$C31="",H31=""),"",IF(H31=J31,G31,(INDEX('Emission factors'!$K$3:$V$381,MATCH($B31&amp;$C31,'Emission factors'!$K$3:$K$381&amp;'Emission factors'!$L$3:$L$381,0),MATCH($I$7,'Emission factors'!$K$2:$V$2,0)))*G31))</f>
        <v/>
      </c>
      <c r="J31" s="35" t="str" cm="1">
        <f t="array" ref="J31">IF(OR($B31="",$G31="",OrganisationalWasteTable[[#This Row],[Units]]=""),"",INDEX('Emission factors'!$K$3:$V$381,MATCH($B31&amp;$C31,'Emission factors'!$K$3:$K$381&amp;'Emission factors'!$L$3:$L$381,0),MATCH($J$7,'Emission factors'!$K$2:$V$2,0)))</f>
        <v/>
      </c>
      <c r="K31" s="379" t="str" cm="1">
        <f t="array" ref="K31">IF(OR(B31="",C31="",OrganisationalWasteTable[[#This Row],[Data]]=""),"",INDEX('Emission factors'!$K$3:$V$381,MATCH($B31&amp;$C31,'Emission factors'!$K$3:$K$381&amp;'Emission factors'!$L$3:$L$381,0),MATCH($K$7,'Emission factors'!$K$2:$V$2,0)))</f>
        <v/>
      </c>
      <c r="L31" s="38" t="str">
        <f>IF(OR(OrganisationalWasteTable[[#This Row],[Waste type]]="",OrganisationalWasteTable[[#This Row],[Converted data]]=""),"",SUM(OrganisationalWasteTable[[#This Row],[Direct]:[Indirect WTT]]))</f>
        <v/>
      </c>
      <c r="M31" s="201"/>
      <c r="N31" s="199"/>
      <c r="O31" s="298" t="str" cm="1">
        <f t="array" ref="O31">IF(OR($B31="",$G31="",$I31=""),"",(INDEX('Emission factors'!$K$3:$V$381,MATCH($B31&amp;$C31,'Emission factors'!$K$3:$K$381&amp;'Emission factors'!$L$3:$L$381,0),MATCH(O$7,'Emission factors'!$K$2:$V$2,0)))*$I31)</f>
        <v/>
      </c>
      <c r="P31" s="298" t="str" cm="1">
        <f t="array" ref="P31">IF(OR($B31="",$G31="",$I31=""),"",(INDEX('Emission factors'!$K$3:$V$381,MATCH($B31&amp;$C31,'Emission factors'!$K$3:$K$381&amp;'Emission factors'!$L$3:$L$381,0),MATCH(P$7,'Emission factors'!$K$2:$V$2,0)))*$I31)</f>
        <v/>
      </c>
      <c r="Q31" s="298" t="str" cm="1">
        <f t="array" ref="Q31">IF(OR($B31="",$G31="",$I31=""),"",(INDEX('Emission factors'!$K$3:$V$381,MATCH($B31&amp;$C31,'Emission factors'!$K$3:$K$381&amp;'Emission factors'!$L$3:$L$381,0),MATCH(Q$7,'Emission factors'!$K$2:$V$2,0)))*$I31)</f>
        <v/>
      </c>
      <c r="R31" s="298" t="str" cm="1">
        <f t="array" ref="R31">IF(OR($B31="",$G31="",$I31=""),"",(INDEX('Emission factors'!$K$3:$V$381,MATCH($B31&amp;$C31,'Emission factors'!$K$3:$K$381&amp;'Emission factors'!$L$3:$L$381,0),MATCH(R$7,'Emission factors'!$K$2:$V$2,0)))*$I31)</f>
        <v/>
      </c>
      <c r="S31" s="298" t="str" cm="1">
        <f t="array" ref="S31">IF(OR($B31="",$G31="",$I31=""),"",(INDEX('Emission factors'!$K$3:$V$381,MATCH($B31&amp;$C31,'Emission factors'!$K$3:$K$381&amp;'Emission factors'!$L$3:$L$381,0),MATCH(S$7,'Emission factors'!$K$2:$V$2,0)))*$I31)</f>
        <v/>
      </c>
      <c r="T31" s="299" t="str">
        <f t="shared" si="0"/>
        <v/>
      </c>
      <c r="U31" s="344" t="str">
        <f>IF(OR(OrganisationalWasteTable[[#This Row],[RSD]]="", OrganisationalWasteTable[[#This Row],[Total emissions]]=""), "", OrganisationalWasteTable[[#This Row],[Total emissions]]*(1-OrganisationalWasteTable[[#This Row],[RSD]]))</f>
        <v/>
      </c>
      <c r="V31" s="357" t="str" cm="1">
        <f t="array" ref="V31">IF(OR($B31="",$G31="",$I31=""),"",(INDEX('Emission factors'!$K$3:$V$381,MATCH($B31&amp;$C31,'Emission factors'!$K$3:$K$381&amp;'Emission factors'!$L$3:$L$381,0),MATCH(V$7,'Emission factors'!$K$2:$V$2,0)))*$I31)</f>
        <v/>
      </c>
      <c r="W31" s="335"/>
      <c r="X31" s="1" cm="1">
        <f t="array" ref="X31">IF(OR(ISERROR(B31:V31)),1,0)</f>
        <v>0</v>
      </c>
      <c r="Y31" s="1">
        <f t="shared" si="1"/>
        <v>0</v>
      </c>
    </row>
    <row r="32" spans="2:25" ht="15" thickBot="1" x14ac:dyDescent="0.4">
      <c r="B32" s="198"/>
      <c r="C32" s="199"/>
      <c r="D32" s="6"/>
      <c r="E32" s="199"/>
      <c r="F32" s="179" t="str">
        <f>IF(E32="","",INDEX(Methodologytier,MATCH(B$50,Lists!$AZ$4:$AZ$32,0),MATCH(E32,Lists!$BA$3:$BC$3,0)))</f>
        <v/>
      </c>
      <c r="G32" s="148"/>
      <c r="H32" s="199"/>
      <c r="I32" s="38" t="str" cm="1">
        <f t="array" ref="I32">IF(OR($B32="",$C32="",H32=""),"",IF(H32=J32,G32,(INDEX('Emission factors'!$K$3:$V$381,MATCH($B32&amp;$C32,'Emission factors'!$K$3:$K$381&amp;'Emission factors'!$L$3:$L$381,0),MATCH($I$7,'Emission factors'!$K$2:$V$2,0)))*G32))</f>
        <v/>
      </c>
      <c r="J32" s="35" t="str" cm="1">
        <f t="array" ref="J32">IF(OR($B32="",$G32="",OrganisationalWasteTable[[#This Row],[Units]]=""),"",INDEX('Emission factors'!$K$3:$V$381,MATCH($B32&amp;$C32,'Emission factors'!$K$3:$K$381&amp;'Emission factors'!$L$3:$L$381,0),MATCH($J$7,'Emission factors'!$K$2:$V$2,0)))</f>
        <v/>
      </c>
      <c r="K32" s="379" t="str" cm="1">
        <f t="array" ref="K32">IF(OR(B32="",C32="",OrganisationalWasteTable[[#This Row],[Data]]=""),"",INDEX('Emission factors'!$K$3:$V$381,MATCH($B32&amp;$C32,'Emission factors'!$K$3:$K$381&amp;'Emission factors'!$L$3:$L$381,0),MATCH($K$7,'Emission factors'!$K$2:$V$2,0)))</f>
        <v/>
      </c>
      <c r="L32" s="38" t="str">
        <f>IF(OR(OrganisationalWasteTable[[#This Row],[Waste type]]="",OrganisationalWasteTable[[#This Row],[Converted data]]=""),"",SUM(OrganisationalWasteTable[[#This Row],[Direct]:[Indirect WTT]]))</f>
        <v/>
      </c>
      <c r="M32" s="201"/>
      <c r="N32" s="199"/>
      <c r="O32" s="298" t="str" cm="1">
        <f t="array" ref="O32">IF(OR($B32="",$G32="",$I32=""),"",(INDEX('Emission factors'!$K$3:$V$381,MATCH($B32&amp;$C32,'Emission factors'!$K$3:$K$381&amp;'Emission factors'!$L$3:$L$381,0),MATCH(O$7,'Emission factors'!$K$2:$V$2,0)))*$I32)</f>
        <v/>
      </c>
      <c r="P32" s="298" t="str" cm="1">
        <f t="array" ref="P32">IF(OR($B32="",$G32="",$I32=""),"",(INDEX('Emission factors'!$K$3:$V$381,MATCH($B32&amp;$C32,'Emission factors'!$K$3:$K$381&amp;'Emission factors'!$L$3:$L$381,0),MATCH(P$7,'Emission factors'!$K$2:$V$2,0)))*$I32)</f>
        <v/>
      </c>
      <c r="Q32" s="298" t="str" cm="1">
        <f t="array" ref="Q32">IF(OR($B32="",$G32="",$I32=""),"",(INDEX('Emission factors'!$K$3:$V$381,MATCH($B32&amp;$C32,'Emission factors'!$K$3:$K$381&amp;'Emission factors'!$L$3:$L$381,0),MATCH(Q$7,'Emission factors'!$K$2:$V$2,0)))*$I32)</f>
        <v/>
      </c>
      <c r="R32" s="298" t="str" cm="1">
        <f t="array" ref="R32">IF(OR($B32="",$G32="",$I32=""),"",(INDEX('Emission factors'!$K$3:$V$381,MATCH($B32&amp;$C32,'Emission factors'!$K$3:$K$381&amp;'Emission factors'!$L$3:$L$381,0),MATCH(R$7,'Emission factors'!$K$2:$V$2,0)))*$I32)</f>
        <v/>
      </c>
      <c r="S32" s="298" t="str" cm="1">
        <f t="array" ref="S32">IF(OR($B32="",$G32="",$I32=""),"",(INDEX('Emission factors'!$K$3:$V$381,MATCH($B32&amp;$C32,'Emission factors'!$K$3:$K$381&amp;'Emission factors'!$L$3:$L$381,0),MATCH(S$7,'Emission factors'!$K$2:$V$2,0)))*$I32)</f>
        <v/>
      </c>
      <c r="T32" s="299" t="str">
        <f t="shared" si="0"/>
        <v/>
      </c>
      <c r="U32" s="344" t="str">
        <f>IF(OR(OrganisationalWasteTable[[#This Row],[RSD]]="", OrganisationalWasteTable[[#This Row],[Total emissions]]=""), "", OrganisationalWasteTable[[#This Row],[Total emissions]]*(1-OrganisationalWasteTable[[#This Row],[RSD]]))</f>
        <v/>
      </c>
      <c r="V32" s="357" t="str" cm="1">
        <f t="array" ref="V32">IF(OR($B32="",$G32="",$I32=""),"",(INDEX('Emission factors'!$K$3:$V$381,MATCH($B32&amp;$C32,'Emission factors'!$K$3:$K$381&amp;'Emission factors'!$L$3:$L$381,0),MATCH(V$7,'Emission factors'!$K$2:$V$2,0)))*$I32)</f>
        <v/>
      </c>
      <c r="W32" s="335"/>
      <c r="X32" s="1" cm="1">
        <f t="array" ref="X32">IF(OR(ISERROR(B32:V32)),1,0)</f>
        <v>0</v>
      </c>
      <c r="Y32" s="1">
        <f t="shared" si="1"/>
        <v>0</v>
      </c>
    </row>
    <row r="33" spans="2:25" ht="15" thickBot="1" x14ac:dyDescent="0.4">
      <c r="B33" s="198"/>
      <c r="C33" s="199"/>
      <c r="D33" s="6"/>
      <c r="E33" s="199"/>
      <c r="F33" s="179" t="str">
        <f>IF(E33="","",INDEX(Methodologytier,MATCH(B$50,Lists!$AZ$4:$AZ$32,0),MATCH(E33,Lists!$BA$3:$BC$3,0)))</f>
        <v/>
      </c>
      <c r="G33" s="148"/>
      <c r="H33" s="199"/>
      <c r="I33" s="38" t="str" cm="1">
        <f t="array" ref="I33">IF(OR($B33="",$C33="",H33=""),"",IF(H33=J33,G33,(INDEX('Emission factors'!$K$3:$V$381,MATCH($B33&amp;$C33,'Emission factors'!$K$3:$K$381&amp;'Emission factors'!$L$3:$L$381,0),MATCH($I$7,'Emission factors'!$K$2:$V$2,0)))*G33))</f>
        <v/>
      </c>
      <c r="J33" s="35" t="str" cm="1">
        <f t="array" ref="J33">IF(OR($B33="",$G33="",OrganisationalWasteTable[[#This Row],[Units]]=""),"",INDEX('Emission factors'!$K$3:$V$381,MATCH($B33&amp;$C33,'Emission factors'!$K$3:$K$381&amp;'Emission factors'!$L$3:$L$381,0),MATCH($J$7,'Emission factors'!$K$2:$V$2,0)))</f>
        <v/>
      </c>
      <c r="K33" s="379" t="str" cm="1">
        <f t="array" ref="K33">IF(OR(B33="",C33="",OrganisationalWasteTable[[#This Row],[Data]]=""),"",INDEX('Emission factors'!$K$3:$V$381,MATCH($B33&amp;$C33,'Emission factors'!$K$3:$K$381&amp;'Emission factors'!$L$3:$L$381,0),MATCH($K$7,'Emission factors'!$K$2:$V$2,0)))</f>
        <v/>
      </c>
      <c r="L33" s="38" t="str">
        <f>IF(OR(OrganisationalWasteTable[[#This Row],[Waste type]]="",OrganisationalWasteTable[[#This Row],[Converted data]]=""),"",SUM(OrganisationalWasteTable[[#This Row],[Direct]:[Indirect WTT]]))</f>
        <v/>
      </c>
      <c r="M33" s="201"/>
      <c r="N33" s="199"/>
      <c r="O33" s="298" t="str" cm="1">
        <f t="array" ref="O33">IF(OR($B33="",$G33="",$I33=""),"",(INDEX('Emission factors'!$K$3:$V$381,MATCH($B33&amp;$C33,'Emission factors'!$K$3:$K$381&amp;'Emission factors'!$L$3:$L$381,0),MATCH(O$7,'Emission factors'!$K$2:$V$2,0)))*$I33)</f>
        <v/>
      </c>
      <c r="P33" s="298" t="str" cm="1">
        <f t="array" ref="P33">IF(OR($B33="",$G33="",$I33=""),"",(INDEX('Emission factors'!$K$3:$V$381,MATCH($B33&amp;$C33,'Emission factors'!$K$3:$K$381&amp;'Emission factors'!$L$3:$L$381,0),MATCH(P$7,'Emission factors'!$K$2:$V$2,0)))*$I33)</f>
        <v/>
      </c>
      <c r="Q33" s="298" t="str" cm="1">
        <f t="array" ref="Q33">IF(OR($B33="",$G33="",$I33=""),"",(INDEX('Emission factors'!$K$3:$V$381,MATCH($B33&amp;$C33,'Emission factors'!$K$3:$K$381&amp;'Emission factors'!$L$3:$L$381,0),MATCH(Q$7,'Emission factors'!$K$2:$V$2,0)))*$I33)</f>
        <v/>
      </c>
      <c r="R33" s="298" t="str" cm="1">
        <f t="array" ref="R33">IF(OR($B33="",$G33="",$I33=""),"",(INDEX('Emission factors'!$K$3:$V$381,MATCH($B33&amp;$C33,'Emission factors'!$K$3:$K$381&amp;'Emission factors'!$L$3:$L$381,0),MATCH(R$7,'Emission factors'!$K$2:$V$2,0)))*$I33)</f>
        <v/>
      </c>
      <c r="S33" s="298" t="str" cm="1">
        <f t="array" ref="S33">IF(OR($B33="",$G33="",$I33=""),"",(INDEX('Emission factors'!$K$3:$V$381,MATCH($B33&amp;$C33,'Emission factors'!$K$3:$K$381&amp;'Emission factors'!$L$3:$L$381,0),MATCH(S$7,'Emission factors'!$K$2:$V$2,0)))*$I33)</f>
        <v/>
      </c>
      <c r="T33" s="299" t="str">
        <f t="shared" si="0"/>
        <v/>
      </c>
      <c r="U33" s="344" t="str">
        <f>IF(OR(OrganisationalWasteTable[[#This Row],[RSD]]="", OrganisationalWasteTable[[#This Row],[Total emissions]]=""), "", OrganisationalWasteTable[[#This Row],[Total emissions]]*(1-OrganisationalWasteTable[[#This Row],[RSD]]))</f>
        <v/>
      </c>
      <c r="V33" s="357" t="str" cm="1">
        <f t="array" ref="V33">IF(OR($B33="",$G33="",$I33=""),"",(INDEX('Emission factors'!$K$3:$V$381,MATCH($B33&amp;$C33,'Emission factors'!$K$3:$K$381&amp;'Emission factors'!$L$3:$L$381,0),MATCH(V$7,'Emission factors'!$K$2:$V$2,0)))*$I33)</f>
        <v/>
      </c>
      <c r="W33" s="335"/>
      <c r="X33" s="1" cm="1">
        <f t="array" ref="X33">IF(OR(ISERROR(B33:V33)),1,0)</f>
        <v>0</v>
      </c>
      <c r="Y33" s="1">
        <f t="shared" si="1"/>
        <v>0</v>
      </c>
    </row>
    <row r="34" spans="2:25" ht="15" thickBot="1" x14ac:dyDescent="0.4">
      <c r="B34" s="198"/>
      <c r="C34" s="199"/>
      <c r="D34" s="6"/>
      <c r="E34" s="199"/>
      <c r="F34" s="179" t="str">
        <f>IF(E34="","",INDEX(Methodologytier,MATCH(B$50,Lists!$AZ$4:$AZ$32,0),MATCH(E34,Lists!$BA$3:$BC$3,0)))</f>
        <v/>
      </c>
      <c r="G34" s="148"/>
      <c r="H34" s="199"/>
      <c r="I34" s="38" t="str" cm="1">
        <f t="array" ref="I34">IF(OR($B34="",$C34="",H34=""),"",IF(H34=J34,G34,(INDEX('Emission factors'!$K$3:$V$381,MATCH($B34&amp;$C34,'Emission factors'!$K$3:$K$381&amp;'Emission factors'!$L$3:$L$381,0),MATCH($I$7,'Emission factors'!$K$2:$V$2,0)))*G34))</f>
        <v/>
      </c>
      <c r="J34" s="35" t="str" cm="1">
        <f t="array" ref="J34">IF(OR($B34="",$G34="",OrganisationalWasteTable[[#This Row],[Units]]=""),"",INDEX('Emission factors'!$K$3:$V$381,MATCH($B34&amp;$C34,'Emission factors'!$K$3:$K$381&amp;'Emission factors'!$L$3:$L$381,0),MATCH($J$7,'Emission factors'!$K$2:$V$2,0)))</f>
        <v/>
      </c>
      <c r="K34" s="379" t="str" cm="1">
        <f t="array" ref="K34">IF(OR(B34="",C34="",OrganisationalWasteTable[[#This Row],[Data]]=""),"",INDEX('Emission factors'!$K$3:$V$381,MATCH($B34&amp;$C34,'Emission factors'!$K$3:$K$381&amp;'Emission factors'!$L$3:$L$381,0),MATCH($K$7,'Emission factors'!$K$2:$V$2,0)))</f>
        <v/>
      </c>
      <c r="L34" s="38" t="str">
        <f>IF(OR(OrganisationalWasteTable[[#This Row],[Waste type]]="",OrganisationalWasteTable[[#This Row],[Converted data]]=""),"",SUM(OrganisationalWasteTable[[#This Row],[Direct]:[Indirect WTT]]))</f>
        <v/>
      </c>
      <c r="M34" s="201"/>
      <c r="N34" s="199"/>
      <c r="O34" s="298" t="str" cm="1">
        <f t="array" ref="O34">IF(OR($B34="",$G34="",$I34=""),"",(INDEX('Emission factors'!$K$3:$V$381,MATCH($B34&amp;$C34,'Emission factors'!$K$3:$K$381&amp;'Emission factors'!$L$3:$L$381,0),MATCH(O$7,'Emission factors'!$K$2:$V$2,0)))*$I34)</f>
        <v/>
      </c>
      <c r="P34" s="298" t="str" cm="1">
        <f t="array" ref="P34">IF(OR($B34="",$G34="",$I34=""),"",(INDEX('Emission factors'!$K$3:$V$381,MATCH($B34&amp;$C34,'Emission factors'!$K$3:$K$381&amp;'Emission factors'!$L$3:$L$381,0),MATCH(P$7,'Emission factors'!$K$2:$V$2,0)))*$I34)</f>
        <v/>
      </c>
      <c r="Q34" s="298" t="str" cm="1">
        <f t="array" ref="Q34">IF(OR($B34="",$G34="",$I34=""),"",(INDEX('Emission factors'!$K$3:$V$381,MATCH($B34&amp;$C34,'Emission factors'!$K$3:$K$381&amp;'Emission factors'!$L$3:$L$381,0),MATCH(Q$7,'Emission factors'!$K$2:$V$2,0)))*$I34)</f>
        <v/>
      </c>
      <c r="R34" s="298" t="str" cm="1">
        <f t="array" ref="R34">IF(OR($B34="",$G34="",$I34=""),"",(INDEX('Emission factors'!$K$3:$V$381,MATCH($B34&amp;$C34,'Emission factors'!$K$3:$K$381&amp;'Emission factors'!$L$3:$L$381,0),MATCH(R$7,'Emission factors'!$K$2:$V$2,0)))*$I34)</f>
        <v/>
      </c>
      <c r="S34" s="298" t="str" cm="1">
        <f t="array" ref="S34">IF(OR($B34="",$G34="",$I34=""),"",(INDEX('Emission factors'!$K$3:$V$381,MATCH($B34&amp;$C34,'Emission factors'!$K$3:$K$381&amp;'Emission factors'!$L$3:$L$381,0),MATCH(S$7,'Emission factors'!$K$2:$V$2,0)))*$I34)</f>
        <v/>
      </c>
      <c r="T34" s="299" t="str">
        <f t="shared" si="0"/>
        <v/>
      </c>
      <c r="U34" s="344" t="str">
        <f>IF(OR(OrganisationalWasteTable[[#This Row],[RSD]]="", OrganisationalWasteTable[[#This Row],[Total emissions]]=""), "", OrganisationalWasteTable[[#This Row],[Total emissions]]*(1-OrganisationalWasteTable[[#This Row],[RSD]]))</f>
        <v/>
      </c>
      <c r="V34" s="357" t="str" cm="1">
        <f t="array" ref="V34">IF(OR($B34="",$G34="",$I34=""),"",(INDEX('Emission factors'!$K$3:$V$381,MATCH($B34&amp;$C34,'Emission factors'!$K$3:$K$381&amp;'Emission factors'!$L$3:$L$381,0),MATCH(V$7,'Emission factors'!$K$2:$V$2,0)))*$I34)</f>
        <v/>
      </c>
      <c r="W34" s="335"/>
      <c r="X34" s="1" cm="1">
        <f t="array" ref="X34">IF(OR(ISERROR(B34:V34)),1,0)</f>
        <v>0</v>
      </c>
      <c r="Y34" s="1">
        <f t="shared" si="1"/>
        <v>0</v>
      </c>
    </row>
    <row r="35" spans="2:25" ht="15" thickBot="1" x14ac:dyDescent="0.4">
      <c r="B35" s="198"/>
      <c r="C35" s="199"/>
      <c r="D35" s="6"/>
      <c r="E35" s="199"/>
      <c r="F35" s="179" t="str">
        <f>IF(E35="","",INDEX(Methodologytier,MATCH(B$50,Lists!$AZ$4:$AZ$32,0),MATCH(E35,Lists!$BA$3:$BC$3,0)))</f>
        <v/>
      </c>
      <c r="G35" s="148"/>
      <c r="H35" s="199"/>
      <c r="I35" s="38" t="str" cm="1">
        <f t="array" ref="I35">IF(OR($B35="",$C35="",H35=""),"",IF(H35=J35,G35,(INDEX('Emission factors'!$K$3:$V$381,MATCH($B35&amp;$C35,'Emission factors'!$K$3:$K$381&amp;'Emission factors'!$L$3:$L$381,0),MATCH($I$7,'Emission factors'!$K$2:$V$2,0)))*G35))</f>
        <v/>
      </c>
      <c r="J35" s="35" t="str" cm="1">
        <f t="array" ref="J35">IF(OR($B35="",$G35="",OrganisationalWasteTable[[#This Row],[Units]]=""),"",INDEX('Emission factors'!$K$3:$V$381,MATCH($B35&amp;$C35,'Emission factors'!$K$3:$K$381&amp;'Emission factors'!$L$3:$L$381,0),MATCH($J$7,'Emission factors'!$K$2:$V$2,0)))</f>
        <v/>
      </c>
      <c r="K35" s="379" t="str" cm="1">
        <f t="array" ref="K35">IF(OR(B35="",C35="",OrganisationalWasteTable[[#This Row],[Data]]=""),"",INDEX('Emission factors'!$K$3:$V$381,MATCH($B35&amp;$C35,'Emission factors'!$K$3:$K$381&amp;'Emission factors'!$L$3:$L$381,0),MATCH($K$7,'Emission factors'!$K$2:$V$2,0)))</f>
        <v/>
      </c>
      <c r="L35" s="38" t="str">
        <f>IF(OR(OrganisationalWasteTable[[#This Row],[Waste type]]="",OrganisationalWasteTable[[#This Row],[Converted data]]=""),"",SUM(OrganisationalWasteTable[[#This Row],[Direct]:[Indirect WTT]]))</f>
        <v/>
      </c>
      <c r="M35" s="201"/>
      <c r="N35" s="199"/>
      <c r="O35" s="298" t="str" cm="1">
        <f t="array" ref="O35">IF(OR($B35="",$G35="",$I35=""),"",(INDEX('Emission factors'!$K$3:$V$381,MATCH($B35&amp;$C35,'Emission factors'!$K$3:$K$381&amp;'Emission factors'!$L$3:$L$381,0),MATCH(O$7,'Emission factors'!$K$2:$V$2,0)))*$I35)</f>
        <v/>
      </c>
      <c r="P35" s="298" t="str" cm="1">
        <f t="array" ref="P35">IF(OR($B35="",$G35="",$I35=""),"",(INDEX('Emission factors'!$K$3:$V$381,MATCH($B35&amp;$C35,'Emission factors'!$K$3:$K$381&amp;'Emission factors'!$L$3:$L$381,0),MATCH(P$7,'Emission factors'!$K$2:$V$2,0)))*$I35)</f>
        <v/>
      </c>
      <c r="Q35" s="298" t="str" cm="1">
        <f t="array" ref="Q35">IF(OR($B35="",$G35="",$I35=""),"",(INDEX('Emission factors'!$K$3:$V$381,MATCH($B35&amp;$C35,'Emission factors'!$K$3:$K$381&amp;'Emission factors'!$L$3:$L$381,0),MATCH(Q$7,'Emission factors'!$K$2:$V$2,0)))*$I35)</f>
        <v/>
      </c>
      <c r="R35" s="298" t="str" cm="1">
        <f t="array" ref="R35">IF(OR($B35="",$G35="",$I35=""),"",(INDEX('Emission factors'!$K$3:$V$381,MATCH($B35&amp;$C35,'Emission factors'!$K$3:$K$381&amp;'Emission factors'!$L$3:$L$381,0),MATCH(R$7,'Emission factors'!$K$2:$V$2,0)))*$I35)</f>
        <v/>
      </c>
      <c r="S35" s="298" t="str" cm="1">
        <f t="array" ref="S35">IF(OR($B35="",$G35="",$I35=""),"",(INDEX('Emission factors'!$K$3:$V$381,MATCH($B35&amp;$C35,'Emission factors'!$K$3:$K$381&amp;'Emission factors'!$L$3:$L$381,0),MATCH(S$7,'Emission factors'!$K$2:$V$2,0)))*$I35)</f>
        <v/>
      </c>
      <c r="T35" s="299" t="str">
        <f t="shared" si="0"/>
        <v/>
      </c>
      <c r="U35" s="344" t="str">
        <f>IF(OR(OrganisationalWasteTable[[#This Row],[RSD]]="", OrganisationalWasteTable[[#This Row],[Total emissions]]=""), "", OrganisationalWasteTable[[#This Row],[Total emissions]]*(1-OrganisationalWasteTable[[#This Row],[RSD]]))</f>
        <v/>
      </c>
      <c r="V35" s="357" t="str" cm="1">
        <f t="array" ref="V35">IF(OR($B35="",$G35="",$I35=""),"",(INDEX('Emission factors'!$K$3:$V$381,MATCH($B35&amp;$C35,'Emission factors'!$K$3:$K$381&amp;'Emission factors'!$L$3:$L$381,0),MATCH(V$7,'Emission factors'!$K$2:$V$2,0)))*$I35)</f>
        <v/>
      </c>
      <c r="W35" s="335"/>
      <c r="X35" s="1" cm="1">
        <f t="array" ref="X35">IF(OR(ISERROR(B35:V35)),1,0)</f>
        <v>0</v>
      </c>
      <c r="Y35" s="1">
        <f t="shared" si="1"/>
        <v>0</v>
      </c>
    </row>
    <row r="36" spans="2:25" ht="15" thickBot="1" x14ac:dyDescent="0.4">
      <c r="B36" s="198"/>
      <c r="C36" s="199"/>
      <c r="D36" s="6"/>
      <c r="E36" s="199"/>
      <c r="F36" s="179" t="str">
        <f>IF(E36="","",INDEX(Methodologytier,MATCH(B$50,Lists!$AZ$4:$AZ$32,0),MATCH(E36,Lists!$BA$3:$BC$3,0)))</f>
        <v/>
      </c>
      <c r="G36" s="148"/>
      <c r="H36" s="199"/>
      <c r="I36" s="38" t="str" cm="1">
        <f t="array" ref="I36">IF(OR($B36="",$C36="",H36=""),"",IF(H36=J36,G36,(INDEX('Emission factors'!$K$3:$V$381,MATCH($B36&amp;$C36,'Emission factors'!$K$3:$K$381&amp;'Emission factors'!$L$3:$L$381,0),MATCH($I$7,'Emission factors'!$K$2:$V$2,0)))*G36))</f>
        <v/>
      </c>
      <c r="J36" s="35" t="str" cm="1">
        <f t="array" ref="J36">IF(OR($B36="",$G36="",OrganisationalWasteTable[[#This Row],[Units]]=""),"",INDEX('Emission factors'!$K$3:$V$381,MATCH($B36&amp;$C36,'Emission factors'!$K$3:$K$381&amp;'Emission factors'!$L$3:$L$381,0),MATCH($J$7,'Emission factors'!$K$2:$V$2,0)))</f>
        <v/>
      </c>
      <c r="K36" s="379" t="str" cm="1">
        <f t="array" ref="K36">IF(OR(B36="",C36="",OrganisationalWasteTable[[#This Row],[Data]]=""),"",INDEX('Emission factors'!$K$3:$V$381,MATCH($B36&amp;$C36,'Emission factors'!$K$3:$K$381&amp;'Emission factors'!$L$3:$L$381,0),MATCH($K$7,'Emission factors'!$K$2:$V$2,0)))</f>
        <v/>
      </c>
      <c r="L36" s="38" t="str">
        <f>IF(OR(OrganisationalWasteTable[[#This Row],[Waste type]]="",OrganisationalWasteTable[[#This Row],[Converted data]]=""),"",SUM(OrganisationalWasteTable[[#This Row],[Direct]:[Indirect WTT]]))</f>
        <v/>
      </c>
      <c r="M36" s="201"/>
      <c r="N36" s="199"/>
      <c r="O36" s="298" t="str" cm="1">
        <f t="array" ref="O36">IF(OR($B36="",$G36="",$I36=""),"",(INDEX('Emission factors'!$K$3:$V$381,MATCH($B36&amp;$C36,'Emission factors'!$K$3:$K$381&amp;'Emission factors'!$L$3:$L$381,0),MATCH(O$7,'Emission factors'!$K$2:$V$2,0)))*$I36)</f>
        <v/>
      </c>
      <c r="P36" s="298" t="str" cm="1">
        <f t="array" ref="P36">IF(OR($B36="",$G36="",$I36=""),"",(INDEX('Emission factors'!$K$3:$V$381,MATCH($B36&amp;$C36,'Emission factors'!$K$3:$K$381&amp;'Emission factors'!$L$3:$L$381,0),MATCH(P$7,'Emission factors'!$K$2:$V$2,0)))*$I36)</f>
        <v/>
      </c>
      <c r="Q36" s="298" t="str" cm="1">
        <f t="array" ref="Q36">IF(OR($B36="",$G36="",$I36=""),"",(INDEX('Emission factors'!$K$3:$V$381,MATCH($B36&amp;$C36,'Emission factors'!$K$3:$K$381&amp;'Emission factors'!$L$3:$L$381,0),MATCH(Q$7,'Emission factors'!$K$2:$V$2,0)))*$I36)</f>
        <v/>
      </c>
      <c r="R36" s="298" t="str" cm="1">
        <f t="array" ref="R36">IF(OR($B36="",$G36="",$I36=""),"",(INDEX('Emission factors'!$K$3:$V$381,MATCH($B36&amp;$C36,'Emission factors'!$K$3:$K$381&amp;'Emission factors'!$L$3:$L$381,0),MATCH(R$7,'Emission factors'!$K$2:$V$2,0)))*$I36)</f>
        <v/>
      </c>
      <c r="S36" s="298" t="str" cm="1">
        <f t="array" ref="S36">IF(OR($B36="",$G36="",$I36=""),"",(INDEX('Emission factors'!$K$3:$V$381,MATCH($B36&amp;$C36,'Emission factors'!$K$3:$K$381&amp;'Emission factors'!$L$3:$L$381,0),MATCH(S$7,'Emission factors'!$K$2:$V$2,0)))*$I36)</f>
        <v/>
      </c>
      <c r="T36" s="299" t="str">
        <f t="shared" si="0"/>
        <v/>
      </c>
      <c r="U36" s="344" t="str">
        <f>IF(OR(OrganisationalWasteTable[[#This Row],[RSD]]="", OrganisationalWasteTable[[#This Row],[Total emissions]]=""), "", OrganisationalWasteTable[[#This Row],[Total emissions]]*(1-OrganisationalWasteTable[[#This Row],[RSD]]))</f>
        <v/>
      </c>
      <c r="V36" s="357" t="str" cm="1">
        <f t="array" ref="V36">IF(OR($B36="",$G36="",$I36=""),"",(INDEX('Emission factors'!$K$3:$V$381,MATCH($B36&amp;$C36,'Emission factors'!$K$3:$K$381&amp;'Emission factors'!$L$3:$L$381,0),MATCH(V$7,'Emission factors'!$K$2:$V$2,0)))*$I36)</f>
        <v/>
      </c>
      <c r="W36" s="335"/>
      <c r="X36" s="1" cm="1">
        <f t="array" ref="X36">IF(OR(ISERROR(B36:V36)),1,0)</f>
        <v>0</v>
      </c>
      <c r="Y36" s="1">
        <f t="shared" si="1"/>
        <v>0</v>
      </c>
    </row>
    <row r="37" spans="2:25" ht="15" thickBot="1" x14ac:dyDescent="0.4">
      <c r="B37" s="198"/>
      <c r="C37" s="199"/>
      <c r="D37" s="6"/>
      <c r="E37" s="199"/>
      <c r="F37" s="179" t="str">
        <f>IF(E37="","",INDEX(Methodologytier,MATCH(B$50,Lists!$AZ$4:$AZ$32,0),MATCH(E37,Lists!$BA$3:$BC$3,0)))</f>
        <v/>
      </c>
      <c r="G37" s="148"/>
      <c r="H37" s="199"/>
      <c r="I37" s="38" t="str" cm="1">
        <f t="array" ref="I37">IF(OR($B37="",$C37="",H37=""),"",IF(H37=J37,G37,(INDEX('Emission factors'!$K$3:$V$381,MATCH($B37&amp;$C37,'Emission factors'!$K$3:$K$381&amp;'Emission factors'!$L$3:$L$381,0),MATCH($I$7,'Emission factors'!$K$2:$V$2,0)))*G37))</f>
        <v/>
      </c>
      <c r="J37" s="35" t="str" cm="1">
        <f t="array" ref="J37">IF(OR($B37="",$G37="",OrganisationalWasteTable[[#This Row],[Units]]=""),"",INDEX('Emission factors'!$K$3:$V$381,MATCH($B37&amp;$C37,'Emission factors'!$K$3:$K$381&amp;'Emission factors'!$L$3:$L$381,0),MATCH($J$7,'Emission factors'!$K$2:$V$2,0)))</f>
        <v/>
      </c>
      <c r="K37" s="379" t="str" cm="1">
        <f t="array" ref="K37">IF(OR(B37="",C37="",OrganisationalWasteTable[[#This Row],[Data]]=""),"",INDEX('Emission factors'!$K$3:$V$381,MATCH($B37&amp;$C37,'Emission factors'!$K$3:$K$381&amp;'Emission factors'!$L$3:$L$381,0),MATCH($K$7,'Emission factors'!$K$2:$V$2,0)))</f>
        <v/>
      </c>
      <c r="L37" s="38" t="str">
        <f>IF(OR(OrganisationalWasteTable[[#This Row],[Waste type]]="",OrganisationalWasteTable[[#This Row],[Converted data]]=""),"",SUM(OrganisationalWasteTable[[#This Row],[Direct]:[Indirect WTT]]))</f>
        <v/>
      </c>
      <c r="M37" s="201"/>
      <c r="N37" s="199"/>
      <c r="O37" s="298" t="str" cm="1">
        <f t="array" ref="O37">IF(OR($B37="",$G37="",$I37=""),"",(INDEX('Emission factors'!$K$3:$V$381,MATCH($B37&amp;$C37,'Emission factors'!$K$3:$K$381&amp;'Emission factors'!$L$3:$L$381,0),MATCH(O$7,'Emission factors'!$K$2:$V$2,0)))*$I37)</f>
        <v/>
      </c>
      <c r="P37" s="298" t="str" cm="1">
        <f t="array" ref="P37">IF(OR($B37="",$G37="",$I37=""),"",(INDEX('Emission factors'!$K$3:$V$381,MATCH($B37&amp;$C37,'Emission factors'!$K$3:$K$381&amp;'Emission factors'!$L$3:$L$381,0),MATCH(P$7,'Emission factors'!$K$2:$V$2,0)))*$I37)</f>
        <v/>
      </c>
      <c r="Q37" s="298" t="str" cm="1">
        <f t="array" ref="Q37">IF(OR($B37="",$G37="",$I37=""),"",(INDEX('Emission factors'!$K$3:$V$381,MATCH($B37&amp;$C37,'Emission factors'!$K$3:$K$381&amp;'Emission factors'!$L$3:$L$381,0),MATCH(Q$7,'Emission factors'!$K$2:$V$2,0)))*$I37)</f>
        <v/>
      </c>
      <c r="R37" s="298" t="str" cm="1">
        <f t="array" ref="R37">IF(OR($B37="",$G37="",$I37=""),"",(INDEX('Emission factors'!$K$3:$V$381,MATCH($B37&amp;$C37,'Emission factors'!$K$3:$K$381&amp;'Emission factors'!$L$3:$L$381,0),MATCH(R$7,'Emission factors'!$K$2:$V$2,0)))*$I37)</f>
        <v/>
      </c>
      <c r="S37" s="298" t="str" cm="1">
        <f t="array" ref="S37">IF(OR($B37="",$G37="",$I37=""),"",(INDEX('Emission factors'!$K$3:$V$381,MATCH($B37&amp;$C37,'Emission factors'!$K$3:$K$381&amp;'Emission factors'!$L$3:$L$381,0),MATCH(S$7,'Emission factors'!$K$2:$V$2,0)))*$I37)</f>
        <v/>
      </c>
      <c r="T37" s="299" t="str">
        <f t="shared" si="0"/>
        <v/>
      </c>
      <c r="U37" s="344" t="str">
        <f>IF(OR(OrganisationalWasteTable[[#This Row],[RSD]]="", OrganisationalWasteTable[[#This Row],[Total emissions]]=""), "", OrganisationalWasteTable[[#This Row],[Total emissions]]*(1-OrganisationalWasteTable[[#This Row],[RSD]]))</f>
        <v/>
      </c>
      <c r="V37" s="357" t="str" cm="1">
        <f t="array" ref="V37">IF(OR($B37="",$G37="",$I37=""),"",(INDEX('Emission factors'!$K$3:$V$381,MATCH($B37&amp;$C37,'Emission factors'!$K$3:$K$381&amp;'Emission factors'!$L$3:$L$381,0),MATCH(V$7,'Emission factors'!$K$2:$V$2,0)))*$I37)</f>
        <v/>
      </c>
      <c r="W37" s="335"/>
      <c r="X37" s="1" cm="1">
        <f t="array" ref="X37">IF(OR(ISERROR(B37:V37)),1,0)</f>
        <v>0</v>
      </c>
      <c r="Y37" s="1">
        <f t="shared" si="1"/>
        <v>0</v>
      </c>
    </row>
    <row r="38" spans="2:25" ht="15" thickBot="1" x14ac:dyDescent="0.4">
      <c r="B38" s="198"/>
      <c r="C38" s="199"/>
      <c r="D38" s="6"/>
      <c r="E38" s="199"/>
      <c r="F38" s="179" t="str">
        <f>IF(E38="","",INDEX(Methodologytier,MATCH(B$50,Lists!$AZ$4:$AZ$32,0),MATCH(E38,Lists!$BA$3:$BC$3,0)))</f>
        <v/>
      </c>
      <c r="G38" s="148"/>
      <c r="H38" s="199"/>
      <c r="I38" s="38" t="str" cm="1">
        <f t="array" ref="I38">IF(OR($B38="",$C38="",H38=""),"",IF(H38=J38,G38,(INDEX('Emission factors'!$K$3:$V$381,MATCH($B38&amp;$C38,'Emission factors'!$K$3:$K$381&amp;'Emission factors'!$L$3:$L$381,0),MATCH($I$7,'Emission factors'!$K$2:$V$2,0)))*G38))</f>
        <v/>
      </c>
      <c r="J38" s="35" t="str" cm="1">
        <f t="array" ref="J38">IF(OR($B38="",$G38="",OrganisationalWasteTable[[#This Row],[Units]]=""),"",INDEX('Emission factors'!$K$3:$V$381,MATCH($B38&amp;$C38,'Emission factors'!$K$3:$K$381&amp;'Emission factors'!$L$3:$L$381,0),MATCH($J$7,'Emission factors'!$K$2:$V$2,0)))</f>
        <v/>
      </c>
      <c r="K38" s="379" t="str" cm="1">
        <f t="array" ref="K38">IF(OR(B38="",C38="",OrganisationalWasteTable[[#This Row],[Data]]=""),"",INDEX('Emission factors'!$K$3:$V$381,MATCH($B38&amp;$C38,'Emission factors'!$K$3:$K$381&amp;'Emission factors'!$L$3:$L$381,0),MATCH($K$7,'Emission factors'!$K$2:$V$2,0)))</f>
        <v/>
      </c>
      <c r="L38" s="38" t="str">
        <f>IF(OR(OrganisationalWasteTable[[#This Row],[Waste type]]="",OrganisationalWasteTable[[#This Row],[Converted data]]=""),"",SUM(OrganisationalWasteTable[[#This Row],[Direct]:[Indirect WTT]]))</f>
        <v/>
      </c>
      <c r="M38" s="201"/>
      <c r="N38" s="199"/>
      <c r="O38" s="298" t="str" cm="1">
        <f t="array" ref="O38">IF(OR($B38="",$G38="",$I38=""),"",(INDEX('Emission factors'!$K$3:$V$381,MATCH($B38&amp;$C38,'Emission factors'!$K$3:$K$381&amp;'Emission factors'!$L$3:$L$381,0),MATCH(O$7,'Emission factors'!$K$2:$V$2,0)))*$I38)</f>
        <v/>
      </c>
      <c r="P38" s="298" t="str" cm="1">
        <f t="array" ref="P38">IF(OR($B38="",$G38="",$I38=""),"",(INDEX('Emission factors'!$K$3:$V$381,MATCH($B38&amp;$C38,'Emission factors'!$K$3:$K$381&amp;'Emission factors'!$L$3:$L$381,0),MATCH(P$7,'Emission factors'!$K$2:$V$2,0)))*$I38)</f>
        <v/>
      </c>
      <c r="Q38" s="298" t="str" cm="1">
        <f t="array" ref="Q38">IF(OR($B38="",$G38="",$I38=""),"",(INDEX('Emission factors'!$K$3:$V$381,MATCH($B38&amp;$C38,'Emission factors'!$K$3:$K$381&amp;'Emission factors'!$L$3:$L$381,0),MATCH(Q$7,'Emission factors'!$K$2:$V$2,0)))*$I38)</f>
        <v/>
      </c>
      <c r="R38" s="298" t="str" cm="1">
        <f t="array" ref="R38">IF(OR($B38="",$G38="",$I38=""),"",(INDEX('Emission factors'!$K$3:$V$381,MATCH($B38&amp;$C38,'Emission factors'!$K$3:$K$381&amp;'Emission factors'!$L$3:$L$381,0),MATCH(R$7,'Emission factors'!$K$2:$V$2,0)))*$I38)</f>
        <v/>
      </c>
      <c r="S38" s="298" t="str" cm="1">
        <f t="array" ref="S38">IF(OR($B38="",$G38="",$I38=""),"",(INDEX('Emission factors'!$K$3:$V$381,MATCH($B38&amp;$C38,'Emission factors'!$K$3:$K$381&amp;'Emission factors'!$L$3:$L$381,0),MATCH(S$7,'Emission factors'!$K$2:$V$2,0)))*$I38)</f>
        <v/>
      </c>
      <c r="T38" s="299" t="str">
        <f t="shared" si="0"/>
        <v/>
      </c>
      <c r="U38" s="344" t="str">
        <f>IF(OR(OrganisationalWasteTable[[#This Row],[RSD]]="", OrganisationalWasteTable[[#This Row],[Total emissions]]=""), "", OrganisationalWasteTable[[#This Row],[Total emissions]]*(1-OrganisationalWasteTable[[#This Row],[RSD]]))</f>
        <v/>
      </c>
      <c r="V38" s="357" t="str" cm="1">
        <f t="array" ref="V38">IF(OR($B38="",$G38="",$I38=""),"",(INDEX('Emission factors'!$K$3:$V$381,MATCH($B38&amp;$C38,'Emission factors'!$K$3:$K$381&amp;'Emission factors'!$L$3:$L$381,0),MATCH(V$7,'Emission factors'!$K$2:$V$2,0)))*$I38)</f>
        <v/>
      </c>
      <c r="W38" s="335"/>
      <c r="X38" s="1" cm="1">
        <f t="array" ref="X38">IF(OR(ISERROR(B38:V38)),1,0)</f>
        <v>0</v>
      </c>
      <c r="Y38" s="1">
        <f t="shared" si="1"/>
        <v>0</v>
      </c>
    </row>
    <row r="39" spans="2:25" ht="15" thickBot="1" x14ac:dyDescent="0.4">
      <c r="B39" s="198"/>
      <c r="C39" s="199"/>
      <c r="D39" s="6"/>
      <c r="E39" s="199"/>
      <c r="F39" s="179" t="str">
        <f>IF(E39="","",INDEX(Methodologytier,MATCH(B$50,Lists!$AZ$4:$AZ$32,0),MATCH(E39,Lists!$BA$3:$BC$3,0)))</f>
        <v/>
      </c>
      <c r="G39" s="148"/>
      <c r="H39" s="199"/>
      <c r="I39" s="38" t="str" cm="1">
        <f t="array" ref="I39">IF(OR($B39="",$C39="",H39=""),"",IF(H39=J39,G39,(INDEX('Emission factors'!$K$3:$V$381,MATCH($B39&amp;$C39,'Emission factors'!$K$3:$K$381&amp;'Emission factors'!$L$3:$L$381,0),MATCH($I$7,'Emission factors'!$K$2:$V$2,0)))*G39))</f>
        <v/>
      </c>
      <c r="J39" s="35" t="str" cm="1">
        <f t="array" ref="J39">IF(OR($B39="",$G39="",OrganisationalWasteTable[[#This Row],[Units]]=""),"",INDEX('Emission factors'!$K$3:$V$381,MATCH($B39&amp;$C39,'Emission factors'!$K$3:$K$381&amp;'Emission factors'!$L$3:$L$381,0),MATCH($J$7,'Emission factors'!$K$2:$V$2,0)))</f>
        <v/>
      </c>
      <c r="K39" s="379" t="str" cm="1">
        <f t="array" ref="K39">IF(OR(B39="",C39="",OrganisationalWasteTable[[#This Row],[Data]]=""),"",INDEX('Emission factors'!$K$3:$V$381,MATCH($B39&amp;$C39,'Emission factors'!$K$3:$K$381&amp;'Emission factors'!$L$3:$L$381,0),MATCH($K$7,'Emission factors'!$K$2:$V$2,0)))</f>
        <v/>
      </c>
      <c r="L39" s="38" t="str">
        <f>IF(OR(OrganisationalWasteTable[[#This Row],[Waste type]]="",OrganisationalWasteTable[[#This Row],[Converted data]]=""),"",SUM(OrganisationalWasteTable[[#This Row],[Direct]:[Indirect WTT]]))</f>
        <v/>
      </c>
      <c r="M39" s="201"/>
      <c r="N39" s="199"/>
      <c r="O39" s="298" t="str" cm="1">
        <f t="array" ref="O39">IF(OR($B39="",$G39="",$I39=""),"",(INDEX('Emission factors'!$K$3:$V$381,MATCH($B39&amp;$C39,'Emission factors'!$K$3:$K$381&amp;'Emission factors'!$L$3:$L$381,0),MATCH(O$7,'Emission factors'!$K$2:$V$2,0)))*$I39)</f>
        <v/>
      </c>
      <c r="P39" s="298" t="str" cm="1">
        <f t="array" ref="P39">IF(OR($B39="",$G39="",$I39=""),"",(INDEX('Emission factors'!$K$3:$V$381,MATCH($B39&amp;$C39,'Emission factors'!$K$3:$K$381&amp;'Emission factors'!$L$3:$L$381,0),MATCH(P$7,'Emission factors'!$K$2:$V$2,0)))*$I39)</f>
        <v/>
      </c>
      <c r="Q39" s="298" t="str" cm="1">
        <f t="array" ref="Q39">IF(OR($B39="",$G39="",$I39=""),"",(INDEX('Emission factors'!$K$3:$V$381,MATCH($B39&amp;$C39,'Emission factors'!$K$3:$K$381&amp;'Emission factors'!$L$3:$L$381,0),MATCH(Q$7,'Emission factors'!$K$2:$V$2,0)))*$I39)</f>
        <v/>
      </c>
      <c r="R39" s="298" t="str" cm="1">
        <f t="array" ref="R39">IF(OR($B39="",$G39="",$I39=""),"",(INDEX('Emission factors'!$K$3:$V$381,MATCH($B39&amp;$C39,'Emission factors'!$K$3:$K$381&amp;'Emission factors'!$L$3:$L$381,0),MATCH(R$7,'Emission factors'!$K$2:$V$2,0)))*$I39)</f>
        <v/>
      </c>
      <c r="S39" s="298" t="str" cm="1">
        <f t="array" ref="S39">IF(OR($B39="",$G39="",$I39=""),"",(INDEX('Emission factors'!$K$3:$V$381,MATCH($B39&amp;$C39,'Emission factors'!$K$3:$K$381&amp;'Emission factors'!$L$3:$L$381,0),MATCH(S$7,'Emission factors'!$K$2:$V$2,0)))*$I39)</f>
        <v/>
      </c>
      <c r="T39" s="299" t="str">
        <f t="shared" si="0"/>
        <v/>
      </c>
      <c r="U39" s="344" t="str">
        <f>IF(OR(OrganisationalWasteTable[[#This Row],[RSD]]="", OrganisationalWasteTable[[#This Row],[Total emissions]]=""), "", OrganisationalWasteTable[[#This Row],[Total emissions]]*(1-OrganisationalWasteTable[[#This Row],[RSD]]))</f>
        <v/>
      </c>
      <c r="V39" s="357" t="str" cm="1">
        <f t="array" ref="V39">IF(OR($B39="",$G39="",$I39=""),"",(INDEX('Emission factors'!$K$3:$V$381,MATCH($B39&amp;$C39,'Emission factors'!$K$3:$K$381&amp;'Emission factors'!$L$3:$L$381,0),MATCH(V$7,'Emission factors'!$K$2:$V$2,0)))*$I39)</f>
        <v/>
      </c>
      <c r="W39" s="335"/>
      <c r="X39" s="1" cm="1">
        <f t="array" ref="X39">IF(OR(ISERROR(B39:V39)),1,0)</f>
        <v>0</v>
      </c>
      <c r="Y39" s="1">
        <f t="shared" si="1"/>
        <v>0</v>
      </c>
    </row>
    <row r="40" spans="2:25" ht="15" thickBot="1" x14ac:dyDescent="0.4">
      <c r="B40" s="198"/>
      <c r="C40" s="199"/>
      <c r="D40" s="6"/>
      <c r="E40" s="199"/>
      <c r="F40" s="179" t="str">
        <f>IF(E40="","",INDEX(Methodologytier,MATCH(B$50,Lists!$AZ$4:$AZ$32,0),MATCH(E40,Lists!$BA$3:$BC$3,0)))</f>
        <v/>
      </c>
      <c r="G40" s="148"/>
      <c r="H40" s="199"/>
      <c r="I40" s="38" t="str" cm="1">
        <f t="array" ref="I40">IF(OR($B40="",$C40="",H40=""),"",IF(H40=J40,G40,(INDEX('Emission factors'!$K$3:$V$381,MATCH($B40&amp;$C40,'Emission factors'!$K$3:$K$381&amp;'Emission factors'!$L$3:$L$381,0),MATCH($I$7,'Emission factors'!$K$2:$V$2,0)))*G40))</f>
        <v/>
      </c>
      <c r="J40" s="35" t="str" cm="1">
        <f t="array" ref="J40">IF(OR($B40="",$G40="",OrganisationalWasteTable[[#This Row],[Units]]=""),"",INDEX('Emission factors'!$K$3:$V$381,MATCH($B40&amp;$C40,'Emission factors'!$K$3:$K$381&amp;'Emission factors'!$L$3:$L$381,0),MATCH($J$7,'Emission factors'!$K$2:$V$2,0)))</f>
        <v/>
      </c>
      <c r="K40" s="379" t="str" cm="1">
        <f t="array" ref="K40">IF(OR(B40="",C40="",OrganisationalWasteTable[[#This Row],[Data]]=""),"",INDEX('Emission factors'!$K$3:$V$381,MATCH($B40&amp;$C40,'Emission factors'!$K$3:$K$381&amp;'Emission factors'!$L$3:$L$381,0),MATCH($K$7,'Emission factors'!$K$2:$V$2,0)))</f>
        <v/>
      </c>
      <c r="L40" s="38" t="str">
        <f>IF(OR(OrganisationalWasteTable[[#This Row],[Waste type]]="",OrganisationalWasteTable[[#This Row],[Converted data]]=""),"",SUM(OrganisationalWasteTable[[#This Row],[Direct]:[Indirect WTT]]))</f>
        <v/>
      </c>
      <c r="M40" s="201"/>
      <c r="N40" s="199"/>
      <c r="O40" s="298" t="str" cm="1">
        <f t="array" ref="O40">IF(OR($B40="",$G40="",$I40=""),"",(INDEX('Emission factors'!$K$3:$V$381,MATCH($B40&amp;$C40,'Emission factors'!$K$3:$K$381&amp;'Emission factors'!$L$3:$L$381,0),MATCH(O$7,'Emission factors'!$K$2:$V$2,0)))*$I40)</f>
        <v/>
      </c>
      <c r="P40" s="298" t="str" cm="1">
        <f t="array" ref="P40">IF(OR($B40="",$G40="",$I40=""),"",(INDEX('Emission factors'!$K$3:$V$381,MATCH($B40&amp;$C40,'Emission factors'!$K$3:$K$381&amp;'Emission factors'!$L$3:$L$381,0),MATCH(P$7,'Emission factors'!$K$2:$V$2,0)))*$I40)</f>
        <v/>
      </c>
      <c r="Q40" s="298" t="str" cm="1">
        <f t="array" ref="Q40">IF(OR($B40="",$G40="",$I40=""),"",(INDEX('Emission factors'!$K$3:$V$381,MATCH($B40&amp;$C40,'Emission factors'!$K$3:$K$381&amp;'Emission factors'!$L$3:$L$381,0),MATCH(Q$7,'Emission factors'!$K$2:$V$2,0)))*$I40)</f>
        <v/>
      </c>
      <c r="R40" s="298" t="str" cm="1">
        <f t="array" ref="R40">IF(OR($B40="",$G40="",$I40=""),"",(INDEX('Emission factors'!$K$3:$V$381,MATCH($B40&amp;$C40,'Emission factors'!$K$3:$K$381&amp;'Emission factors'!$L$3:$L$381,0),MATCH(R$7,'Emission factors'!$K$2:$V$2,0)))*$I40)</f>
        <v/>
      </c>
      <c r="S40" s="298" t="str" cm="1">
        <f t="array" ref="S40">IF(OR($B40="",$G40="",$I40=""),"",(INDEX('Emission factors'!$K$3:$V$381,MATCH($B40&amp;$C40,'Emission factors'!$K$3:$K$381&amp;'Emission factors'!$L$3:$L$381,0),MATCH(S$7,'Emission factors'!$K$2:$V$2,0)))*$I40)</f>
        <v/>
      </c>
      <c r="T40" s="299" t="str">
        <f t="shared" si="0"/>
        <v/>
      </c>
      <c r="U40" s="344" t="str">
        <f>IF(OR(OrganisationalWasteTable[[#This Row],[RSD]]="", OrganisationalWasteTable[[#This Row],[Total emissions]]=""), "", OrganisationalWasteTable[[#This Row],[Total emissions]]*(1-OrganisationalWasteTable[[#This Row],[RSD]]))</f>
        <v/>
      </c>
      <c r="V40" s="357" t="str" cm="1">
        <f t="array" ref="V40">IF(OR($B40="",$G40="",$I40=""),"",(INDEX('Emission factors'!$K$3:$V$381,MATCH($B40&amp;$C40,'Emission factors'!$K$3:$K$381&amp;'Emission factors'!$L$3:$L$381,0),MATCH(V$7,'Emission factors'!$K$2:$V$2,0)))*$I40)</f>
        <v/>
      </c>
      <c r="W40" s="335"/>
      <c r="X40" s="1" cm="1">
        <f t="array" ref="X40">IF(OR(ISERROR(B40:V40)),1,0)</f>
        <v>0</v>
      </c>
      <c r="Y40" s="1">
        <f t="shared" si="1"/>
        <v>0</v>
      </c>
    </row>
    <row r="41" spans="2:25" ht="15" thickBot="1" x14ac:dyDescent="0.4">
      <c r="B41" s="198"/>
      <c r="C41" s="199"/>
      <c r="D41" s="6"/>
      <c r="E41" s="199"/>
      <c r="F41" s="179" t="str">
        <f>IF(E41="","",INDEX(Methodologytier,MATCH(B$50,Lists!$AZ$4:$AZ$32,0),MATCH(E41,Lists!$BA$3:$BC$3,0)))</f>
        <v/>
      </c>
      <c r="G41" s="148"/>
      <c r="H41" s="199"/>
      <c r="I41" s="38" t="str" cm="1">
        <f t="array" ref="I41">IF(OR($B41="",$C41="",H41=""),"",IF(H41=J41,G41,(INDEX('Emission factors'!$K$3:$V$381,MATCH($B41&amp;$C41,'Emission factors'!$K$3:$K$381&amp;'Emission factors'!$L$3:$L$381,0),MATCH($I$7,'Emission factors'!$K$2:$V$2,0)))*G41))</f>
        <v/>
      </c>
      <c r="J41" s="35" t="str" cm="1">
        <f t="array" ref="J41">IF(OR($B41="",$G41="",OrganisationalWasteTable[[#This Row],[Units]]=""),"",INDEX('Emission factors'!$K$3:$V$381,MATCH($B41&amp;$C41,'Emission factors'!$K$3:$K$381&amp;'Emission factors'!$L$3:$L$381,0),MATCH($J$7,'Emission factors'!$K$2:$V$2,0)))</f>
        <v/>
      </c>
      <c r="K41" s="379" t="str" cm="1">
        <f t="array" ref="K41">IF(OR(B41="",C41="",OrganisationalWasteTable[[#This Row],[Data]]=""),"",INDEX('Emission factors'!$K$3:$V$381,MATCH($B41&amp;$C41,'Emission factors'!$K$3:$K$381&amp;'Emission factors'!$L$3:$L$381,0),MATCH($K$7,'Emission factors'!$K$2:$V$2,0)))</f>
        <v/>
      </c>
      <c r="L41" s="38" t="str">
        <f>IF(OR(OrganisationalWasteTable[[#This Row],[Waste type]]="",OrganisationalWasteTable[[#This Row],[Converted data]]=""),"",SUM(OrganisationalWasteTable[[#This Row],[Direct]:[Indirect WTT]]))</f>
        <v/>
      </c>
      <c r="M41" s="201"/>
      <c r="N41" s="199"/>
      <c r="O41" s="298" t="str" cm="1">
        <f t="array" ref="O41">IF(OR($B41="",$G41="",$I41=""),"",(INDEX('Emission factors'!$K$3:$V$381,MATCH($B41&amp;$C41,'Emission factors'!$K$3:$K$381&amp;'Emission factors'!$L$3:$L$381,0),MATCH(O$7,'Emission factors'!$K$2:$V$2,0)))*$I41)</f>
        <v/>
      </c>
      <c r="P41" s="298" t="str" cm="1">
        <f t="array" ref="P41">IF(OR($B41="",$G41="",$I41=""),"",(INDEX('Emission factors'!$K$3:$V$381,MATCH($B41&amp;$C41,'Emission factors'!$K$3:$K$381&amp;'Emission factors'!$L$3:$L$381,0),MATCH(P$7,'Emission factors'!$K$2:$V$2,0)))*$I41)</f>
        <v/>
      </c>
      <c r="Q41" s="298" t="str" cm="1">
        <f t="array" ref="Q41">IF(OR($B41="",$G41="",$I41=""),"",(INDEX('Emission factors'!$K$3:$V$381,MATCH($B41&amp;$C41,'Emission factors'!$K$3:$K$381&amp;'Emission factors'!$L$3:$L$381,0),MATCH(Q$7,'Emission factors'!$K$2:$V$2,0)))*$I41)</f>
        <v/>
      </c>
      <c r="R41" s="298" t="str" cm="1">
        <f t="array" ref="R41">IF(OR($B41="",$G41="",$I41=""),"",(INDEX('Emission factors'!$K$3:$V$381,MATCH($B41&amp;$C41,'Emission factors'!$K$3:$K$381&amp;'Emission factors'!$L$3:$L$381,0),MATCH(R$7,'Emission factors'!$K$2:$V$2,0)))*$I41)</f>
        <v/>
      </c>
      <c r="S41" s="298" t="str" cm="1">
        <f t="array" ref="S41">IF(OR($B41="",$G41="",$I41=""),"",(INDEX('Emission factors'!$K$3:$V$381,MATCH($B41&amp;$C41,'Emission factors'!$K$3:$K$381&amp;'Emission factors'!$L$3:$L$381,0),MATCH(S$7,'Emission factors'!$K$2:$V$2,0)))*$I41)</f>
        <v/>
      </c>
      <c r="T41" s="299" t="str">
        <f t="shared" si="0"/>
        <v/>
      </c>
      <c r="U41" s="344" t="str">
        <f>IF(OR(OrganisationalWasteTable[[#This Row],[RSD]]="", OrganisationalWasteTable[[#This Row],[Total emissions]]=""), "", OrganisationalWasteTable[[#This Row],[Total emissions]]*(1-OrganisationalWasteTable[[#This Row],[RSD]]))</f>
        <v/>
      </c>
      <c r="V41" s="357" t="str" cm="1">
        <f t="array" ref="V41">IF(OR($B41="",$G41="",$I41=""),"",(INDEX('Emission factors'!$K$3:$V$381,MATCH($B41&amp;$C41,'Emission factors'!$K$3:$K$381&amp;'Emission factors'!$L$3:$L$381,0),MATCH(V$7,'Emission factors'!$K$2:$V$2,0)))*$I41)</f>
        <v/>
      </c>
      <c r="W41" s="335"/>
      <c r="X41" s="1" cm="1">
        <f t="array" ref="X41">IF(OR(ISERROR(B41:V41)),1,0)</f>
        <v>0</v>
      </c>
      <c r="Y41" s="1">
        <f t="shared" si="1"/>
        <v>0</v>
      </c>
    </row>
    <row r="42" spans="2:25" ht="15" thickBot="1" x14ac:dyDescent="0.4">
      <c r="B42" s="198"/>
      <c r="C42" s="199"/>
      <c r="D42" s="6"/>
      <c r="E42" s="199"/>
      <c r="F42" s="179" t="str">
        <f>IF(E42="","",INDEX(Methodologytier,MATCH(B$50,Lists!$AZ$4:$AZ$32,0),MATCH(E42,Lists!$BA$3:$BC$3,0)))</f>
        <v/>
      </c>
      <c r="G42" s="148"/>
      <c r="H42" s="199"/>
      <c r="I42" s="38" t="str" cm="1">
        <f t="array" ref="I42">IF(OR($B42="",$C42="",H42=""),"",IF(H42=J42,G42,(INDEX('Emission factors'!$K$3:$V$381,MATCH($B42&amp;$C42,'Emission factors'!$K$3:$K$381&amp;'Emission factors'!$L$3:$L$381,0),MATCH($I$7,'Emission factors'!$K$2:$V$2,0)))*G42))</f>
        <v/>
      </c>
      <c r="J42" s="35" t="str" cm="1">
        <f t="array" ref="J42">IF(OR($B42="",$G42="",OrganisationalWasteTable[[#This Row],[Units]]=""),"",INDEX('Emission factors'!$K$3:$V$381,MATCH($B42&amp;$C42,'Emission factors'!$K$3:$K$381&amp;'Emission factors'!$L$3:$L$381,0),MATCH($J$7,'Emission factors'!$K$2:$V$2,0)))</f>
        <v/>
      </c>
      <c r="K42" s="379" t="str" cm="1">
        <f t="array" ref="K42">IF(OR(B42="",C42="",OrganisationalWasteTable[[#This Row],[Data]]=""),"",INDEX('Emission factors'!$K$3:$V$381,MATCH($B42&amp;$C42,'Emission factors'!$K$3:$K$381&amp;'Emission factors'!$L$3:$L$381,0),MATCH($K$7,'Emission factors'!$K$2:$V$2,0)))</f>
        <v/>
      </c>
      <c r="L42" s="38" t="str">
        <f>IF(OR(OrganisationalWasteTable[[#This Row],[Waste type]]="",OrganisationalWasteTable[[#This Row],[Converted data]]=""),"",SUM(OrganisationalWasteTable[[#This Row],[Direct]:[Indirect WTT]]))</f>
        <v/>
      </c>
      <c r="M42" s="201"/>
      <c r="N42" s="199"/>
      <c r="O42" s="298" t="str" cm="1">
        <f t="array" ref="O42">IF(OR($B42="",$G42="",$I42=""),"",(INDEX('Emission factors'!$K$3:$V$381,MATCH($B42&amp;$C42,'Emission factors'!$K$3:$K$381&amp;'Emission factors'!$L$3:$L$381,0),MATCH(O$7,'Emission factors'!$K$2:$V$2,0)))*$I42)</f>
        <v/>
      </c>
      <c r="P42" s="298" t="str" cm="1">
        <f t="array" ref="P42">IF(OR($B42="",$G42="",$I42=""),"",(INDEX('Emission factors'!$K$3:$V$381,MATCH($B42&amp;$C42,'Emission factors'!$K$3:$K$381&amp;'Emission factors'!$L$3:$L$381,0),MATCH(P$7,'Emission factors'!$K$2:$V$2,0)))*$I42)</f>
        <v/>
      </c>
      <c r="Q42" s="298" t="str" cm="1">
        <f t="array" ref="Q42">IF(OR($B42="",$G42="",$I42=""),"",(INDEX('Emission factors'!$K$3:$V$381,MATCH($B42&amp;$C42,'Emission factors'!$K$3:$K$381&amp;'Emission factors'!$L$3:$L$381,0),MATCH(Q$7,'Emission factors'!$K$2:$V$2,0)))*$I42)</f>
        <v/>
      </c>
      <c r="R42" s="298" t="str" cm="1">
        <f t="array" ref="R42">IF(OR($B42="",$G42="",$I42=""),"",(INDEX('Emission factors'!$K$3:$V$381,MATCH($B42&amp;$C42,'Emission factors'!$K$3:$K$381&amp;'Emission factors'!$L$3:$L$381,0),MATCH(R$7,'Emission factors'!$K$2:$V$2,0)))*$I42)</f>
        <v/>
      </c>
      <c r="S42" s="298" t="str" cm="1">
        <f t="array" ref="S42">IF(OR($B42="",$G42="",$I42=""),"",(INDEX('Emission factors'!$K$3:$V$381,MATCH($B42&amp;$C42,'Emission factors'!$K$3:$K$381&amp;'Emission factors'!$L$3:$L$381,0),MATCH(S$7,'Emission factors'!$K$2:$V$2,0)))*$I42)</f>
        <v/>
      </c>
      <c r="T42" s="299" t="str">
        <f t="shared" si="0"/>
        <v/>
      </c>
      <c r="U42" s="344" t="str">
        <f>IF(OR(OrganisationalWasteTable[[#This Row],[RSD]]="", OrganisationalWasteTable[[#This Row],[Total emissions]]=""), "", OrganisationalWasteTable[[#This Row],[Total emissions]]*(1-OrganisationalWasteTable[[#This Row],[RSD]]))</f>
        <v/>
      </c>
      <c r="V42" s="357" t="str" cm="1">
        <f t="array" ref="V42">IF(OR($B42="",$G42="",$I42=""),"",(INDEX('Emission factors'!$K$3:$V$381,MATCH($B42&amp;$C42,'Emission factors'!$K$3:$K$381&amp;'Emission factors'!$L$3:$L$381,0),MATCH(V$7,'Emission factors'!$K$2:$V$2,0)))*$I42)</f>
        <v/>
      </c>
      <c r="W42" s="335"/>
      <c r="X42" s="1" cm="1">
        <f t="array" ref="X42">IF(OR(ISERROR(B42:V42)),1,0)</f>
        <v>0</v>
      </c>
      <c r="Y42" s="1">
        <f t="shared" si="1"/>
        <v>0</v>
      </c>
    </row>
    <row r="43" spans="2:25" ht="15" thickBot="1" x14ac:dyDescent="0.4">
      <c r="B43" s="198"/>
      <c r="C43" s="199"/>
      <c r="D43" s="6"/>
      <c r="E43" s="199"/>
      <c r="F43" s="179" t="str">
        <f>IF(E43="","",INDEX(Methodologytier,MATCH(B$50,Lists!$AZ$4:$AZ$32,0),MATCH(E43,Lists!$BA$3:$BC$3,0)))</f>
        <v/>
      </c>
      <c r="G43" s="148"/>
      <c r="H43" s="199"/>
      <c r="I43" s="38" t="str" cm="1">
        <f t="array" ref="I43">IF(OR($B43="",$C43="",H43=""),"",IF(H43=J43,G43,(INDEX('Emission factors'!$K$3:$V$381,MATCH($B43&amp;$C43,'Emission factors'!$K$3:$K$381&amp;'Emission factors'!$L$3:$L$381,0),MATCH($I$7,'Emission factors'!$K$2:$V$2,0)))*G43))</f>
        <v/>
      </c>
      <c r="J43" s="35" t="str" cm="1">
        <f t="array" ref="J43">IF(OR($B43="",$G43="",OrganisationalWasteTable[[#This Row],[Units]]=""),"",INDEX('Emission factors'!$K$3:$V$381,MATCH($B43&amp;$C43,'Emission factors'!$K$3:$K$381&amp;'Emission factors'!$L$3:$L$381,0),MATCH($J$7,'Emission factors'!$K$2:$V$2,0)))</f>
        <v/>
      </c>
      <c r="K43" s="379" t="str" cm="1">
        <f t="array" ref="K43">IF(OR(B43="",C43="",OrganisationalWasteTable[[#This Row],[Data]]=""),"",INDEX('Emission factors'!$K$3:$V$381,MATCH($B43&amp;$C43,'Emission factors'!$K$3:$K$381&amp;'Emission factors'!$L$3:$L$381,0),MATCH($K$7,'Emission factors'!$K$2:$V$2,0)))</f>
        <v/>
      </c>
      <c r="L43" s="38" t="str">
        <f>IF(OR(OrganisationalWasteTable[[#This Row],[Waste type]]="",OrganisationalWasteTable[[#This Row],[Converted data]]=""),"",SUM(OrganisationalWasteTable[[#This Row],[Direct]:[Indirect WTT]]))</f>
        <v/>
      </c>
      <c r="M43" s="201"/>
      <c r="N43" s="199"/>
      <c r="O43" s="298" t="str" cm="1">
        <f t="array" ref="O43">IF(OR($B43="",$G43="",$I43=""),"",(INDEX('Emission factors'!$K$3:$V$381,MATCH($B43&amp;$C43,'Emission factors'!$K$3:$K$381&amp;'Emission factors'!$L$3:$L$381,0),MATCH(O$7,'Emission factors'!$K$2:$V$2,0)))*$I43)</f>
        <v/>
      </c>
      <c r="P43" s="298" t="str" cm="1">
        <f t="array" ref="P43">IF(OR($B43="",$G43="",$I43=""),"",(INDEX('Emission factors'!$K$3:$V$381,MATCH($B43&amp;$C43,'Emission factors'!$K$3:$K$381&amp;'Emission factors'!$L$3:$L$381,0),MATCH(P$7,'Emission factors'!$K$2:$V$2,0)))*$I43)</f>
        <v/>
      </c>
      <c r="Q43" s="298" t="str" cm="1">
        <f t="array" ref="Q43">IF(OR($B43="",$G43="",$I43=""),"",(INDEX('Emission factors'!$K$3:$V$381,MATCH($B43&amp;$C43,'Emission factors'!$K$3:$K$381&amp;'Emission factors'!$L$3:$L$381,0),MATCH(Q$7,'Emission factors'!$K$2:$V$2,0)))*$I43)</f>
        <v/>
      </c>
      <c r="R43" s="298" t="str" cm="1">
        <f t="array" ref="R43">IF(OR($B43="",$G43="",$I43=""),"",(INDEX('Emission factors'!$K$3:$V$381,MATCH($B43&amp;$C43,'Emission factors'!$K$3:$K$381&amp;'Emission factors'!$L$3:$L$381,0),MATCH(R$7,'Emission factors'!$K$2:$V$2,0)))*$I43)</f>
        <v/>
      </c>
      <c r="S43" s="298" t="str" cm="1">
        <f t="array" ref="S43">IF(OR($B43="",$G43="",$I43=""),"",(INDEX('Emission factors'!$K$3:$V$381,MATCH($B43&amp;$C43,'Emission factors'!$K$3:$K$381&amp;'Emission factors'!$L$3:$L$381,0),MATCH(S$7,'Emission factors'!$K$2:$V$2,0)))*$I43)</f>
        <v/>
      </c>
      <c r="T43" s="299" t="str">
        <f t="shared" si="0"/>
        <v/>
      </c>
      <c r="U43" s="344" t="str">
        <f>IF(OR(OrganisationalWasteTable[[#This Row],[RSD]]="", OrganisationalWasteTable[[#This Row],[Total emissions]]=""), "", OrganisationalWasteTable[[#This Row],[Total emissions]]*(1-OrganisationalWasteTable[[#This Row],[RSD]]))</f>
        <v/>
      </c>
      <c r="V43" s="357" t="str" cm="1">
        <f t="array" ref="V43">IF(OR($B43="",$G43="",$I43=""),"",(INDEX('Emission factors'!$K$3:$V$381,MATCH($B43&amp;$C43,'Emission factors'!$K$3:$K$381&amp;'Emission factors'!$L$3:$L$381,0),MATCH(V$7,'Emission factors'!$K$2:$V$2,0)))*$I43)</f>
        <v/>
      </c>
      <c r="W43" s="335"/>
      <c r="X43" s="1" cm="1">
        <f t="array" ref="X43">IF(OR(ISERROR(B43:V43)),1,0)</f>
        <v>0</v>
      </c>
      <c r="Y43" s="1">
        <f t="shared" si="1"/>
        <v>0</v>
      </c>
    </row>
    <row r="44" spans="2:25" ht="15" thickBot="1" x14ac:dyDescent="0.4">
      <c r="B44" s="198"/>
      <c r="C44" s="199"/>
      <c r="D44" s="6"/>
      <c r="E44" s="199"/>
      <c r="F44" s="179" t="str">
        <f>IF(E44="","",INDEX(Methodologytier,MATCH(B$50,Lists!$AZ$4:$AZ$32,0),MATCH(E44,Lists!$BA$3:$BC$3,0)))</f>
        <v/>
      </c>
      <c r="G44" s="148"/>
      <c r="H44" s="199"/>
      <c r="I44" s="38" t="str" cm="1">
        <f t="array" ref="I44">IF(OR($B44="",$C44="",H44=""),"",IF(H44=J44,G44,(INDEX('Emission factors'!$K$3:$V$381,MATCH($B44&amp;$C44,'Emission factors'!$K$3:$K$381&amp;'Emission factors'!$L$3:$L$381,0),MATCH($I$7,'Emission factors'!$K$2:$V$2,0)))*G44))</f>
        <v/>
      </c>
      <c r="J44" s="35" t="str" cm="1">
        <f t="array" ref="J44">IF(OR($B44="",$G44="",OrganisationalWasteTable[[#This Row],[Units]]=""),"",INDEX('Emission factors'!$K$3:$V$381,MATCH($B44&amp;$C44,'Emission factors'!$K$3:$K$381&amp;'Emission factors'!$L$3:$L$381,0),MATCH($J$7,'Emission factors'!$K$2:$V$2,0)))</f>
        <v/>
      </c>
      <c r="K44" s="379" t="str" cm="1">
        <f t="array" ref="K44">IF(OR(B44="",C44="",OrganisationalWasteTable[[#This Row],[Data]]=""),"",INDEX('Emission factors'!$K$3:$V$381,MATCH($B44&amp;$C44,'Emission factors'!$K$3:$K$381&amp;'Emission factors'!$L$3:$L$381,0),MATCH($K$7,'Emission factors'!$K$2:$V$2,0)))</f>
        <v/>
      </c>
      <c r="L44" s="38" t="str">
        <f>IF(OR(OrganisationalWasteTable[[#This Row],[Waste type]]="",OrganisationalWasteTable[[#This Row],[Converted data]]=""),"",SUM(OrganisationalWasteTable[[#This Row],[Direct]:[Indirect WTT]]))</f>
        <v/>
      </c>
      <c r="M44" s="201"/>
      <c r="N44" s="199"/>
      <c r="O44" s="298" t="str" cm="1">
        <f t="array" ref="O44">IF(OR($B44="",$G44="",$I44=""),"",(INDEX('Emission factors'!$K$3:$V$381,MATCH($B44&amp;$C44,'Emission factors'!$K$3:$K$381&amp;'Emission factors'!$L$3:$L$381,0),MATCH(O$7,'Emission factors'!$K$2:$V$2,0)))*$I44)</f>
        <v/>
      </c>
      <c r="P44" s="298" t="str" cm="1">
        <f t="array" ref="P44">IF(OR($B44="",$G44="",$I44=""),"",(INDEX('Emission factors'!$K$3:$V$381,MATCH($B44&amp;$C44,'Emission factors'!$K$3:$K$381&amp;'Emission factors'!$L$3:$L$381,0),MATCH(P$7,'Emission factors'!$K$2:$V$2,0)))*$I44)</f>
        <v/>
      </c>
      <c r="Q44" s="298" t="str" cm="1">
        <f t="array" ref="Q44">IF(OR($B44="",$G44="",$I44=""),"",(INDEX('Emission factors'!$K$3:$V$381,MATCH($B44&amp;$C44,'Emission factors'!$K$3:$K$381&amp;'Emission factors'!$L$3:$L$381,0),MATCH(Q$7,'Emission factors'!$K$2:$V$2,0)))*$I44)</f>
        <v/>
      </c>
      <c r="R44" s="298" t="str" cm="1">
        <f t="array" ref="R44">IF(OR($B44="",$G44="",$I44=""),"",(INDEX('Emission factors'!$K$3:$V$381,MATCH($B44&amp;$C44,'Emission factors'!$K$3:$K$381&amp;'Emission factors'!$L$3:$L$381,0),MATCH(R$7,'Emission factors'!$K$2:$V$2,0)))*$I44)</f>
        <v/>
      </c>
      <c r="S44" s="298" t="str" cm="1">
        <f t="array" ref="S44">IF(OR($B44="",$G44="",$I44=""),"",(INDEX('Emission factors'!$K$3:$V$381,MATCH($B44&amp;$C44,'Emission factors'!$K$3:$K$381&amp;'Emission factors'!$L$3:$L$381,0),MATCH(S$7,'Emission factors'!$K$2:$V$2,0)))*$I44)</f>
        <v/>
      </c>
      <c r="T44" s="299" t="str">
        <f t="shared" si="0"/>
        <v/>
      </c>
      <c r="U44" s="344" t="str">
        <f>IF(OR(OrganisationalWasteTable[[#This Row],[RSD]]="", OrganisationalWasteTable[[#This Row],[Total emissions]]=""), "", OrganisationalWasteTable[[#This Row],[Total emissions]]*(1-OrganisationalWasteTable[[#This Row],[RSD]]))</f>
        <v/>
      </c>
      <c r="V44" s="357" t="str" cm="1">
        <f t="array" ref="V44">IF(OR($B44="",$G44="",$I44=""),"",(INDEX('Emission factors'!$K$3:$V$381,MATCH($B44&amp;$C44,'Emission factors'!$K$3:$K$381&amp;'Emission factors'!$L$3:$L$381,0),MATCH(V$7,'Emission factors'!$K$2:$V$2,0)))*$I44)</f>
        <v/>
      </c>
      <c r="W44" s="335"/>
      <c r="X44" s="1" cm="1">
        <f t="array" ref="X44">IF(OR(ISERROR(B44:V44)),1,0)</f>
        <v>0</v>
      </c>
      <c r="Y44" s="1">
        <f t="shared" si="1"/>
        <v>0</v>
      </c>
    </row>
    <row r="45" spans="2:25" ht="15" thickBot="1" x14ac:dyDescent="0.4">
      <c r="B45" s="198"/>
      <c r="C45" s="199"/>
      <c r="D45" s="6"/>
      <c r="E45" s="199"/>
      <c r="F45" s="179" t="str">
        <f>IF(E45="","",INDEX(Methodologytier,MATCH(B$50,Lists!$AZ$4:$AZ$32,0),MATCH(E45,Lists!$BA$3:$BC$3,0)))</f>
        <v/>
      </c>
      <c r="G45" s="148"/>
      <c r="H45" s="199"/>
      <c r="I45" s="38" t="str" cm="1">
        <f t="array" ref="I45">IF(OR($B45="",$C45="",H45=""),"",IF(H45=J45,G45,(INDEX('Emission factors'!$K$3:$V$381,MATCH($B45&amp;$C45,'Emission factors'!$K$3:$K$381&amp;'Emission factors'!$L$3:$L$381,0),MATCH($I$7,'Emission factors'!$K$2:$V$2,0)))*G45))</f>
        <v/>
      </c>
      <c r="J45" s="35" t="str" cm="1">
        <f t="array" ref="J45">IF(OR($B45="",$G45="",OrganisationalWasteTable[[#This Row],[Units]]=""),"",INDEX('Emission factors'!$K$3:$V$381,MATCH($B45&amp;$C45,'Emission factors'!$K$3:$K$381&amp;'Emission factors'!$L$3:$L$381,0),MATCH($J$7,'Emission factors'!$K$2:$V$2,0)))</f>
        <v/>
      </c>
      <c r="K45" s="379" t="str" cm="1">
        <f t="array" ref="K45">IF(OR(B45="",C45="",OrganisationalWasteTable[[#This Row],[Data]]=""),"",INDEX('Emission factors'!$K$3:$V$381,MATCH($B45&amp;$C45,'Emission factors'!$K$3:$K$381&amp;'Emission factors'!$L$3:$L$381,0),MATCH($K$7,'Emission factors'!$K$2:$V$2,0)))</f>
        <v/>
      </c>
      <c r="L45" s="38" t="str">
        <f>IF(OR(OrganisationalWasteTable[[#This Row],[Waste type]]="",OrganisationalWasteTable[[#This Row],[Converted data]]=""),"",SUM(OrganisationalWasteTable[[#This Row],[Direct]:[Indirect WTT]]))</f>
        <v/>
      </c>
      <c r="M45" s="201"/>
      <c r="N45" s="199"/>
      <c r="O45" s="298" t="str" cm="1">
        <f t="array" ref="O45">IF(OR($B45="",$G45="",$I45=""),"",(INDEX('Emission factors'!$K$3:$V$381,MATCH($B45&amp;$C45,'Emission factors'!$K$3:$K$381&amp;'Emission factors'!$L$3:$L$381,0),MATCH(O$7,'Emission factors'!$K$2:$V$2,0)))*$I45)</f>
        <v/>
      </c>
      <c r="P45" s="298" t="str" cm="1">
        <f t="array" ref="P45">IF(OR($B45="",$G45="",$I45=""),"",(INDEX('Emission factors'!$K$3:$V$381,MATCH($B45&amp;$C45,'Emission factors'!$K$3:$K$381&amp;'Emission factors'!$L$3:$L$381,0),MATCH(P$7,'Emission factors'!$K$2:$V$2,0)))*$I45)</f>
        <v/>
      </c>
      <c r="Q45" s="298" t="str" cm="1">
        <f t="array" ref="Q45">IF(OR($B45="",$G45="",$I45=""),"",(INDEX('Emission factors'!$K$3:$V$381,MATCH($B45&amp;$C45,'Emission factors'!$K$3:$K$381&amp;'Emission factors'!$L$3:$L$381,0),MATCH(Q$7,'Emission factors'!$K$2:$V$2,0)))*$I45)</f>
        <v/>
      </c>
      <c r="R45" s="298" t="str" cm="1">
        <f t="array" ref="R45">IF(OR($B45="",$G45="",$I45=""),"",(INDEX('Emission factors'!$K$3:$V$381,MATCH($B45&amp;$C45,'Emission factors'!$K$3:$K$381&amp;'Emission factors'!$L$3:$L$381,0),MATCH(R$7,'Emission factors'!$K$2:$V$2,0)))*$I45)</f>
        <v/>
      </c>
      <c r="S45" s="298" t="str" cm="1">
        <f t="array" ref="S45">IF(OR($B45="",$G45="",$I45=""),"",(INDEX('Emission factors'!$K$3:$V$381,MATCH($B45&amp;$C45,'Emission factors'!$K$3:$K$381&amp;'Emission factors'!$L$3:$L$381,0),MATCH(S$7,'Emission factors'!$K$2:$V$2,0)))*$I45)</f>
        <v/>
      </c>
      <c r="T45" s="299" t="str">
        <f t="shared" si="0"/>
        <v/>
      </c>
      <c r="U45" s="344" t="str">
        <f>IF(OR(OrganisationalWasteTable[[#This Row],[RSD]]="", OrganisationalWasteTable[[#This Row],[Total emissions]]=""), "", OrganisationalWasteTable[[#This Row],[Total emissions]]*(1-OrganisationalWasteTable[[#This Row],[RSD]]))</f>
        <v/>
      </c>
      <c r="V45" s="357" t="str" cm="1">
        <f t="array" ref="V45">IF(OR($B45="",$G45="",$I45=""),"",(INDEX('Emission factors'!$K$3:$V$381,MATCH($B45&amp;$C45,'Emission factors'!$K$3:$K$381&amp;'Emission factors'!$L$3:$L$381,0),MATCH(V$7,'Emission factors'!$K$2:$V$2,0)))*$I45)</f>
        <v/>
      </c>
      <c r="W45" s="335"/>
      <c r="X45" s="1" cm="1">
        <f t="array" ref="X45">IF(OR(ISERROR(B45:V45)),1,0)</f>
        <v>0</v>
      </c>
      <c r="Y45" s="1">
        <f t="shared" si="1"/>
        <v>0</v>
      </c>
    </row>
    <row r="46" spans="2:25" ht="15" thickBot="1" x14ac:dyDescent="0.4">
      <c r="B46" s="198"/>
      <c r="C46" s="199"/>
      <c r="D46" s="6"/>
      <c r="E46" s="199"/>
      <c r="F46" s="179" t="str">
        <f>IF(E46="","",INDEX(Methodologytier,MATCH(B$50,Lists!$AZ$4:$AZ$32,0),MATCH(E46,Lists!$BA$3:$BC$3,0)))</f>
        <v/>
      </c>
      <c r="G46" s="148"/>
      <c r="H46" s="199"/>
      <c r="I46" s="38" t="str" cm="1">
        <f t="array" ref="I46">IF(OR($B46="",$C46="",H46=""),"",IF(H46=J46,G46,(INDEX('Emission factors'!$K$3:$V$381,MATCH($B46&amp;$C46,'Emission factors'!$K$3:$K$381&amp;'Emission factors'!$L$3:$L$381,0),MATCH($I$7,'Emission factors'!$K$2:$V$2,0)))*G46))</f>
        <v/>
      </c>
      <c r="J46" s="35" t="str" cm="1">
        <f t="array" ref="J46">IF(OR($B46="",$G46="",OrganisationalWasteTable[[#This Row],[Units]]=""),"",INDEX('Emission factors'!$K$3:$V$381,MATCH($B46&amp;$C46,'Emission factors'!$K$3:$K$381&amp;'Emission factors'!$L$3:$L$381,0),MATCH($J$7,'Emission factors'!$K$2:$V$2,0)))</f>
        <v/>
      </c>
      <c r="K46" s="379" t="str" cm="1">
        <f t="array" ref="K46">IF(OR(B46="",C46="",OrganisationalWasteTable[[#This Row],[Data]]=""),"",INDEX('Emission factors'!$K$3:$V$381,MATCH($B46&amp;$C46,'Emission factors'!$K$3:$K$381&amp;'Emission factors'!$L$3:$L$381,0),MATCH($K$7,'Emission factors'!$K$2:$V$2,0)))</f>
        <v/>
      </c>
      <c r="L46" s="38" t="str">
        <f>IF(OR(OrganisationalWasteTable[[#This Row],[Waste type]]="",OrganisationalWasteTable[[#This Row],[Converted data]]=""),"",SUM(OrganisationalWasteTable[[#This Row],[Direct]:[Indirect WTT]]))</f>
        <v/>
      </c>
      <c r="M46" s="201"/>
      <c r="N46" s="199"/>
      <c r="O46" s="298" t="str" cm="1">
        <f t="array" ref="O46">IF(OR($B46="",$G46="",$I46=""),"",(INDEX('Emission factors'!$K$3:$V$381,MATCH($B46&amp;$C46,'Emission factors'!$K$3:$K$381&amp;'Emission factors'!$L$3:$L$381,0),MATCH(O$7,'Emission factors'!$K$2:$V$2,0)))*$I46)</f>
        <v/>
      </c>
      <c r="P46" s="298" t="str" cm="1">
        <f t="array" ref="P46">IF(OR($B46="",$G46="",$I46=""),"",(INDEX('Emission factors'!$K$3:$V$381,MATCH($B46&amp;$C46,'Emission factors'!$K$3:$K$381&amp;'Emission factors'!$L$3:$L$381,0),MATCH(P$7,'Emission factors'!$K$2:$V$2,0)))*$I46)</f>
        <v/>
      </c>
      <c r="Q46" s="298" t="str" cm="1">
        <f t="array" ref="Q46">IF(OR($B46="",$G46="",$I46=""),"",(INDEX('Emission factors'!$K$3:$V$381,MATCH($B46&amp;$C46,'Emission factors'!$K$3:$K$381&amp;'Emission factors'!$L$3:$L$381,0),MATCH(Q$7,'Emission factors'!$K$2:$V$2,0)))*$I46)</f>
        <v/>
      </c>
      <c r="R46" s="298" t="str" cm="1">
        <f t="array" ref="R46">IF(OR($B46="",$G46="",$I46=""),"",(INDEX('Emission factors'!$K$3:$V$381,MATCH($B46&amp;$C46,'Emission factors'!$K$3:$K$381&amp;'Emission factors'!$L$3:$L$381,0),MATCH(R$7,'Emission factors'!$K$2:$V$2,0)))*$I46)</f>
        <v/>
      </c>
      <c r="S46" s="298" t="str" cm="1">
        <f t="array" ref="S46">IF(OR($B46="",$G46="",$I46=""),"",(INDEX('Emission factors'!$K$3:$V$381,MATCH($B46&amp;$C46,'Emission factors'!$K$3:$K$381&amp;'Emission factors'!$L$3:$L$381,0),MATCH(S$7,'Emission factors'!$K$2:$V$2,0)))*$I46)</f>
        <v/>
      </c>
      <c r="T46" s="299" t="str">
        <f t="shared" si="0"/>
        <v/>
      </c>
      <c r="U46" s="344" t="str">
        <f>IF(OR(OrganisationalWasteTable[[#This Row],[RSD]]="", OrganisationalWasteTable[[#This Row],[Total emissions]]=""), "", OrganisationalWasteTable[[#This Row],[Total emissions]]*(1-OrganisationalWasteTable[[#This Row],[RSD]]))</f>
        <v/>
      </c>
      <c r="V46" s="357" t="str" cm="1">
        <f t="array" ref="V46">IF(OR($B46="",$G46="",$I46=""),"",(INDEX('Emission factors'!$K$3:$V$381,MATCH($B46&amp;$C46,'Emission factors'!$K$3:$K$381&amp;'Emission factors'!$L$3:$L$381,0),MATCH(V$7,'Emission factors'!$K$2:$V$2,0)))*$I46)</f>
        <v/>
      </c>
      <c r="W46" s="335"/>
      <c r="X46" s="1" cm="1">
        <f t="array" ref="X46">IF(OR(ISERROR(B46:V46)),1,0)</f>
        <v>0</v>
      </c>
      <c r="Y46" s="1">
        <f t="shared" si="1"/>
        <v>0</v>
      </c>
    </row>
    <row r="47" spans="2:25" ht="15" thickBot="1" x14ac:dyDescent="0.4">
      <c r="B47" s="198"/>
      <c r="C47" s="199"/>
      <c r="D47" s="6"/>
      <c r="E47" s="199"/>
      <c r="F47" s="179" t="str">
        <f>IF(E47="","",INDEX(Methodologytier,MATCH(B$50,Lists!$AZ$4:$AZ$32,0),MATCH(E47,Lists!$BA$3:$BC$3,0)))</f>
        <v/>
      </c>
      <c r="G47" s="148"/>
      <c r="H47" s="199"/>
      <c r="I47" s="38" t="str" cm="1">
        <f t="array" ref="I47">IF(OR($B47="",$C47="",H47=""),"",IF(H47=J47,G47,(INDEX('Emission factors'!$K$3:$V$381,MATCH($B47&amp;$C47,'Emission factors'!$K$3:$K$381&amp;'Emission factors'!$L$3:$L$381,0),MATCH($I$7,'Emission factors'!$K$2:$V$2,0)))*G47))</f>
        <v/>
      </c>
      <c r="J47" s="35" t="str" cm="1">
        <f t="array" ref="J47">IF(OR($B47="",$G47="",OrganisationalWasteTable[[#This Row],[Units]]=""),"",INDEX('Emission factors'!$K$3:$V$381,MATCH($B47&amp;$C47,'Emission factors'!$K$3:$K$381&amp;'Emission factors'!$L$3:$L$381,0),MATCH($J$7,'Emission factors'!$K$2:$V$2,0)))</f>
        <v/>
      </c>
      <c r="K47" s="379" t="str" cm="1">
        <f t="array" ref="K47">IF(OR(B47="",C47="",OrganisationalWasteTable[[#This Row],[Data]]=""),"",INDEX('Emission factors'!$K$3:$V$381,MATCH($B47&amp;$C47,'Emission factors'!$K$3:$K$381&amp;'Emission factors'!$L$3:$L$381,0),MATCH($K$7,'Emission factors'!$K$2:$V$2,0)))</f>
        <v/>
      </c>
      <c r="L47" s="38" t="str">
        <f>IF(OR(OrganisationalWasteTable[[#This Row],[Waste type]]="",OrganisationalWasteTable[[#This Row],[Converted data]]=""),"",SUM(OrganisationalWasteTable[[#This Row],[Direct]:[Indirect WTT]]))</f>
        <v/>
      </c>
      <c r="M47" s="201"/>
      <c r="N47" s="199"/>
      <c r="O47" s="298" t="str" cm="1">
        <f t="array" ref="O47">IF(OR($B47="",$G47="",$I47=""),"",(INDEX('Emission factors'!$K$3:$V$381,MATCH($B47&amp;$C47,'Emission factors'!$K$3:$K$381&amp;'Emission factors'!$L$3:$L$381,0),MATCH(O$7,'Emission factors'!$K$2:$V$2,0)))*$I47)</f>
        <v/>
      </c>
      <c r="P47" s="298" t="str" cm="1">
        <f t="array" ref="P47">IF(OR($B47="",$G47="",$I47=""),"",(INDEX('Emission factors'!$K$3:$V$381,MATCH($B47&amp;$C47,'Emission factors'!$K$3:$K$381&amp;'Emission factors'!$L$3:$L$381,0),MATCH(P$7,'Emission factors'!$K$2:$V$2,0)))*$I47)</f>
        <v/>
      </c>
      <c r="Q47" s="298" t="str" cm="1">
        <f t="array" ref="Q47">IF(OR($B47="",$G47="",$I47=""),"",(INDEX('Emission factors'!$K$3:$V$381,MATCH($B47&amp;$C47,'Emission factors'!$K$3:$K$381&amp;'Emission factors'!$L$3:$L$381,0),MATCH(Q$7,'Emission factors'!$K$2:$V$2,0)))*$I47)</f>
        <v/>
      </c>
      <c r="R47" s="298" t="str" cm="1">
        <f t="array" ref="R47">IF(OR($B47="",$G47="",$I47=""),"",(INDEX('Emission factors'!$K$3:$V$381,MATCH($B47&amp;$C47,'Emission factors'!$K$3:$K$381&amp;'Emission factors'!$L$3:$L$381,0),MATCH(R$7,'Emission factors'!$K$2:$V$2,0)))*$I47)</f>
        <v/>
      </c>
      <c r="S47" s="298" t="str" cm="1">
        <f t="array" ref="S47">IF(OR($B47="",$G47="",$I47=""),"",(INDEX('Emission factors'!$K$3:$V$381,MATCH($B47&amp;$C47,'Emission factors'!$K$3:$K$381&amp;'Emission factors'!$L$3:$L$381,0),MATCH(S$7,'Emission factors'!$K$2:$V$2,0)))*$I47)</f>
        <v/>
      </c>
      <c r="T47" s="299" t="str">
        <f t="shared" si="0"/>
        <v/>
      </c>
      <c r="U47" s="344" t="str">
        <f>IF(OR(OrganisationalWasteTable[[#This Row],[RSD]]="", OrganisationalWasteTable[[#This Row],[Total emissions]]=""), "", OrganisationalWasteTable[[#This Row],[Total emissions]]*(1-OrganisationalWasteTable[[#This Row],[RSD]]))</f>
        <v/>
      </c>
      <c r="V47" s="357" t="str" cm="1">
        <f t="array" ref="V47">IF(OR($B47="",$G47="",$I47=""),"",(INDEX('Emission factors'!$K$3:$V$381,MATCH($B47&amp;$C47,'Emission factors'!$K$3:$K$381&amp;'Emission factors'!$L$3:$L$381,0),MATCH(V$7,'Emission factors'!$K$2:$V$2,0)))*$I47)</f>
        <v/>
      </c>
      <c r="W47" s="335"/>
      <c r="X47" s="1" cm="1">
        <f t="array" ref="X47">IF(OR(ISERROR(B47:V47)),1,0)</f>
        <v>0</v>
      </c>
      <c r="Y47" s="1">
        <f t="shared" si="1"/>
        <v>0</v>
      </c>
    </row>
    <row r="48" spans="2:25" ht="15" thickBot="1" x14ac:dyDescent="0.4">
      <c r="B48" s="198"/>
      <c r="C48" s="200"/>
      <c r="D48" s="6"/>
      <c r="E48" s="200"/>
      <c r="F48" s="179" t="str">
        <f>IF(E48="","",INDEX(Methodologytier,MATCH(B$50,Lists!$AZ$4:$AZ$32,0),MATCH(E48,Lists!$BA$3:$BC$3,0)))</f>
        <v/>
      </c>
      <c r="G48" s="148"/>
      <c r="H48" s="200"/>
      <c r="I48" s="38" t="str" cm="1">
        <f t="array" ref="I48">IF(OR($B48="",$C48="",H48=""),"",IF(H48=J48,G48,(INDEX('Emission factors'!$K$3:$V$381,MATCH($B48&amp;$C48,'Emission factors'!$K$3:$K$381&amp;'Emission factors'!$L$3:$L$381,0),MATCH($I$7,'Emission factors'!$K$2:$V$2,0)))*G48))</f>
        <v/>
      </c>
      <c r="J48" s="35" t="str" cm="1">
        <f t="array" ref="J48">IF(OR($B48="",$G48="",OrganisationalWasteTable[[#This Row],[Units]]=""),"",INDEX('Emission factors'!$K$3:$V$381,MATCH($B48&amp;$C48,'Emission factors'!$K$3:$K$381&amp;'Emission factors'!$L$3:$L$381,0),MATCH($J$7,'Emission factors'!$K$2:$V$2,0)))</f>
        <v/>
      </c>
      <c r="K48" s="35" t="str" cm="1">
        <f t="array" ref="K48">IF(OR(B48="",C48="",OrganisationalWasteTable[[#This Row],[Data]]=""),"",INDEX('Emission factors'!$K$3:$V$381,MATCH($B48&amp;$C48,'Emission factors'!$K$3:$K$381&amp;'Emission factors'!$L$3:$L$381,0),MATCH($K$7,'Emission factors'!$K$2:$V$2,0)))</f>
        <v/>
      </c>
      <c r="L48" s="38" t="str">
        <f>IF(OR(OrganisationalWasteTable[[#This Row],[Waste type]]="",OrganisationalWasteTable[[#This Row],[Converted data]]=""),"",SUM(OrganisationalWasteTable[[#This Row],[Direct]:[Indirect WTT]]))</f>
        <v/>
      </c>
      <c r="M48" s="202"/>
      <c r="N48" s="200"/>
      <c r="O48" s="298" t="str" cm="1">
        <f t="array" ref="O48">IF(OR($B48="",$G48="",$I48=""),"",(INDEX('Emission factors'!$K$3:$V$381,MATCH($B48&amp;$C48,'Emission factors'!$K$3:$K$381&amp;'Emission factors'!$L$3:$L$381,0),MATCH(O$7,'Emission factors'!$K$2:$V$2,0)))*$I48)</f>
        <v/>
      </c>
      <c r="P48" s="298" t="str" cm="1">
        <f t="array" ref="P48">IF(OR($B48="",$G48="",$I48=""),"",(INDEX('Emission factors'!$K$3:$V$381,MATCH($B48&amp;$C48,'Emission factors'!$K$3:$K$381&amp;'Emission factors'!$L$3:$L$381,0),MATCH(P$7,'Emission factors'!$K$2:$V$2,0)))*$I48)</f>
        <v/>
      </c>
      <c r="Q48" s="298" t="str" cm="1">
        <f t="array" ref="Q48">IF(OR($B48="",$G48="",$I48=""),"",(INDEX('Emission factors'!$K$3:$V$381,MATCH($B48&amp;$C48,'Emission factors'!$K$3:$K$381&amp;'Emission factors'!$L$3:$L$381,0),MATCH(Q$7,'Emission factors'!$K$2:$V$2,0)))*$I48)</f>
        <v/>
      </c>
      <c r="R48" s="298" t="str" cm="1">
        <f t="array" ref="R48">IF(OR($B48="",$G48="",$I48=""),"",(INDEX('Emission factors'!$K$3:$V$381,MATCH($B48&amp;$C48,'Emission factors'!$K$3:$K$381&amp;'Emission factors'!$L$3:$L$381,0),MATCH(R$7,'Emission factors'!$K$2:$V$2,0)))*$I48)</f>
        <v/>
      </c>
      <c r="S48" s="298" t="str" cm="1">
        <f t="array" ref="S48">IF(OR($B48="",$G48="",$I48=""),"",(INDEX('Emission factors'!$K$3:$V$381,MATCH($B48&amp;$C48,'Emission factors'!$K$3:$K$381&amp;'Emission factors'!$L$3:$L$381,0),MATCH(S$7,'Emission factors'!$K$2:$V$2,0)))*$I48)</f>
        <v/>
      </c>
      <c r="T48" s="300" t="str">
        <f t="shared" si="0"/>
        <v/>
      </c>
      <c r="U48" s="345" t="str">
        <f>IF(OR(OrganisationalWasteTable[[#This Row],[RSD]]="", OrganisationalWasteTable[[#This Row],[Total emissions]]=""), "", OrganisationalWasteTable[[#This Row],[Total emissions]]*(1-OrganisationalWasteTable[[#This Row],[RSD]]))</f>
        <v/>
      </c>
      <c r="V48" s="357" t="str" cm="1">
        <f t="array" ref="V48">IF(OR($B48="",$G48="",$I48=""),"",(INDEX('Emission factors'!$K$3:$V$381,MATCH($B48&amp;$C48,'Emission factors'!$K$3:$K$381&amp;'Emission factors'!$L$3:$L$381,0),MATCH(V$7,'Emission factors'!$K$2:$V$2,0)))*$I48)</f>
        <v/>
      </c>
      <c r="W48" s="335"/>
      <c r="X48" s="1" cm="1">
        <f t="array" ref="X48">IF(OR(ISERROR(B48:V48)),1,0)</f>
        <v>0</v>
      </c>
      <c r="Y48" s="1">
        <f t="shared" si="1"/>
        <v>0</v>
      </c>
    </row>
    <row r="49" spans="2:25" x14ac:dyDescent="0.35">
      <c r="N49" s="81"/>
      <c r="O49" s="81"/>
      <c r="P49" s="81"/>
      <c r="Q49" s="81"/>
      <c r="R49" s="81"/>
      <c r="S49" s="337"/>
      <c r="T49" s="349"/>
      <c r="U49" s="346"/>
    </row>
    <row r="50" spans="2:25" ht="18" customHeight="1" thickBot="1" x14ac:dyDescent="0.4">
      <c r="B50" s="132" t="s">
        <v>75</v>
      </c>
      <c r="C50" s="59"/>
      <c r="E50" s="18"/>
      <c r="N50" s="51"/>
      <c r="S50" s="32"/>
      <c r="T50" s="350"/>
      <c r="U50" s="335"/>
    </row>
    <row r="51" spans="2:25" ht="43.5" customHeight="1" thickBot="1" x14ac:dyDescent="0.4">
      <c r="B51" s="183" t="s">
        <v>169</v>
      </c>
      <c r="C51" s="203"/>
      <c r="D51" s="478" t="s">
        <v>1233</v>
      </c>
      <c r="E51" s="18"/>
      <c r="G51"/>
      <c r="H51" s="441" t="str">
        <f>IF($Y$52=0,"No data entered",IF($X$52=0,"No errors in this table","There are errors in this table see highlighted row(s)"))</f>
        <v>No data entered</v>
      </c>
      <c r="J51" s="160" t="str">
        <f>IF(C51="Y","Waste EF not including transport",IF(C51="N","Waste",""))</f>
        <v/>
      </c>
      <c r="K51" s="18"/>
      <c r="N51" s="51" t="s">
        <v>111</v>
      </c>
      <c r="O51" s="133"/>
      <c r="P51" s="133"/>
      <c r="Q51" s="133"/>
      <c r="R51" s="133"/>
      <c r="S51" s="338"/>
      <c r="T51" s="351"/>
      <c r="U51" s="358"/>
      <c r="X51" s="15" t="s">
        <v>1188</v>
      </c>
      <c r="Y51" s="15" t="s">
        <v>1189</v>
      </c>
    </row>
    <row r="52" spans="2:25" s="33" customFormat="1" ht="29.5" customHeight="1" thickBot="1" x14ac:dyDescent="0.4">
      <c r="B52" s="95" t="s">
        <v>167</v>
      </c>
      <c r="C52" s="96" t="s">
        <v>168</v>
      </c>
      <c r="D52" s="34" t="s">
        <v>1099</v>
      </c>
      <c r="E52" s="96" t="s">
        <v>159</v>
      </c>
      <c r="F52" s="96" t="s">
        <v>116</v>
      </c>
      <c r="G52" s="96" t="s">
        <v>117</v>
      </c>
      <c r="H52" s="96" t="s">
        <v>118</v>
      </c>
      <c r="I52" s="96" t="s">
        <v>119</v>
      </c>
      <c r="J52" s="96" t="s">
        <v>120</v>
      </c>
      <c r="K52" s="96" t="s">
        <v>121</v>
      </c>
      <c r="L52" s="96" t="s">
        <v>88</v>
      </c>
      <c r="M52" s="96" t="s">
        <v>122</v>
      </c>
      <c r="N52" s="96" t="s">
        <v>123</v>
      </c>
      <c r="O52" s="12" t="s">
        <v>59</v>
      </c>
      <c r="P52" s="12" t="s">
        <v>124</v>
      </c>
      <c r="Q52" s="12" t="s">
        <v>125</v>
      </c>
      <c r="R52" s="12" t="s">
        <v>126</v>
      </c>
      <c r="S52" s="12" t="s">
        <v>127</v>
      </c>
      <c r="T52" s="48" t="s">
        <v>67</v>
      </c>
      <c r="U52" s="347" t="s">
        <v>68</v>
      </c>
      <c r="V52" s="359" t="s">
        <v>63</v>
      </c>
      <c r="W52" s="336"/>
      <c r="X52" s="15">
        <f>SUM(X53:X80)</f>
        <v>0</v>
      </c>
      <c r="Y52" s="15">
        <f>SUM(Y53:Y80)</f>
        <v>0</v>
      </c>
    </row>
    <row r="53" spans="2:25" ht="15" thickBot="1" x14ac:dyDescent="0.4">
      <c r="B53" s="198"/>
      <c r="C53" s="199"/>
      <c r="D53" s="6"/>
      <c r="E53" s="199"/>
      <c r="F53" s="137" t="str">
        <f>IF(E53="","",INDEX(Methodologytier,MATCH(B$50,Lists!$AZ$4:$AZ$32,0),MATCH(E53,Lists!$BA$3:$BC$3,0)))</f>
        <v/>
      </c>
      <c r="G53" s="148"/>
      <c r="H53" s="199"/>
      <c r="I53" s="38" t="str" cm="1">
        <f t="array" ref="I53">IF(OR($B53="",$C53="",H53=""),"",IF(H53=J53,G53,(INDEX('Emission factors'!$K$3:$V$381,MATCH($B53&amp;$C53,'Emission factors'!$K$3:$K$381&amp;'Emission factors'!$L$3:$L$381,0),MATCH($I$52,'Emission factors'!$K$2:$V$2,0)))*G53))</f>
        <v/>
      </c>
      <c r="J53" s="35" t="str" cm="1">
        <f t="array" ref="J53">IF(OR($B53="",$G53="",MunicipalWasteTable[[#This Row],[Units]]=""),"",INDEX('Emission factors'!$K$3:$V$381,MATCH($B53&amp;$C53,'Emission factors'!$K$3:$K$381&amp;'Emission factors'!$L$3:$L$381,0),MATCH($J$52,'Emission factors'!$K$2:$V$2,0)))</f>
        <v/>
      </c>
      <c r="K53" s="35" t="str" cm="1">
        <f t="array" ref="K53">IF(OR(B53="",C53="",MunicipalWasteTable[[#This Row],[Data]]=""),"",INDEX('Emission factors'!$K$3:$V$381,MATCH($J$51&amp;$B53&amp;$C53,'Emission factors'!$J$3:$J$381&amp;'Emission factors'!$K$3:$K$381&amp;'Emission factors'!$L$3:$L$381,0),MATCH($K$52,'Emission factors'!$K$2:$V$2,0)))</f>
        <v/>
      </c>
      <c r="L53" s="38">
        <f>SUM(MunicipalWasteTable[[#This Row],[Direct]:[Indirect WTT]])</f>
        <v>0</v>
      </c>
      <c r="M53" s="201"/>
      <c r="N53" s="199"/>
      <c r="O53" s="286" t="str" cm="1">
        <f t="array" ref="O53">IF(OR($B53="",$G53="",$I53=""),"",(INDEX('Emission factors'!$K$3:$V$381,MATCH($J$51&amp;$B53&amp;$C53,'Emission factors'!$J$3:$J$381&amp;'Emission factors'!$K$3:$K$381&amp;'Emission factors'!$L$3:$L$381,0),MATCH(O$52,'Emission factors'!$K$2:$V$2,0)))*$I53)</f>
        <v/>
      </c>
      <c r="P53" s="286" t="str" cm="1">
        <f t="array" ref="P53">IF(OR($B53="",$G53="",$I53=""),"",(INDEX('Emission factors'!$K$3:$V$381,MATCH($J$51&amp;$B53&amp;$C53,'Emission factors'!$J$3:$J$381&amp;'Emission factors'!$K$3:$K$381&amp;'Emission factors'!$L$3:$L$381,0),MATCH(P$52,'Emission factors'!$K$2:$V$2,0)))*$I53)</f>
        <v/>
      </c>
      <c r="Q53" s="286" t="str" cm="1">
        <f t="array" ref="Q53">IF(OR($B53="",$G53="",$I53=""),"",(INDEX('Emission factors'!$K$3:$V$381,MATCH($J$51&amp;$B53&amp;$C53,'Emission factors'!$J$3:$J$381&amp;'Emission factors'!$K$3:$K$381&amp;'Emission factors'!$L$3:$L$381,0),MATCH(Q$52,'Emission factors'!$K$2:$V$2,0)))*$I53)</f>
        <v/>
      </c>
      <c r="R53" s="286" t="str" cm="1">
        <f t="array" ref="R53">IF(OR($B53="",$G53="",$I53=""),"",(INDEX('Emission factors'!$K$3:$V$381,MATCH($J$51&amp;$B53&amp;$C53,'Emission factors'!$J$3:$J$381&amp;'Emission factors'!$K$3:$K$381&amp;'Emission factors'!$L$3:$L$381,0),MATCH(R$52,'Emission factors'!$K$2:$V$2,0)))*$I53)</f>
        <v/>
      </c>
      <c r="S53" s="286" t="str" cm="1">
        <f t="array" ref="S53">IF(OR($B53="",$G53="",$I53=""),"",(INDEX('Emission factors'!$K$3:$V$381,MATCH($J$51&amp;$B53&amp;$C53,'Emission factors'!$J$3:$J$381&amp;'Emission factors'!$K$3:$K$381&amp;'Emission factors'!$L$3:$L$381,0),MATCH(S$52,'Emission factors'!$K$2:$V$2,0)))*$I53)</f>
        <v/>
      </c>
      <c r="T53" s="374" t="str">
        <f>IF(OR(MunicipalWasteTable[[#This Row],[RSD]]="", MunicipalWasteTable[[#This Row],[Total emissions]]=""),"",MunicipalWasteTable[[#This Row],[Total emissions]]*(1+MunicipalWasteTable[[#This Row],[RSD]]))</f>
        <v/>
      </c>
      <c r="U53" s="375" t="str">
        <f>IF(OR(MunicipalWasteTable[[#This Row],[RSD]]="",MunicipalWasteTable[[#This Row],[Total emissions]]=""),"",MunicipalWasteTable[[#This Row],[Total emissions]]*(1-MunicipalWasteTable[[#This Row],[RSD]]))</f>
        <v/>
      </c>
      <c r="V53" s="360" t="str" cm="1">
        <f t="array" ref="V53">IF(OR($B53="",$G53="",$I53=""),"",(INDEX('Emission factors'!$K$3:$V$381,MATCH($J$51&amp;$B53&amp;$C53,'Emission factors'!$J$3:$J$381&amp;'Emission factors'!$K$3:$K$381&amp;'Emission factors'!$L$3:$L$381,0),MATCH(V$52,'Emission factors'!$K$2:$V$2,0)))*$I53)</f>
        <v/>
      </c>
      <c r="W53" s="335"/>
      <c r="X53" s="1" cm="1">
        <f t="array" ref="X53">IF(OR(ISERROR(B53:V53)),1,0)</f>
        <v>0</v>
      </c>
      <c r="Y53" s="1">
        <f>IF(AND(C53="",G53="",H53=""),0,1)</f>
        <v>0</v>
      </c>
    </row>
    <row r="54" spans="2:25" ht="12.5" customHeight="1" thickBot="1" x14ac:dyDescent="0.4">
      <c r="B54" s="198"/>
      <c r="C54" s="199"/>
      <c r="D54" s="6"/>
      <c r="E54" s="199"/>
      <c r="F54" s="137" t="str">
        <f>IF(E54="","",INDEX(Methodologytier,MATCH(B$50,Lists!$AZ$4:$AZ$32,0),MATCH(E54,Lists!$BA$3:$BC$3,0)))</f>
        <v/>
      </c>
      <c r="G54" s="148"/>
      <c r="H54" s="199"/>
      <c r="I54" s="38" t="str" cm="1">
        <f t="array" ref="I54">IF(OR($B54="",$C54="",H54=""),"",IF(H54=J54,G54,(INDEX('Emission factors'!$K$3:$V$381,MATCH($B54&amp;$C54,'Emission factors'!$K$3:$K$381&amp;'Emission factors'!$L$3:$L$381,0),MATCH($I$52,'Emission factors'!$K$2:$V$2,0)))*G54))</f>
        <v/>
      </c>
      <c r="J54" s="35" t="str" cm="1">
        <f t="array" ref="J54">IF(OR($B54="",$G54="",MunicipalWasteTable[[#This Row],[Units]]=""),"",INDEX('Emission factors'!$K$3:$V$381,MATCH($B54&amp;$C54,'Emission factors'!$K$3:$K$381&amp;'Emission factors'!$L$3:$L$381,0),MATCH($J$52,'Emission factors'!$K$2:$V$2,0)))</f>
        <v/>
      </c>
      <c r="K54" s="35" t="str" cm="1">
        <f t="array" ref="K54">IF(OR(B54="",C54="",MunicipalWasteTable[[#This Row],[Data]]=""),"",INDEX('Emission factors'!$K$3:$V$381,MATCH($J$51&amp;$B54&amp;$C54,'Emission factors'!$J$3:$J$381&amp;'Emission factors'!$K$3:$K$381&amp;'Emission factors'!$L$3:$L$381,0),MATCH($K$52,'Emission factors'!$K$2:$V$2,0)))</f>
        <v/>
      </c>
      <c r="L54" s="38">
        <f>SUM(MunicipalWasteTable[[#This Row],[Direct]:[Indirect WTT]])</f>
        <v>0</v>
      </c>
      <c r="M54" s="201"/>
      <c r="N54" s="199"/>
      <c r="O54" s="286" t="str" cm="1">
        <f t="array" ref="O54">IF(OR($B54="",$G54="",$I54=""),"",(INDEX('Emission factors'!$K$3:$V$381,MATCH($J$51&amp;$B54&amp;$C54,'Emission factors'!$J$3:$J$381&amp;'Emission factors'!$K$3:$K$381&amp;'Emission factors'!$L$3:$L$381,0),MATCH(O$52,'Emission factors'!$K$2:$V$2,0)))*$I54)</f>
        <v/>
      </c>
      <c r="P54" s="286" t="str" cm="1">
        <f t="array" ref="P54">IF(OR($B54="",$G54="",$I54=""),"",(INDEX('Emission factors'!$K$3:$V$381,MATCH($J$51&amp;$B54&amp;$C54,'Emission factors'!$J$3:$J$381&amp;'Emission factors'!$K$3:$K$381&amp;'Emission factors'!$L$3:$L$381,0),MATCH(P$52,'Emission factors'!$K$2:$V$2,0)))*$I54)</f>
        <v/>
      </c>
      <c r="Q54" s="286" t="str" cm="1">
        <f t="array" ref="Q54">IF(OR($B54="",$G54="",$I54=""),"",(INDEX('Emission factors'!$K$3:$V$381,MATCH($J$51&amp;$B54&amp;$C54,'Emission factors'!$J$3:$J$381&amp;'Emission factors'!$K$3:$K$381&amp;'Emission factors'!$L$3:$L$381,0),MATCH(Q$52,'Emission factors'!$K$2:$V$2,0)))*$I54)</f>
        <v/>
      </c>
      <c r="R54" s="286" t="str" cm="1">
        <f t="array" ref="R54">IF(OR($B54="",$G54="",$I54=""),"",(INDEX('Emission factors'!$K$3:$V$381,MATCH($J$51&amp;$B54&amp;$C54,'Emission factors'!$J$3:$J$381&amp;'Emission factors'!$K$3:$K$381&amp;'Emission factors'!$L$3:$L$381,0),MATCH(R$52,'Emission factors'!$K$2:$V$2,0)))*$I54)</f>
        <v/>
      </c>
      <c r="S54" s="286" t="str" cm="1">
        <f t="array" ref="S54">IF(OR($B54="",$G54="",$I54=""),"",(INDEX('Emission factors'!$K$3:$V$381,MATCH($J$51&amp;$B54&amp;$C54,'Emission factors'!$J$3:$J$381&amp;'Emission factors'!$K$3:$K$381&amp;'Emission factors'!$L$3:$L$381,0),MATCH(S$52,'Emission factors'!$K$2:$V$2,0)))*$I54)</f>
        <v/>
      </c>
      <c r="T54" s="374" t="str">
        <f>IF(OR(MunicipalWasteTable[[#This Row],[RSD]]="", MunicipalWasteTable[[#This Row],[Total emissions]]=""),"",MunicipalWasteTable[[#This Row],[Total emissions]]*(1+MunicipalWasteTable[[#This Row],[RSD]]))</f>
        <v/>
      </c>
      <c r="U54" s="376" t="str">
        <f>IF(OR(MunicipalWasteTable[[#This Row],[RSD]]="",MunicipalWasteTable[[#This Row],[Total emissions]]=""),"",MunicipalWasteTable[[#This Row],[Total emissions]]*(1-MunicipalWasteTable[[#This Row],[RSD]]))</f>
        <v/>
      </c>
      <c r="V54" s="360" t="str" cm="1">
        <f t="array" ref="V54">IF(OR($B54="",$G54="",$I54=""),"",(INDEX('Emission factors'!$K$3:$V$381,MATCH($J$51&amp;$B54&amp;$C54,'Emission factors'!$J$3:$J$381&amp;'Emission factors'!$K$3:$K$381&amp;'Emission factors'!$L$3:$L$381,0),MATCH(V$52,'Emission factors'!$K$2:$V$2,0)))*$I54)</f>
        <v/>
      </c>
      <c r="W54" s="335"/>
      <c r="X54" s="1" cm="1">
        <f t="array" ref="X54">IF(OR(ISERROR(B54:V54)),1,0)</f>
        <v>0</v>
      </c>
      <c r="Y54" s="1">
        <f t="shared" ref="Y54:Y80" si="2">IF(AND(C54="",G54="",H54=""),0,1)</f>
        <v>0</v>
      </c>
    </row>
    <row r="55" spans="2:25" ht="12.5" customHeight="1" thickBot="1" x14ac:dyDescent="0.4">
      <c r="B55" s="198"/>
      <c r="C55" s="199"/>
      <c r="D55" s="6"/>
      <c r="E55" s="199"/>
      <c r="F55" s="137" t="str">
        <f>IF(E55="","",INDEX(Methodologytier,MATCH(B$50,Lists!$AZ$4:$AZ$32,0),MATCH(E55,Lists!$BA$3:$BC$3,0)))</f>
        <v/>
      </c>
      <c r="G55" s="148"/>
      <c r="H55" s="199"/>
      <c r="I55" s="38" t="str" cm="1">
        <f t="array" ref="I55">IF(OR($B55="",$C55="",H55=""),"",IF(H55=J55,G55,(INDEX('Emission factors'!$K$3:$V$381,MATCH($B55&amp;$C55,'Emission factors'!$K$3:$K$381&amp;'Emission factors'!$L$3:$L$381,0),MATCH($I$52,'Emission factors'!$K$2:$V$2,0)))*G55))</f>
        <v/>
      </c>
      <c r="J55" s="35" t="str" cm="1">
        <f t="array" ref="J55">IF(OR($B55="",$G55="",MunicipalWasteTable[[#This Row],[Units]]=""),"",INDEX('Emission factors'!$K$3:$V$381,MATCH($B55&amp;$C55,'Emission factors'!$K$3:$K$381&amp;'Emission factors'!$L$3:$L$381,0),MATCH($J$52,'Emission factors'!$K$2:$V$2,0)))</f>
        <v/>
      </c>
      <c r="K55" s="35" t="str" cm="1">
        <f t="array" ref="K55">IF(OR(B55="",C55="",MunicipalWasteTable[[#This Row],[Data]]=""),"",INDEX('Emission factors'!$K$3:$V$381,MATCH($J$51&amp;$B55&amp;$C55,'Emission factors'!$J$3:$J$381&amp;'Emission factors'!$K$3:$K$381&amp;'Emission factors'!$L$3:$L$381,0),MATCH($K$52,'Emission factors'!$K$2:$V$2,0)))</f>
        <v/>
      </c>
      <c r="L55" s="38">
        <f>SUM(MunicipalWasteTable[[#This Row],[Direct]:[Indirect WTT]])</f>
        <v>0</v>
      </c>
      <c r="M55" s="201"/>
      <c r="N55" s="199"/>
      <c r="O55" s="286" t="str" cm="1">
        <f t="array" ref="O55">IF(OR($B55="",$G55="",$I55=""),"",(INDEX('Emission factors'!$K$3:$V$381,MATCH($J$51&amp;$B55&amp;$C55,'Emission factors'!$J$3:$J$381&amp;'Emission factors'!$K$3:$K$381&amp;'Emission factors'!$L$3:$L$381,0),MATCH(O$52,'Emission factors'!$K$2:$V$2,0)))*$I55)</f>
        <v/>
      </c>
      <c r="P55" s="286" t="str" cm="1">
        <f t="array" ref="P55">IF(OR($B55="",$G55="",$I55=""),"",(INDEX('Emission factors'!$K$3:$V$381,MATCH($J$51&amp;$B55&amp;$C55,'Emission factors'!$J$3:$J$381&amp;'Emission factors'!$K$3:$K$381&amp;'Emission factors'!$L$3:$L$381,0),MATCH(P$52,'Emission factors'!$K$2:$V$2,0)))*$I55)</f>
        <v/>
      </c>
      <c r="Q55" s="286" t="str" cm="1">
        <f t="array" ref="Q55">IF(OR($B55="",$G55="",$I55=""),"",(INDEX('Emission factors'!$K$3:$V$381,MATCH($J$51&amp;$B55&amp;$C55,'Emission factors'!$J$3:$J$381&amp;'Emission factors'!$K$3:$K$381&amp;'Emission factors'!$L$3:$L$381,0),MATCH(Q$52,'Emission factors'!$K$2:$V$2,0)))*$I55)</f>
        <v/>
      </c>
      <c r="R55" s="286" t="str" cm="1">
        <f t="array" ref="R55">IF(OR($B55="",$G55="",$I55=""),"",(INDEX('Emission factors'!$K$3:$V$381,MATCH($J$51&amp;$B55&amp;$C55,'Emission factors'!$J$3:$J$381&amp;'Emission factors'!$K$3:$K$381&amp;'Emission factors'!$L$3:$L$381,0),MATCH(R$52,'Emission factors'!$K$2:$V$2,0)))*$I55)</f>
        <v/>
      </c>
      <c r="S55" s="286" t="str" cm="1">
        <f t="array" ref="S55">IF(OR($B55="",$G55="",$I55=""),"",(INDEX('Emission factors'!$K$3:$V$381,MATCH($J$51&amp;$B55&amp;$C55,'Emission factors'!$J$3:$J$381&amp;'Emission factors'!$K$3:$K$381&amp;'Emission factors'!$L$3:$L$381,0),MATCH(S$52,'Emission factors'!$K$2:$V$2,0)))*$I55)</f>
        <v/>
      </c>
      <c r="T55" s="377" t="str">
        <f>IF(OR(MunicipalWasteTable[[#This Row],[RSD]]="", MunicipalWasteTable[[#This Row],[Total emissions]]=""),"",MunicipalWasteTable[[#This Row],[Total emissions]]*(1+MunicipalWasteTable[[#This Row],[RSD]]))</f>
        <v/>
      </c>
      <c r="U55" s="376" t="str">
        <f>IF(OR(MunicipalWasteTable[[#This Row],[RSD]]="",MunicipalWasteTable[[#This Row],[Total emissions]]=""),"",MunicipalWasteTable[[#This Row],[Total emissions]]*(1-MunicipalWasteTable[[#This Row],[RSD]]))</f>
        <v/>
      </c>
      <c r="V55" s="360" t="str" cm="1">
        <f t="array" ref="V55">IF(OR($B55="",$G55="",$I55=""),"",(INDEX('Emission factors'!$K$3:$V$381,MATCH($J$51&amp;$B55&amp;$C55,'Emission factors'!$J$3:$J$381&amp;'Emission factors'!$K$3:$K$381&amp;'Emission factors'!$L$3:$L$381,0),MATCH(V$52,'Emission factors'!$K$2:$V$2,0)))*$I55)</f>
        <v/>
      </c>
      <c r="W55" s="335"/>
      <c r="X55" s="1" cm="1">
        <f t="array" ref="X55">IF(OR(ISERROR(B55:V55)),1,0)</f>
        <v>0</v>
      </c>
      <c r="Y55" s="1">
        <f t="shared" si="2"/>
        <v>0</v>
      </c>
    </row>
    <row r="56" spans="2:25" ht="12.5" customHeight="1" thickBot="1" x14ac:dyDescent="0.4">
      <c r="B56" s="198"/>
      <c r="C56" s="199"/>
      <c r="D56" s="6"/>
      <c r="E56" s="199"/>
      <c r="F56" s="137" t="str">
        <f>IF(E56="","",INDEX(Methodologytier,MATCH(B$50,Lists!$AZ$4:$AZ$32,0),MATCH(E56,Lists!$BA$3:$BC$3,0)))</f>
        <v/>
      </c>
      <c r="G56" s="148"/>
      <c r="H56" s="199"/>
      <c r="I56" s="38" t="str" cm="1">
        <f t="array" ref="I56">IF(OR($B56="",$C56="",H56=""),"",IF(H56=J56,G56,(INDEX('Emission factors'!$K$3:$V$381,MATCH($B56&amp;$C56,'Emission factors'!$K$3:$K$381&amp;'Emission factors'!$L$3:$L$381,0),MATCH($I$52,'Emission factors'!$K$2:$V$2,0)))*G56))</f>
        <v/>
      </c>
      <c r="J56" s="35" t="str" cm="1">
        <f t="array" ref="J56">IF(OR($B56="",$G56="",MunicipalWasteTable[[#This Row],[Units]]=""),"",INDEX('Emission factors'!$K$3:$V$381,MATCH($B56&amp;$C56,'Emission factors'!$K$3:$K$381&amp;'Emission factors'!$L$3:$L$381,0),MATCH($J$52,'Emission factors'!$K$2:$V$2,0)))</f>
        <v/>
      </c>
      <c r="K56" s="35" t="str" cm="1">
        <f t="array" ref="K56">IF(OR(B56="",C56="",MunicipalWasteTable[[#This Row],[Data]]=""),"",INDEX('Emission factors'!$K$3:$V$381,MATCH($J$51&amp;$B56&amp;$C56,'Emission factors'!$J$3:$J$381&amp;'Emission factors'!$K$3:$K$381&amp;'Emission factors'!$L$3:$L$381,0),MATCH($K$52,'Emission factors'!$K$2:$V$2,0)))</f>
        <v/>
      </c>
      <c r="L56" s="38">
        <f>SUM(MunicipalWasteTable[[#This Row],[Direct]:[Indirect WTT]])</f>
        <v>0</v>
      </c>
      <c r="M56" s="201"/>
      <c r="N56" s="199"/>
      <c r="O56" s="286" t="str" cm="1">
        <f t="array" ref="O56">IF(OR($B56="",$G56="",$I56=""),"",(INDEX('Emission factors'!$K$3:$V$381,MATCH($J$51&amp;$B56&amp;$C56,'Emission factors'!$J$3:$J$381&amp;'Emission factors'!$K$3:$K$381&amp;'Emission factors'!$L$3:$L$381,0),MATCH(O$52,'Emission factors'!$K$2:$V$2,0)))*$I56)</f>
        <v/>
      </c>
      <c r="P56" s="286" t="str" cm="1">
        <f t="array" ref="P56">IF(OR($B56="",$G56="",$I56=""),"",(INDEX('Emission factors'!$K$3:$V$381,MATCH($J$51&amp;$B56&amp;$C56,'Emission factors'!$J$3:$J$381&amp;'Emission factors'!$K$3:$K$381&amp;'Emission factors'!$L$3:$L$381,0),MATCH(P$52,'Emission factors'!$K$2:$V$2,0)))*$I56)</f>
        <v/>
      </c>
      <c r="Q56" s="286" t="str" cm="1">
        <f t="array" ref="Q56">IF(OR($B56="",$G56="",$I56=""),"",(INDEX('Emission factors'!$K$3:$V$381,MATCH($J$51&amp;$B56&amp;$C56,'Emission factors'!$J$3:$J$381&amp;'Emission factors'!$K$3:$K$381&amp;'Emission factors'!$L$3:$L$381,0),MATCH(Q$52,'Emission factors'!$K$2:$V$2,0)))*$I56)</f>
        <v/>
      </c>
      <c r="R56" s="286" t="str" cm="1">
        <f t="array" ref="R56">IF(OR($B56="",$G56="",$I56=""),"",(INDEX('Emission factors'!$K$3:$V$381,MATCH($J$51&amp;$B56&amp;$C56,'Emission factors'!$J$3:$J$381&amp;'Emission factors'!$K$3:$K$381&amp;'Emission factors'!$L$3:$L$381,0),MATCH(R$52,'Emission factors'!$K$2:$V$2,0)))*$I56)</f>
        <v/>
      </c>
      <c r="S56" s="286" t="str" cm="1">
        <f t="array" ref="S56">IF(OR($B56="",$G56="",$I56=""),"",(INDEX('Emission factors'!$K$3:$V$381,MATCH($J$51&amp;$B56&amp;$C56,'Emission factors'!$J$3:$J$381&amp;'Emission factors'!$K$3:$K$381&amp;'Emission factors'!$L$3:$L$381,0),MATCH(S$52,'Emission factors'!$K$2:$V$2,0)))*$I56)</f>
        <v/>
      </c>
      <c r="T56" s="377" t="str">
        <f>IF(OR(MunicipalWasteTable[[#This Row],[RSD]]="", MunicipalWasteTable[[#This Row],[Total emissions]]=""),"",MunicipalWasteTable[[#This Row],[Total emissions]]*(1+MunicipalWasteTable[[#This Row],[RSD]]))</f>
        <v/>
      </c>
      <c r="U56" s="376" t="str">
        <f>IF(OR(MunicipalWasteTable[[#This Row],[RSD]]="",MunicipalWasteTable[[#This Row],[Total emissions]]=""),"",MunicipalWasteTable[[#This Row],[Total emissions]]*(1-MunicipalWasteTable[[#This Row],[RSD]]))</f>
        <v/>
      </c>
      <c r="V56" s="360" t="str" cm="1">
        <f t="array" ref="V56">IF(OR($B56="",$G56="",$I56=""),"",(INDEX('Emission factors'!$K$3:$V$381,MATCH($J$51&amp;$B56&amp;$C56,'Emission factors'!$J$3:$J$381&amp;'Emission factors'!$K$3:$K$381&amp;'Emission factors'!$L$3:$L$381,0),MATCH(V$52,'Emission factors'!$K$2:$V$2,0)))*$I56)</f>
        <v/>
      </c>
      <c r="W56" s="335"/>
      <c r="X56" s="1" cm="1">
        <f t="array" ref="X56">IF(OR(ISERROR(B56:V56)),1,0)</f>
        <v>0</v>
      </c>
      <c r="Y56" s="1">
        <f t="shared" si="2"/>
        <v>0</v>
      </c>
    </row>
    <row r="57" spans="2:25" ht="12.5" customHeight="1" thickBot="1" x14ac:dyDescent="0.4">
      <c r="B57" s="198"/>
      <c r="C57" s="199"/>
      <c r="D57" s="6"/>
      <c r="E57" s="199"/>
      <c r="F57" s="137" t="str">
        <f>IF(E57="","",INDEX(Methodologytier,MATCH(B$50,Lists!$AZ$4:$AZ$32,0),MATCH(E57,Lists!$BA$3:$BC$3,0)))</f>
        <v/>
      </c>
      <c r="G57" s="148"/>
      <c r="H57" s="199"/>
      <c r="I57" s="38" t="str" cm="1">
        <f t="array" ref="I57">IF(OR($B57="",$C57="",H57=""),"",IF(H57=J57,G57,(INDEX('Emission factors'!$K$3:$V$381,MATCH($B57&amp;$C57,'Emission factors'!$K$3:$K$381&amp;'Emission factors'!$L$3:$L$381,0),MATCH($I$52,'Emission factors'!$K$2:$V$2,0)))*G57))</f>
        <v/>
      </c>
      <c r="J57" s="35" t="str" cm="1">
        <f t="array" ref="J57">IF(OR($B57="",$G57="",MunicipalWasteTable[[#This Row],[Units]]=""),"",INDEX('Emission factors'!$K$3:$V$381,MATCH($B57&amp;$C57,'Emission factors'!$K$3:$K$381&amp;'Emission factors'!$L$3:$L$381,0),MATCH($J$52,'Emission factors'!$K$2:$V$2,0)))</f>
        <v/>
      </c>
      <c r="K57" s="35" t="str" cm="1">
        <f t="array" ref="K57">IF(OR(B57="",C57="",MunicipalWasteTable[[#This Row],[Data]]=""),"",INDEX('Emission factors'!$K$3:$V$381,MATCH($J$51&amp;$B57&amp;$C57,'Emission factors'!$J$3:$J$381&amp;'Emission factors'!$K$3:$K$381&amp;'Emission factors'!$L$3:$L$381,0),MATCH($K$52,'Emission factors'!$K$2:$V$2,0)))</f>
        <v/>
      </c>
      <c r="L57" s="38">
        <f>SUM(MunicipalWasteTable[[#This Row],[Direct]:[Indirect WTT]])</f>
        <v>0</v>
      </c>
      <c r="M57" s="201"/>
      <c r="N57" s="199"/>
      <c r="O57" s="286" t="str" cm="1">
        <f t="array" ref="O57">IF(OR($B57="",$G57="",$I57=""),"",(INDEX('Emission factors'!$K$3:$V$381,MATCH($J$51&amp;$B57&amp;$C57,'Emission factors'!$J$3:$J$381&amp;'Emission factors'!$K$3:$K$381&amp;'Emission factors'!$L$3:$L$381,0),MATCH(O$52,'Emission factors'!$K$2:$V$2,0)))*$I57)</f>
        <v/>
      </c>
      <c r="P57" s="286" t="str" cm="1">
        <f t="array" ref="P57">IF(OR($B57="",$G57="",$I57=""),"",(INDEX('Emission factors'!$K$3:$V$381,MATCH($J$51&amp;$B57&amp;$C57,'Emission factors'!$J$3:$J$381&amp;'Emission factors'!$K$3:$K$381&amp;'Emission factors'!$L$3:$L$381,0),MATCH(P$52,'Emission factors'!$K$2:$V$2,0)))*$I57)</f>
        <v/>
      </c>
      <c r="Q57" s="286" t="str" cm="1">
        <f t="array" ref="Q57">IF(OR($B57="",$G57="",$I57=""),"",(INDEX('Emission factors'!$K$3:$V$381,MATCH($J$51&amp;$B57&amp;$C57,'Emission factors'!$J$3:$J$381&amp;'Emission factors'!$K$3:$K$381&amp;'Emission factors'!$L$3:$L$381,0),MATCH(Q$52,'Emission factors'!$K$2:$V$2,0)))*$I57)</f>
        <v/>
      </c>
      <c r="R57" s="286" t="str" cm="1">
        <f t="array" ref="R57">IF(OR($B57="",$G57="",$I57=""),"",(INDEX('Emission factors'!$K$3:$V$381,MATCH($J$51&amp;$B57&amp;$C57,'Emission factors'!$J$3:$J$381&amp;'Emission factors'!$K$3:$K$381&amp;'Emission factors'!$L$3:$L$381,0),MATCH(R$52,'Emission factors'!$K$2:$V$2,0)))*$I57)</f>
        <v/>
      </c>
      <c r="S57" s="286" t="str" cm="1">
        <f t="array" ref="S57">IF(OR($B57="",$G57="",$I57=""),"",(INDEX('Emission factors'!$K$3:$V$381,MATCH($J$51&amp;$B57&amp;$C57,'Emission factors'!$J$3:$J$381&amp;'Emission factors'!$K$3:$K$381&amp;'Emission factors'!$L$3:$L$381,0),MATCH(S$52,'Emission factors'!$K$2:$V$2,0)))*$I57)</f>
        <v/>
      </c>
      <c r="T57" s="377" t="str">
        <f>IF(OR(MunicipalWasteTable[[#This Row],[RSD]]="", MunicipalWasteTable[[#This Row],[Total emissions]]=""),"",MunicipalWasteTable[[#This Row],[Total emissions]]*(1+MunicipalWasteTable[[#This Row],[RSD]]))</f>
        <v/>
      </c>
      <c r="U57" s="376" t="str">
        <f>IF(OR(MunicipalWasteTable[[#This Row],[RSD]]="",MunicipalWasteTable[[#This Row],[Total emissions]]=""),"",MunicipalWasteTable[[#This Row],[Total emissions]]*(1-MunicipalWasteTable[[#This Row],[RSD]]))</f>
        <v/>
      </c>
      <c r="V57" s="360" t="str" cm="1">
        <f t="array" ref="V57">IF(OR($B57="",$G57="",$I57=""),"",(INDEX('Emission factors'!$K$3:$V$381,MATCH($J$51&amp;$B57&amp;$C57,'Emission factors'!$J$3:$J$381&amp;'Emission factors'!$K$3:$K$381&amp;'Emission factors'!$L$3:$L$381,0),MATCH(V$52,'Emission factors'!$K$2:$V$2,0)))*$I57)</f>
        <v/>
      </c>
      <c r="W57" s="335"/>
      <c r="X57" s="1" cm="1">
        <f t="array" ref="X57">IF(OR(ISERROR(B57:V57)),1,0)</f>
        <v>0</v>
      </c>
      <c r="Y57" s="1">
        <f t="shared" si="2"/>
        <v>0</v>
      </c>
    </row>
    <row r="58" spans="2:25" ht="12.5" customHeight="1" thickBot="1" x14ac:dyDescent="0.4">
      <c r="B58" s="198"/>
      <c r="C58" s="199"/>
      <c r="D58" s="6"/>
      <c r="E58" s="199"/>
      <c r="F58" s="137" t="str">
        <f>IF(E58="","",INDEX(Methodologytier,MATCH(B$50,Lists!$AZ$4:$AZ$32,0),MATCH(E58,Lists!$BA$3:$BC$3,0)))</f>
        <v/>
      </c>
      <c r="G58" s="148"/>
      <c r="H58" s="199"/>
      <c r="I58" s="38" t="str" cm="1">
        <f t="array" ref="I58">IF(OR($B58="",$C58="",H58=""),"",IF(H58=J58,G58,(INDEX('Emission factors'!$K$3:$V$381,MATCH($B58&amp;$C58,'Emission factors'!$K$3:$K$381&amp;'Emission factors'!$L$3:$L$381,0),MATCH($I$52,'Emission factors'!$K$2:$V$2,0)))*G58))</f>
        <v/>
      </c>
      <c r="J58" s="35" t="str" cm="1">
        <f t="array" ref="J58">IF(OR($B58="",$G58="",MunicipalWasteTable[[#This Row],[Units]]=""),"",INDEX('Emission factors'!$K$3:$V$381,MATCH($B58&amp;$C58,'Emission factors'!$K$3:$K$381&amp;'Emission factors'!$L$3:$L$381,0),MATCH($J$52,'Emission factors'!$K$2:$V$2,0)))</f>
        <v/>
      </c>
      <c r="K58" s="35" t="str" cm="1">
        <f t="array" ref="K58">IF(OR(B58="",C58="",MunicipalWasteTable[[#This Row],[Data]]=""),"",INDEX('Emission factors'!$K$3:$V$381,MATCH($J$51&amp;$B58&amp;$C58,'Emission factors'!$J$3:$J$381&amp;'Emission factors'!$K$3:$K$381&amp;'Emission factors'!$L$3:$L$381,0),MATCH($K$52,'Emission factors'!$K$2:$V$2,0)))</f>
        <v/>
      </c>
      <c r="L58" s="38">
        <f>SUM(MunicipalWasteTable[[#This Row],[Direct]:[Indirect WTT]])</f>
        <v>0</v>
      </c>
      <c r="M58" s="201"/>
      <c r="N58" s="199"/>
      <c r="O58" s="286" t="str" cm="1">
        <f t="array" ref="O58">IF(OR($B58="",$G58="",$I58=""),"",(INDEX('Emission factors'!$K$3:$V$381,MATCH($J$51&amp;$B58&amp;$C58,'Emission factors'!$J$3:$J$381&amp;'Emission factors'!$K$3:$K$381&amp;'Emission factors'!$L$3:$L$381,0),MATCH(O$52,'Emission factors'!$K$2:$V$2,0)))*$I58)</f>
        <v/>
      </c>
      <c r="P58" s="286" t="str" cm="1">
        <f t="array" ref="P58">IF(OR($B58="",$G58="",$I58=""),"",(INDEX('Emission factors'!$K$3:$V$381,MATCH($J$51&amp;$B58&amp;$C58,'Emission factors'!$J$3:$J$381&amp;'Emission factors'!$K$3:$K$381&amp;'Emission factors'!$L$3:$L$381,0),MATCH(P$52,'Emission factors'!$K$2:$V$2,0)))*$I58)</f>
        <v/>
      </c>
      <c r="Q58" s="286" t="str" cm="1">
        <f t="array" ref="Q58">IF(OR($B58="",$G58="",$I58=""),"",(INDEX('Emission factors'!$K$3:$V$381,MATCH($J$51&amp;$B58&amp;$C58,'Emission factors'!$J$3:$J$381&amp;'Emission factors'!$K$3:$K$381&amp;'Emission factors'!$L$3:$L$381,0),MATCH(Q$52,'Emission factors'!$K$2:$V$2,0)))*$I58)</f>
        <v/>
      </c>
      <c r="R58" s="286" t="str" cm="1">
        <f t="array" ref="R58">IF(OR($B58="",$G58="",$I58=""),"",(INDEX('Emission factors'!$K$3:$V$381,MATCH($J$51&amp;$B58&amp;$C58,'Emission factors'!$J$3:$J$381&amp;'Emission factors'!$K$3:$K$381&amp;'Emission factors'!$L$3:$L$381,0),MATCH(R$52,'Emission factors'!$K$2:$V$2,0)))*$I58)</f>
        <v/>
      </c>
      <c r="S58" s="286" t="str" cm="1">
        <f t="array" ref="S58">IF(OR($B58="",$G58="",$I58=""),"",(INDEX('Emission factors'!$K$3:$V$381,MATCH($J$51&amp;$B58&amp;$C58,'Emission factors'!$J$3:$J$381&amp;'Emission factors'!$K$3:$K$381&amp;'Emission factors'!$L$3:$L$381,0),MATCH(S$52,'Emission factors'!$K$2:$V$2,0)))*$I58)</f>
        <v/>
      </c>
      <c r="T58" s="377" t="str">
        <f>IF(OR(MunicipalWasteTable[[#This Row],[RSD]]="", MunicipalWasteTable[[#This Row],[Total emissions]]=""),"",MunicipalWasteTable[[#This Row],[Total emissions]]*(1+MunicipalWasteTable[[#This Row],[RSD]]))</f>
        <v/>
      </c>
      <c r="U58" s="376" t="str">
        <f>IF(OR(MunicipalWasteTable[[#This Row],[RSD]]="",MunicipalWasteTable[[#This Row],[Total emissions]]=""),"",MunicipalWasteTable[[#This Row],[Total emissions]]*(1-MunicipalWasteTable[[#This Row],[RSD]]))</f>
        <v/>
      </c>
      <c r="V58" s="360" t="str" cm="1">
        <f t="array" ref="V58">IF(OR($B58="",$G58="",$I58=""),"",(INDEX('Emission factors'!$K$3:$V$381,MATCH($J$51&amp;$B58&amp;$C58,'Emission factors'!$J$3:$J$381&amp;'Emission factors'!$K$3:$K$381&amp;'Emission factors'!$L$3:$L$381,0),MATCH(V$52,'Emission factors'!$K$2:$V$2,0)))*$I58)</f>
        <v/>
      </c>
      <c r="W58" s="335"/>
      <c r="X58" s="1" cm="1">
        <f t="array" ref="X58">IF(OR(ISERROR(B58:V58)),1,0)</f>
        <v>0</v>
      </c>
      <c r="Y58" s="1">
        <f t="shared" si="2"/>
        <v>0</v>
      </c>
    </row>
    <row r="59" spans="2:25" ht="12.5" customHeight="1" thickBot="1" x14ac:dyDescent="0.4">
      <c r="B59" s="198"/>
      <c r="C59" s="199"/>
      <c r="D59" s="6"/>
      <c r="E59" s="199"/>
      <c r="F59" s="137" t="str">
        <f>IF(E59="","",INDEX(Methodologytier,MATCH(B$50,Lists!$AZ$4:$AZ$32,0),MATCH(E59,Lists!$BA$3:$BC$3,0)))</f>
        <v/>
      </c>
      <c r="G59" s="148"/>
      <c r="H59" s="199"/>
      <c r="I59" s="38" t="str" cm="1">
        <f t="array" ref="I59">IF(OR($B59="",$C59="",H59=""),"",IF(H59=J59,G59,(INDEX('Emission factors'!$K$3:$V$381,MATCH($B59&amp;$C59,'Emission factors'!$K$3:$K$381&amp;'Emission factors'!$L$3:$L$381,0),MATCH($I$52,'Emission factors'!$K$2:$V$2,0)))*G59))</f>
        <v/>
      </c>
      <c r="J59" s="35" t="str" cm="1">
        <f t="array" ref="J59">IF(OR($B59="",$G59="",MunicipalWasteTable[[#This Row],[Units]]=""),"",INDEX('Emission factors'!$K$3:$V$381,MATCH($B59&amp;$C59,'Emission factors'!$K$3:$K$381&amp;'Emission factors'!$L$3:$L$381,0),MATCH($J$52,'Emission factors'!$K$2:$V$2,0)))</f>
        <v/>
      </c>
      <c r="K59" s="35" t="str" cm="1">
        <f t="array" ref="K59">IF(OR(B59="",C59="",MunicipalWasteTable[[#This Row],[Data]]=""),"",INDEX('Emission factors'!$K$3:$V$381,MATCH($J$51&amp;$B59&amp;$C59,'Emission factors'!$J$3:$J$381&amp;'Emission factors'!$K$3:$K$381&amp;'Emission factors'!$L$3:$L$381,0),MATCH($K$52,'Emission factors'!$K$2:$V$2,0)))</f>
        <v/>
      </c>
      <c r="L59" s="38">
        <f>SUM(MunicipalWasteTable[[#This Row],[Direct]:[Indirect WTT]])</f>
        <v>0</v>
      </c>
      <c r="M59" s="201"/>
      <c r="N59" s="199"/>
      <c r="O59" s="286" t="str" cm="1">
        <f t="array" ref="O59">IF(OR($B59="",$G59="",$I59=""),"",(INDEX('Emission factors'!$K$3:$V$381,MATCH($J$51&amp;$B59&amp;$C59,'Emission factors'!$J$3:$J$381&amp;'Emission factors'!$K$3:$K$381&amp;'Emission factors'!$L$3:$L$381,0),MATCH(O$52,'Emission factors'!$K$2:$V$2,0)))*$I59)</f>
        <v/>
      </c>
      <c r="P59" s="286" t="str" cm="1">
        <f t="array" ref="P59">IF(OR($B59="",$G59="",$I59=""),"",(INDEX('Emission factors'!$K$3:$V$381,MATCH($J$51&amp;$B59&amp;$C59,'Emission factors'!$J$3:$J$381&amp;'Emission factors'!$K$3:$K$381&amp;'Emission factors'!$L$3:$L$381,0),MATCH(P$52,'Emission factors'!$K$2:$V$2,0)))*$I59)</f>
        <v/>
      </c>
      <c r="Q59" s="286" t="str" cm="1">
        <f t="array" ref="Q59">IF(OR($B59="",$G59="",$I59=""),"",(INDEX('Emission factors'!$K$3:$V$381,MATCH($J$51&amp;$B59&amp;$C59,'Emission factors'!$J$3:$J$381&amp;'Emission factors'!$K$3:$K$381&amp;'Emission factors'!$L$3:$L$381,0),MATCH(Q$52,'Emission factors'!$K$2:$V$2,0)))*$I59)</f>
        <v/>
      </c>
      <c r="R59" s="286" t="str" cm="1">
        <f t="array" ref="R59">IF(OR($B59="",$G59="",$I59=""),"",(INDEX('Emission factors'!$K$3:$V$381,MATCH($J$51&amp;$B59&amp;$C59,'Emission factors'!$J$3:$J$381&amp;'Emission factors'!$K$3:$K$381&amp;'Emission factors'!$L$3:$L$381,0),MATCH(R$52,'Emission factors'!$K$2:$V$2,0)))*$I59)</f>
        <v/>
      </c>
      <c r="S59" s="286" t="str" cm="1">
        <f t="array" ref="S59">IF(OR($B59="",$G59="",$I59=""),"",(INDEX('Emission factors'!$K$3:$V$381,MATCH($J$51&amp;$B59&amp;$C59,'Emission factors'!$J$3:$J$381&amp;'Emission factors'!$K$3:$K$381&amp;'Emission factors'!$L$3:$L$381,0),MATCH(S$52,'Emission factors'!$K$2:$V$2,0)))*$I59)</f>
        <v/>
      </c>
      <c r="T59" s="377" t="str">
        <f>IF(OR(MunicipalWasteTable[[#This Row],[RSD]]="", MunicipalWasteTable[[#This Row],[Total emissions]]=""),"",MunicipalWasteTable[[#This Row],[Total emissions]]*(1+MunicipalWasteTable[[#This Row],[RSD]]))</f>
        <v/>
      </c>
      <c r="U59" s="376" t="str">
        <f>IF(OR(MunicipalWasteTable[[#This Row],[RSD]]="",MunicipalWasteTable[[#This Row],[Total emissions]]=""),"",MunicipalWasteTable[[#This Row],[Total emissions]]*(1-MunicipalWasteTable[[#This Row],[RSD]]))</f>
        <v/>
      </c>
      <c r="V59" s="360" t="str" cm="1">
        <f t="array" ref="V59">IF(OR($B59="",$G59="",$I59=""),"",(INDEX('Emission factors'!$K$3:$V$381,MATCH($J$51&amp;$B59&amp;$C59,'Emission factors'!$J$3:$J$381&amp;'Emission factors'!$K$3:$K$381&amp;'Emission factors'!$L$3:$L$381,0),MATCH(V$52,'Emission factors'!$K$2:$V$2,0)))*$I59)</f>
        <v/>
      </c>
      <c r="W59" s="335"/>
      <c r="X59" s="1" cm="1">
        <f t="array" ref="X59">IF(OR(ISERROR(B59:V59)),1,0)</f>
        <v>0</v>
      </c>
      <c r="Y59" s="1">
        <f t="shared" si="2"/>
        <v>0</v>
      </c>
    </row>
    <row r="60" spans="2:25" ht="12.5" customHeight="1" thickBot="1" x14ac:dyDescent="0.4">
      <c r="B60" s="198"/>
      <c r="C60" s="199"/>
      <c r="D60" s="6"/>
      <c r="E60" s="199"/>
      <c r="F60" s="137" t="str">
        <f>IF(E60="","",INDEX(Methodologytier,MATCH(B$50,Lists!$AZ$4:$AZ$32,0),MATCH(E60,Lists!$BA$3:$BC$3,0)))</f>
        <v/>
      </c>
      <c r="G60" s="148"/>
      <c r="H60" s="199"/>
      <c r="I60" s="38" t="str" cm="1">
        <f t="array" ref="I60">IF(OR($B60="",$C60="",H60=""),"",IF(H60=J60,G60,(INDEX('Emission factors'!$K$3:$V$381,MATCH($B60&amp;$C60,'Emission factors'!$K$3:$K$381&amp;'Emission factors'!$L$3:$L$381,0),MATCH($I$52,'Emission factors'!$K$2:$V$2,0)))*G60))</f>
        <v/>
      </c>
      <c r="J60" s="35" t="str" cm="1">
        <f t="array" ref="J60">IF(OR($B60="",$G60="",MunicipalWasteTable[[#This Row],[Units]]=""),"",INDEX('Emission factors'!$K$3:$V$381,MATCH($B60&amp;$C60,'Emission factors'!$K$3:$K$381&amp;'Emission factors'!$L$3:$L$381,0),MATCH($J$52,'Emission factors'!$K$2:$V$2,0)))</f>
        <v/>
      </c>
      <c r="K60" s="35" t="str" cm="1">
        <f t="array" ref="K60">IF(OR(B60="",C60="",MunicipalWasteTable[[#This Row],[Data]]=""),"",INDEX('Emission factors'!$K$3:$V$381,MATCH($J$51&amp;$B60&amp;$C60,'Emission factors'!$J$3:$J$381&amp;'Emission factors'!$K$3:$K$381&amp;'Emission factors'!$L$3:$L$381,0),MATCH($K$52,'Emission factors'!$K$2:$V$2,0)))</f>
        <v/>
      </c>
      <c r="L60" s="38">
        <f>SUM(MunicipalWasteTable[[#This Row],[Direct]:[Indirect WTT]])</f>
        <v>0</v>
      </c>
      <c r="M60" s="201"/>
      <c r="N60" s="199"/>
      <c r="O60" s="286" t="str" cm="1">
        <f t="array" ref="O60">IF(OR($B60="",$G60="",$I60=""),"",(INDEX('Emission factors'!$K$3:$V$381,MATCH($J$51&amp;$B60&amp;$C60,'Emission factors'!$J$3:$J$381&amp;'Emission factors'!$K$3:$K$381&amp;'Emission factors'!$L$3:$L$381,0),MATCH(O$52,'Emission factors'!$K$2:$V$2,0)))*$I60)</f>
        <v/>
      </c>
      <c r="P60" s="286" t="str" cm="1">
        <f t="array" ref="P60">IF(OR($B60="",$G60="",$I60=""),"",(INDEX('Emission factors'!$K$3:$V$381,MATCH($J$51&amp;$B60&amp;$C60,'Emission factors'!$J$3:$J$381&amp;'Emission factors'!$K$3:$K$381&amp;'Emission factors'!$L$3:$L$381,0),MATCH(P$52,'Emission factors'!$K$2:$V$2,0)))*$I60)</f>
        <v/>
      </c>
      <c r="Q60" s="286" t="str" cm="1">
        <f t="array" ref="Q60">IF(OR($B60="",$G60="",$I60=""),"",(INDEX('Emission factors'!$K$3:$V$381,MATCH($J$51&amp;$B60&amp;$C60,'Emission factors'!$J$3:$J$381&amp;'Emission factors'!$K$3:$K$381&amp;'Emission factors'!$L$3:$L$381,0),MATCH(Q$52,'Emission factors'!$K$2:$V$2,0)))*$I60)</f>
        <v/>
      </c>
      <c r="R60" s="286" t="str" cm="1">
        <f t="array" ref="R60">IF(OR($B60="",$G60="",$I60=""),"",(INDEX('Emission factors'!$K$3:$V$381,MATCH($J$51&amp;$B60&amp;$C60,'Emission factors'!$J$3:$J$381&amp;'Emission factors'!$K$3:$K$381&amp;'Emission factors'!$L$3:$L$381,0),MATCH(R$52,'Emission factors'!$K$2:$V$2,0)))*$I60)</f>
        <v/>
      </c>
      <c r="S60" s="286" t="str" cm="1">
        <f t="array" ref="S60">IF(OR($B60="",$G60="",$I60=""),"",(INDEX('Emission factors'!$K$3:$V$381,MATCH($J$51&amp;$B60&amp;$C60,'Emission factors'!$J$3:$J$381&amp;'Emission factors'!$K$3:$K$381&amp;'Emission factors'!$L$3:$L$381,0),MATCH(S$52,'Emission factors'!$K$2:$V$2,0)))*$I60)</f>
        <v/>
      </c>
      <c r="T60" s="377" t="str">
        <f>IF(OR(MunicipalWasteTable[[#This Row],[RSD]]="", MunicipalWasteTable[[#This Row],[Total emissions]]=""),"",MunicipalWasteTable[[#This Row],[Total emissions]]*(1+MunicipalWasteTable[[#This Row],[RSD]]))</f>
        <v/>
      </c>
      <c r="U60" s="376" t="str">
        <f>IF(OR(MunicipalWasteTable[[#This Row],[RSD]]="",MunicipalWasteTable[[#This Row],[Total emissions]]=""),"",MunicipalWasteTable[[#This Row],[Total emissions]]*(1-MunicipalWasteTable[[#This Row],[RSD]]))</f>
        <v/>
      </c>
      <c r="V60" s="360" t="str" cm="1">
        <f t="array" ref="V60">IF(OR($B60="",$G60="",$I60=""),"",(INDEX('Emission factors'!$K$3:$V$381,MATCH($J$51&amp;$B60&amp;$C60,'Emission factors'!$J$3:$J$381&amp;'Emission factors'!$K$3:$K$381&amp;'Emission factors'!$L$3:$L$381,0),MATCH(V$52,'Emission factors'!$K$2:$V$2,0)))*$I60)</f>
        <v/>
      </c>
      <c r="W60" s="335"/>
      <c r="X60" s="1" cm="1">
        <f t="array" ref="X60">IF(OR(ISERROR(B60:V60)),1,0)</f>
        <v>0</v>
      </c>
      <c r="Y60" s="1">
        <f t="shared" si="2"/>
        <v>0</v>
      </c>
    </row>
    <row r="61" spans="2:25" ht="12.5" customHeight="1" thickBot="1" x14ac:dyDescent="0.4">
      <c r="B61" s="198"/>
      <c r="C61" s="199"/>
      <c r="D61" s="6"/>
      <c r="E61" s="199"/>
      <c r="F61" s="137" t="str">
        <f>IF(E61="","",INDEX(Methodologytier,MATCH(B$50,Lists!$AZ$4:$AZ$32,0),MATCH(E61,Lists!$BA$3:$BC$3,0)))</f>
        <v/>
      </c>
      <c r="G61" s="148"/>
      <c r="H61" s="199"/>
      <c r="I61" s="38" t="str" cm="1">
        <f t="array" ref="I61">IF(OR($B61="",$C61="",H61=""),"",IF(H61=J61,G61,(INDEX('Emission factors'!$K$3:$V$381,MATCH($B61&amp;$C61,'Emission factors'!$K$3:$K$381&amp;'Emission factors'!$L$3:$L$381,0),MATCH($I$52,'Emission factors'!$K$2:$V$2,0)))*G61))</f>
        <v/>
      </c>
      <c r="J61" s="35" t="str" cm="1">
        <f t="array" ref="J61">IF(OR($B61="",$G61="",MunicipalWasteTable[[#This Row],[Units]]=""),"",INDEX('Emission factors'!$K$3:$V$381,MATCH($B61&amp;$C61,'Emission factors'!$K$3:$K$381&amp;'Emission factors'!$L$3:$L$381,0),MATCH($J$52,'Emission factors'!$K$2:$V$2,0)))</f>
        <v/>
      </c>
      <c r="K61" s="35" t="str" cm="1">
        <f t="array" ref="K61">IF(OR(B61="",C61="",MunicipalWasteTable[[#This Row],[Data]]=""),"",INDEX('Emission factors'!$K$3:$V$381,MATCH($J$51&amp;$B61&amp;$C61,'Emission factors'!$J$3:$J$381&amp;'Emission factors'!$K$3:$K$381&amp;'Emission factors'!$L$3:$L$381,0),MATCH($K$52,'Emission factors'!$K$2:$V$2,0)))</f>
        <v/>
      </c>
      <c r="L61" s="38">
        <f>SUM(MunicipalWasteTable[[#This Row],[Direct]:[Indirect WTT]])</f>
        <v>0</v>
      </c>
      <c r="M61" s="201"/>
      <c r="N61" s="199"/>
      <c r="O61" s="286" t="str" cm="1">
        <f t="array" ref="O61">IF(OR($B61="",$G61="",$I61=""),"",(INDEX('Emission factors'!$K$3:$V$381,MATCH($J$51&amp;$B61&amp;$C61,'Emission factors'!$J$3:$J$381&amp;'Emission factors'!$K$3:$K$381&amp;'Emission factors'!$L$3:$L$381,0),MATCH(O$52,'Emission factors'!$K$2:$V$2,0)))*$I61)</f>
        <v/>
      </c>
      <c r="P61" s="286" t="str" cm="1">
        <f t="array" ref="P61">IF(OR($B61="",$G61="",$I61=""),"",(INDEX('Emission factors'!$K$3:$V$381,MATCH($J$51&amp;$B61&amp;$C61,'Emission factors'!$J$3:$J$381&amp;'Emission factors'!$K$3:$K$381&amp;'Emission factors'!$L$3:$L$381,0),MATCH(P$52,'Emission factors'!$K$2:$V$2,0)))*$I61)</f>
        <v/>
      </c>
      <c r="Q61" s="286" t="str" cm="1">
        <f t="array" ref="Q61">IF(OR($B61="",$G61="",$I61=""),"",(INDEX('Emission factors'!$K$3:$V$381,MATCH($J$51&amp;$B61&amp;$C61,'Emission factors'!$J$3:$J$381&amp;'Emission factors'!$K$3:$K$381&amp;'Emission factors'!$L$3:$L$381,0),MATCH(Q$52,'Emission factors'!$K$2:$V$2,0)))*$I61)</f>
        <v/>
      </c>
      <c r="R61" s="286" t="str" cm="1">
        <f t="array" ref="R61">IF(OR($B61="",$G61="",$I61=""),"",(INDEX('Emission factors'!$K$3:$V$381,MATCH($J$51&amp;$B61&amp;$C61,'Emission factors'!$J$3:$J$381&amp;'Emission factors'!$K$3:$K$381&amp;'Emission factors'!$L$3:$L$381,0),MATCH(R$52,'Emission factors'!$K$2:$V$2,0)))*$I61)</f>
        <v/>
      </c>
      <c r="S61" s="286" t="str" cm="1">
        <f t="array" ref="S61">IF(OR($B61="",$G61="",$I61=""),"",(INDEX('Emission factors'!$K$3:$V$381,MATCH($J$51&amp;$B61&amp;$C61,'Emission factors'!$J$3:$J$381&amp;'Emission factors'!$K$3:$K$381&amp;'Emission factors'!$L$3:$L$381,0),MATCH(S$52,'Emission factors'!$K$2:$V$2,0)))*$I61)</f>
        <v/>
      </c>
      <c r="T61" s="377" t="str">
        <f>IF(OR(MunicipalWasteTable[[#This Row],[RSD]]="", MunicipalWasteTable[[#This Row],[Total emissions]]=""),"",MunicipalWasteTable[[#This Row],[Total emissions]]*(1+MunicipalWasteTable[[#This Row],[RSD]]))</f>
        <v/>
      </c>
      <c r="U61" s="376" t="str">
        <f>IF(OR(MunicipalWasteTable[[#This Row],[RSD]]="",MunicipalWasteTable[[#This Row],[Total emissions]]=""),"",MunicipalWasteTable[[#This Row],[Total emissions]]*(1-MunicipalWasteTable[[#This Row],[RSD]]))</f>
        <v/>
      </c>
      <c r="V61" s="360" t="str" cm="1">
        <f t="array" ref="V61">IF(OR($B61="",$G61="",$I61=""),"",(INDEX('Emission factors'!$K$3:$V$381,MATCH($J$51&amp;$B61&amp;$C61,'Emission factors'!$J$3:$J$381&amp;'Emission factors'!$K$3:$K$381&amp;'Emission factors'!$L$3:$L$381,0),MATCH(V$52,'Emission factors'!$K$2:$V$2,0)))*$I61)</f>
        <v/>
      </c>
      <c r="W61" s="335"/>
      <c r="X61" s="1" cm="1">
        <f t="array" ref="X61">IF(OR(ISERROR(B61:V61)),1,0)</f>
        <v>0</v>
      </c>
      <c r="Y61" s="1">
        <f t="shared" si="2"/>
        <v>0</v>
      </c>
    </row>
    <row r="62" spans="2:25" ht="12.5" customHeight="1" thickBot="1" x14ac:dyDescent="0.4">
      <c r="B62" s="198"/>
      <c r="C62" s="199"/>
      <c r="D62" s="6"/>
      <c r="E62" s="199"/>
      <c r="F62" s="137" t="str">
        <f>IF(E62="","",INDEX(Methodologytier,MATCH(B$50,Lists!$AZ$4:$AZ$32,0),MATCH(E62,Lists!$BA$3:$BC$3,0)))</f>
        <v/>
      </c>
      <c r="G62" s="148"/>
      <c r="H62" s="199"/>
      <c r="I62" s="38" t="str" cm="1">
        <f t="array" ref="I62">IF(OR($B62="",$C62="",H62=""),"",IF(H62=J62,G62,(INDEX('Emission factors'!$K$3:$V$381,MATCH($B62&amp;$C62,'Emission factors'!$K$3:$K$381&amp;'Emission factors'!$L$3:$L$381,0),MATCH($I$52,'Emission factors'!$K$2:$V$2,0)))*G62))</f>
        <v/>
      </c>
      <c r="J62" s="35" t="str" cm="1">
        <f t="array" ref="J62">IF(OR($B62="",$G62="",MunicipalWasteTable[[#This Row],[Units]]=""),"",INDEX('Emission factors'!$K$3:$V$381,MATCH($B62&amp;$C62,'Emission factors'!$K$3:$K$381&amp;'Emission factors'!$L$3:$L$381,0),MATCH($J$52,'Emission factors'!$K$2:$V$2,0)))</f>
        <v/>
      </c>
      <c r="K62" s="35" t="str" cm="1">
        <f t="array" ref="K62">IF(OR(B62="",C62="",MunicipalWasteTable[[#This Row],[Data]]=""),"",INDEX('Emission factors'!$K$3:$V$381,MATCH($J$51&amp;$B62&amp;$C62,'Emission factors'!$J$3:$J$381&amp;'Emission factors'!$K$3:$K$381&amp;'Emission factors'!$L$3:$L$381,0),MATCH($K$52,'Emission factors'!$K$2:$V$2,0)))</f>
        <v/>
      </c>
      <c r="L62" s="38">
        <f>SUM(MunicipalWasteTable[[#This Row],[Direct]:[Indirect WTT]])</f>
        <v>0</v>
      </c>
      <c r="M62" s="201"/>
      <c r="N62" s="199"/>
      <c r="O62" s="286" t="str" cm="1">
        <f t="array" ref="O62">IF(OR($B62="",$G62="",$I62=""),"",(INDEX('Emission factors'!$K$3:$V$381,MATCH($J$51&amp;$B62&amp;$C62,'Emission factors'!$J$3:$J$381&amp;'Emission factors'!$K$3:$K$381&amp;'Emission factors'!$L$3:$L$381,0),MATCH(O$52,'Emission factors'!$K$2:$V$2,0)))*$I62)</f>
        <v/>
      </c>
      <c r="P62" s="286" t="str" cm="1">
        <f t="array" ref="P62">IF(OR($B62="",$G62="",$I62=""),"",(INDEX('Emission factors'!$K$3:$V$381,MATCH($J$51&amp;$B62&amp;$C62,'Emission factors'!$J$3:$J$381&amp;'Emission factors'!$K$3:$K$381&amp;'Emission factors'!$L$3:$L$381,0),MATCH(P$52,'Emission factors'!$K$2:$V$2,0)))*$I62)</f>
        <v/>
      </c>
      <c r="Q62" s="286" t="str" cm="1">
        <f t="array" ref="Q62">IF(OR($B62="",$G62="",$I62=""),"",(INDEX('Emission factors'!$K$3:$V$381,MATCH($J$51&amp;$B62&amp;$C62,'Emission factors'!$J$3:$J$381&amp;'Emission factors'!$K$3:$K$381&amp;'Emission factors'!$L$3:$L$381,0),MATCH(Q$52,'Emission factors'!$K$2:$V$2,0)))*$I62)</f>
        <v/>
      </c>
      <c r="R62" s="286" t="str" cm="1">
        <f t="array" ref="R62">IF(OR($B62="",$G62="",$I62=""),"",(INDEX('Emission factors'!$K$3:$V$381,MATCH($J$51&amp;$B62&amp;$C62,'Emission factors'!$J$3:$J$381&amp;'Emission factors'!$K$3:$K$381&amp;'Emission factors'!$L$3:$L$381,0),MATCH(R$52,'Emission factors'!$K$2:$V$2,0)))*$I62)</f>
        <v/>
      </c>
      <c r="S62" s="286" t="str" cm="1">
        <f t="array" ref="S62">IF(OR($B62="",$G62="",$I62=""),"",(INDEX('Emission factors'!$K$3:$V$381,MATCH($J$51&amp;$B62&amp;$C62,'Emission factors'!$J$3:$J$381&amp;'Emission factors'!$K$3:$K$381&amp;'Emission factors'!$L$3:$L$381,0),MATCH(S$52,'Emission factors'!$K$2:$V$2,0)))*$I62)</f>
        <v/>
      </c>
      <c r="T62" s="377" t="str">
        <f>IF(OR(MunicipalWasteTable[[#This Row],[RSD]]="", MunicipalWasteTable[[#This Row],[Total emissions]]=""),"",MunicipalWasteTable[[#This Row],[Total emissions]]*(1+MunicipalWasteTable[[#This Row],[RSD]]))</f>
        <v/>
      </c>
      <c r="U62" s="376" t="str">
        <f>IF(OR(MunicipalWasteTable[[#This Row],[RSD]]="",MunicipalWasteTable[[#This Row],[Total emissions]]=""),"",MunicipalWasteTable[[#This Row],[Total emissions]]*(1-MunicipalWasteTable[[#This Row],[RSD]]))</f>
        <v/>
      </c>
      <c r="V62" s="360" t="str" cm="1">
        <f t="array" ref="V62">IF(OR($B62="",$G62="",$I62=""),"",(INDEX('Emission factors'!$K$3:$V$381,MATCH($J$51&amp;$B62&amp;$C62,'Emission factors'!$J$3:$J$381&amp;'Emission factors'!$K$3:$K$381&amp;'Emission factors'!$L$3:$L$381,0),MATCH(V$52,'Emission factors'!$K$2:$V$2,0)))*$I62)</f>
        <v/>
      </c>
      <c r="W62" s="335"/>
      <c r="X62" s="1" cm="1">
        <f t="array" ref="X62">IF(OR(ISERROR(B62:V62)),1,0)</f>
        <v>0</v>
      </c>
      <c r="Y62" s="1">
        <f t="shared" si="2"/>
        <v>0</v>
      </c>
    </row>
    <row r="63" spans="2:25" ht="12.5" customHeight="1" thickBot="1" x14ac:dyDescent="0.4">
      <c r="B63" s="198"/>
      <c r="C63" s="199"/>
      <c r="D63" s="6"/>
      <c r="E63" s="199"/>
      <c r="F63" s="137" t="str">
        <f>IF(E63="","",INDEX(Methodologytier,MATCH(B$50,Lists!$AZ$4:$AZ$32,0),MATCH(E63,Lists!$BA$3:$BC$3,0)))</f>
        <v/>
      </c>
      <c r="G63" s="148"/>
      <c r="H63" s="199"/>
      <c r="I63" s="38" t="str" cm="1">
        <f t="array" ref="I63">IF(OR($B63="",$C63="",H63=""),"",IF(H63=J63,G63,(INDEX('Emission factors'!$K$3:$V$381,MATCH($B63&amp;$C63,'Emission factors'!$K$3:$K$381&amp;'Emission factors'!$L$3:$L$381,0),MATCH($I$52,'Emission factors'!$K$2:$V$2,0)))*G63))</f>
        <v/>
      </c>
      <c r="J63" s="35" t="str" cm="1">
        <f t="array" ref="J63">IF(OR($B63="",$G63="",MunicipalWasteTable[[#This Row],[Units]]=""),"",INDEX('Emission factors'!$K$3:$V$381,MATCH($B63&amp;$C63,'Emission factors'!$K$3:$K$381&amp;'Emission factors'!$L$3:$L$381,0),MATCH($J$52,'Emission factors'!$K$2:$V$2,0)))</f>
        <v/>
      </c>
      <c r="K63" s="35" t="str" cm="1">
        <f t="array" ref="K63">IF(OR(B63="",C63="",MunicipalWasteTable[[#This Row],[Data]]=""),"",INDEX('Emission factors'!$K$3:$V$381,MATCH($J$51&amp;$B63&amp;$C63,'Emission factors'!$J$3:$J$381&amp;'Emission factors'!$K$3:$K$381&amp;'Emission factors'!$L$3:$L$381,0),MATCH($K$52,'Emission factors'!$K$2:$V$2,0)))</f>
        <v/>
      </c>
      <c r="L63" s="38">
        <f>SUM(MunicipalWasteTable[[#This Row],[Direct]:[Indirect WTT]])</f>
        <v>0</v>
      </c>
      <c r="M63" s="201"/>
      <c r="N63" s="199"/>
      <c r="O63" s="286" t="str" cm="1">
        <f t="array" ref="O63">IF(OR($B63="",$G63="",$I63=""),"",(INDEX('Emission factors'!$K$3:$V$381,MATCH($J$51&amp;$B63&amp;$C63,'Emission factors'!$J$3:$J$381&amp;'Emission factors'!$K$3:$K$381&amp;'Emission factors'!$L$3:$L$381,0),MATCH(O$52,'Emission factors'!$K$2:$V$2,0)))*$I63)</f>
        <v/>
      </c>
      <c r="P63" s="286" t="str" cm="1">
        <f t="array" ref="P63">IF(OR($B63="",$G63="",$I63=""),"",(INDEX('Emission factors'!$K$3:$V$381,MATCH($J$51&amp;$B63&amp;$C63,'Emission factors'!$J$3:$J$381&amp;'Emission factors'!$K$3:$K$381&amp;'Emission factors'!$L$3:$L$381,0),MATCH(P$52,'Emission factors'!$K$2:$V$2,0)))*$I63)</f>
        <v/>
      </c>
      <c r="Q63" s="286" t="str" cm="1">
        <f t="array" ref="Q63">IF(OR($B63="",$G63="",$I63=""),"",(INDEX('Emission factors'!$K$3:$V$381,MATCH($J$51&amp;$B63&amp;$C63,'Emission factors'!$J$3:$J$381&amp;'Emission factors'!$K$3:$K$381&amp;'Emission factors'!$L$3:$L$381,0),MATCH(Q$52,'Emission factors'!$K$2:$V$2,0)))*$I63)</f>
        <v/>
      </c>
      <c r="R63" s="286" t="str" cm="1">
        <f t="array" ref="R63">IF(OR($B63="",$G63="",$I63=""),"",(INDEX('Emission factors'!$K$3:$V$381,MATCH($J$51&amp;$B63&amp;$C63,'Emission factors'!$J$3:$J$381&amp;'Emission factors'!$K$3:$K$381&amp;'Emission factors'!$L$3:$L$381,0),MATCH(R$52,'Emission factors'!$K$2:$V$2,0)))*$I63)</f>
        <v/>
      </c>
      <c r="S63" s="286" t="str" cm="1">
        <f t="array" ref="S63">IF(OR($B63="",$G63="",$I63=""),"",(INDEX('Emission factors'!$K$3:$V$381,MATCH($J$51&amp;$B63&amp;$C63,'Emission factors'!$J$3:$J$381&amp;'Emission factors'!$K$3:$K$381&amp;'Emission factors'!$L$3:$L$381,0),MATCH(S$52,'Emission factors'!$K$2:$V$2,0)))*$I63)</f>
        <v/>
      </c>
      <c r="T63" s="377" t="str">
        <f>IF(OR(MunicipalWasteTable[[#This Row],[RSD]]="", MunicipalWasteTable[[#This Row],[Total emissions]]=""),"",MunicipalWasteTable[[#This Row],[Total emissions]]*(1+MunicipalWasteTable[[#This Row],[RSD]]))</f>
        <v/>
      </c>
      <c r="U63" s="376" t="str">
        <f>IF(OR(MunicipalWasteTable[[#This Row],[RSD]]="",MunicipalWasteTable[[#This Row],[Total emissions]]=""),"",MunicipalWasteTable[[#This Row],[Total emissions]]*(1-MunicipalWasteTable[[#This Row],[RSD]]))</f>
        <v/>
      </c>
      <c r="V63" s="360" t="str" cm="1">
        <f t="array" ref="V63">IF(OR($B63="",$G63="",$I63=""),"",(INDEX('Emission factors'!$K$3:$V$381,MATCH($J$51&amp;$B63&amp;$C63,'Emission factors'!$J$3:$J$381&amp;'Emission factors'!$K$3:$K$381&amp;'Emission factors'!$L$3:$L$381,0),MATCH(V$52,'Emission factors'!$K$2:$V$2,0)))*$I63)</f>
        <v/>
      </c>
      <c r="W63" s="335"/>
      <c r="X63" s="1" cm="1">
        <f t="array" ref="X63">IF(OR(ISERROR(B63:V63)),1,0)</f>
        <v>0</v>
      </c>
      <c r="Y63" s="1">
        <f t="shared" si="2"/>
        <v>0</v>
      </c>
    </row>
    <row r="64" spans="2:25" ht="12.5" customHeight="1" thickBot="1" x14ac:dyDescent="0.4">
      <c r="B64" s="198"/>
      <c r="C64" s="199"/>
      <c r="D64" s="6"/>
      <c r="E64" s="199"/>
      <c r="F64" s="137" t="str">
        <f>IF(E64="","",INDEX(Methodologytier,MATCH(B$50,Lists!$AZ$4:$AZ$32,0),MATCH(E64,Lists!$BA$3:$BC$3,0)))</f>
        <v/>
      </c>
      <c r="G64" s="148"/>
      <c r="H64" s="199"/>
      <c r="I64" s="38" t="str" cm="1">
        <f t="array" ref="I64">IF(OR($B64="",$C64="",H64=""),"",IF(H64=J64,G64,(INDEX('Emission factors'!$K$3:$V$381,MATCH($B64&amp;$C64,'Emission factors'!$K$3:$K$381&amp;'Emission factors'!$L$3:$L$381,0),MATCH($I$52,'Emission factors'!$K$2:$V$2,0)))*G64))</f>
        <v/>
      </c>
      <c r="J64" s="35" t="str" cm="1">
        <f t="array" ref="J64">IF(OR($B64="",$G64="",MunicipalWasteTable[[#This Row],[Units]]=""),"",INDEX('Emission factors'!$K$3:$V$381,MATCH($B64&amp;$C64,'Emission factors'!$K$3:$K$381&amp;'Emission factors'!$L$3:$L$381,0),MATCH($J$52,'Emission factors'!$K$2:$V$2,0)))</f>
        <v/>
      </c>
      <c r="K64" s="35" t="str" cm="1">
        <f t="array" ref="K64">IF(OR(B64="",C64="",MunicipalWasteTable[[#This Row],[Data]]=""),"",INDEX('Emission factors'!$K$3:$V$381,MATCH($J$51&amp;$B64&amp;$C64,'Emission factors'!$J$3:$J$381&amp;'Emission factors'!$K$3:$K$381&amp;'Emission factors'!$L$3:$L$381,0),MATCH($K$52,'Emission factors'!$K$2:$V$2,0)))</f>
        <v/>
      </c>
      <c r="L64" s="38">
        <f>SUM(MunicipalWasteTable[[#This Row],[Direct]:[Indirect WTT]])</f>
        <v>0</v>
      </c>
      <c r="M64" s="201"/>
      <c r="N64" s="199"/>
      <c r="O64" s="286" t="str" cm="1">
        <f t="array" ref="O64">IF(OR($B64="",$G64="",$I64=""),"",(INDEX('Emission factors'!$K$3:$V$381,MATCH($J$51&amp;$B64&amp;$C64,'Emission factors'!$J$3:$J$381&amp;'Emission factors'!$K$3:$K$381&amp;'Emission factors'!$L$3:$L$381,0),MATCH(O$52,'Emission factors'!$K$2:$V$2,0)))*$I64)</f>
        <v/>
      </c>
      <c r="P64" s="286" t="str" cm="1">
        <f t="array" ref="P64">IF(OR($B64="",$G64="",$I64=""),"",(INDEX('Emission factors'!$K$3:$V$381,MATCH($J$51&amp;$B64&amp;$C64,'Emission factors'!$J$3:$J$381&amp;'Emission factors'!$K$3:$K$381&amp;'Emission factors'!$L$3:$L$381,0),MATCH(P$52,'Emission factors'!$K$2:$V$2,0)))*$I64)</f>
        <v/>
      </c>
      <c r="Q64" s="286" t="str" cm="1">
        <f t="array" ref="Q64">IF(OR($B64="",$G64="",$I64=""),"",(INDEX('Emission factors'!$K$3:$V$381,MATCH($J$51&amp;$B64&amp;$C64,'Emission factors'!$J$3:$J$381&amp;'Emission factors'!$K$3:$K$381&amp;'Emission factors'!$L$3:$L$381,0),MATCH(Q$52,'Emission factors'!$K$2:$V$2,0)))*$I64)</f>
        <v/>
      </c>
      <c r="R64" s="286" t="str" cm="1">
        <f t="array" ref="R64">IF(OR($B64="",$G64="",$I64=""),"",(INDEX('Emission factors'!$K$3:$V$381,MATCH($J$51&amp;$B64&amp;$C64,'Emission factors'!$J$3:$J$381&amp;'Emission factors'!$K$3:$K$381&amp;'Emission factors'!$L$3:$L$381,0),MATCH(R$52,'Emission factors'!$K$2:$V$2,0)))*$I64)</f>
        <v/>
      </c>
      <c r="S64" s="286" t="str" cm="1">
        <f t="array" ref="S64">IF(OR($B64="",$G64="",$I64=""),"",(INDEX('Emission factors'!$K$3:$V$381,MATCH($J$51&amp;$B64&amp;$C64,'Emission factors'!$J$3:$J$381&amp;'Emission factors'!$K$3:$K$381&amp;'Emission factors'!$L$3:$L$381,0),MATCH(S$52,'Emission factors'!$K$2:$V$2,0)))*$I64)</f>
        <v/>
      </c>
      <c r="T64" s="377" t="str">
        <f>IF(OR(MunicipalWasteTable[[#This Row],[RSD]]="", MunicipalWasteTable[[#This Row],[Total emissions]]=""),"",MunicipalWasteTable[[#This Row],[Total emissions]]*(1+MunicipalWasteTable[[#This Row],[RSD]]))</f>
        <v/>
      </c>
      <c r="U64" s="376" t="str">
        <f>IF(OR(MunicipalWasteTable[[#This Row],[RSD]]="",MunicipalWasteTable[[#This Row],[Total emissions]]=""),"",MunicipalWasteTable[[#This Row],[Total emissions]]*(1-MunicipalWasteTable[[#This Row],[RSD]]))</f>
        <v/>
      </c>
      <c r="V64" s="360" t="str" cm="1">
        <f t="array" ref="V64">IF(OR($B64="",$G64="",$I64=""),"",(INDEX('Emission factors'!$K$3:$V$381,MATCH($J$51&amp;$B64&amp;$C64,'Emission factors'!$J$3:$J$381&amp;'Emission factors'!$K$3:$K$381&amp;'Emission factors'!$L$3:$L$381,0),MATCH(V$52,'Emission factors'!$K$2:$V$2,0)))*$I64)</f>
        <v/>
      </c>
      <c r="W64" s="335"/>
      <c r="X64" s="1" cm="1">
        <f t="array" ref="X64">IF(OR(ISERROR(B64:V64)),1,0)</f>
        <v>0</v>
      </c>
      <c r="Y64" s="1">
        <f t="shared" si="2"/>
        <v>0</v>
      </c>
    </row>
    <row r="65" spans="2:25" ht="12.5" customHeight="1" thickBot="1" x14ac:dyDescent="0.4">
      <c r="B65" s="198"/>
      <c r="C65" s="199"/>
      <c r="D65" s="6"/>
      <c r="E65" s="199"/>
      <c r="F65" s="137" t="str">
        <f>IF(E65="","",INDEX(Methodologytier,MATCH(B$50,Lists!$AZ$4:$AZ$32,0),MATCH(E65,Lists!$BA$3:$BC$3,0)))</f>
        <v/>
      </c>
      <c r="G65" s="148"/>
      <c r="H65" s="199"/>
      <c r="I65" s="38" t="str" cm="1">
        <f t="array" ref="I65">IF(OR($B65="",$C65="",H65=""),"",IF(H65=J65,G65,(INDEX('Emission factors'!$K$3:$V$381,MATCH($B65&amp;$C65,'Emission factors'!$K$3:$K$381&amp;'Emission factors'!$L$3:$L$381,0),MATCH($I$52,'Emission factors'!$K$2:$V$2,0)))*G65))</f>
        <v/>
      </c>
      <c r="J65" s="35" t="str" cm="1">
        <f t="array" ref="J65">IF(OR($B65="",$G65="",MunicipalWasteTable[[#This Row],[Units]]=""),"",INDEX('Emission factors'!$K$3:$V$381,MATCH($B65&amp;$C65,'Emission factors'!$K$3:$K$381&amp;'Emission factors'!$L$3:$L$381,0),MATCH($J$52,'Emission factors'!$K$2:$V$2,0)))</f>
        <v/>
      </c>
      <c r="K65" s="35" t="str" cm="1">
        <f t="array" ref="K65">IF(OR(B65="",C65="",MunicipalWasteTable[[#This Row],[Data]]=""),"",INDEX('Emission factors'!$K$3:$V$381,MATCH($J$51&amp;$B65&amp;$C65,'Emission factors'!$J$3:$J$381&amp;'Emission factors'!$K$3:$K$381&amp;'Emission factors'!$L$3:$L$381,0),MATCH($K$52,'Emission factors'!$K$2:$V$2,0)))</f>
        <v/>
      </c>
      <c r="L65" s="38">
        <f>SUM(MunicipalWasteTable[[#This Row],[Direct]:[Indirect WTT]])</f>
        <v>0</v>
      </c>
      <c r="M65" s="201"/>
      <c r="N65" s="199"/>
      <c r="O65" s="286" t="str" cm="1">
        <f t="array" ref="O65">IF(OR($B65="",$G65="",$I65=""),"",(INDEX('Emission factors'!$K$3:$V$381,MATCH($J$51&amp;$B65&amp;$C65,'Emission factors'!$J$3:$J$381&amp;'Emission factors'!$K$3:$K$381&amp;'Emission factors'!$L$3:$L$381,0),MATCH(O$52,'Emission factors'!$K$2:$V$2,0)))*$I65)</f>
        <v/>
      </c>
      <c r="P65" s="286" t="str" cm="1">
        <f t="array" ref="P65">IF(OR($B65="",$G65="",$I65=""),"",(INDEX('Emission factors'!$K$3:$V$381,MATCH($J$51&amp;$B65&amp;$C65,'Emission factors'!$J$3:$J$381&amp;'Emission factors'!$K$3:$K$381&amp;'Emission factors'!$L$3:$L$381,0),MATCH(P$52,'Emission factors'!$K$2:$V$2,0)))*$I65)</f>
        <v/>
      </c>
      <c r="Q65" s="286" t="str" cm="1">
        <f t="array" ref="Q65">IF(OR($B65="",$G65="",$I65=""),"",(INDEX('Emission factors'!$K$3:$V$381,MATCH($J$51&amp;$B65&amp;$C65,'Emission factors'!$J$3:$J$381&amp;'Emission factors'!$K$3:$K$381&amp;'Emission factors'!$L$3:$L$381,0),MATCH(Q$52,'Emission factors'!$K$2:$V$2,0)))*$I65)</f>
        <v/>
      </c>
      <c r="R65" s="286" t="str" cm="1">
        <f t="array" ref="R65">IF(OR($B65="",$G65="",$I65=""),"",(INDEX('Emission factors'!$K$3:$V$381,MATCH($J$51&amp;$B65&amp;$C65,'Emission factors'!$J$3:$J$381&amp;'Emission factors'!$K$3:$K$381&amp;'Emission factors'!$L$3:$L$381,0),MATCH(R$52,'Emission factors'!$K$2:$V$2,0)))*$I65)</f>
        <v/>
      </c>
      <c r="S65" s="286" t="str" cm="1">
        <f t="array" ref="S65">IF(OR($B65="",$G65="",$I65=""),"",(INDEX('Emission factors'!$K$3:$V$381,MATCH($J$51&amp;$B65&amp;$C65,'Emission factors'!$J$3:$J$381&amp;'Emission factors'!$K$3:$K$381&amp;'Emission factors'!$L$3:$L$381,0),MATCH(S$52,'Emission factors'!$K$2:$V$2,0)))*$I65)</f>
        <v/>
      </c>
      <c r="T65" s="377" t="str">
        <f>IF(OR(MunicipalWasteTable[[#This Row],[RSD]]="", MunicipalWasteTable[[#This Row],[Total emissions]]=""),"",MunicipalWasteTable[[#This Row],[Total emissions]]*(1+MunicipalWasteTable[[#This Row],[RSD]]))</f>
        <v/>
      </c>
      <c r="U65" s="376" t="str">
        <f>IF(OR(MunicipalWasteTable[[#This Row],[RSD]]="",MunicipalWasteTable[[#This Row],[Total emissions]]=""),"",MunicipalWasteTable[[#This Row],[Total emissions]]*(1-MunicipalWasteTable[[#This Row],[RSD]]))</f>
        <v/>
      </c>
      <c r="V65" s="360" t="str" cm="1">
        <f t="array" ref="V65">IF(OR($B65="",$G65="",$I65=""),"",(INDEX('Emission factors'!$K$3:$V$381,MATCH($J$51&amp;$B65&amp;$C65,'Emission factors'!$J$3:$J$381&amp;'Emission factors'!$K$3:$K$381&amp;'Emission factors'!$L$3:$L$381,0),MATCH(V$52,'Emission factors'!$K$2:$V$2,0)))*$I65)</f>
        <v/>
      </c>
      <c r="W65" s="335"/>
      <c r="X65" s="1" cm="1">
        <f t="array" ref="X65">IF(OR(ISERROR(B65:V65)),1,0)</f>
        <v>0</v>
      </c>
      <c r="Y65" s="1">
        <f t="shared" si="2"/>
        <v>0</v>
      </c>
    </row>
    <row r="66" spans="2:25" ht="15" thickBot="1" x14ac:dyDescent="0.4">
      <c r="B66" s="198"/>
      <c r="C66" s="199"/>
      <c r="D66" s="6"/>
      <c r="E66" s="199"/>
      <c r="F66" s="137" t="str">
        <f>IF(E66="","",INDEX(Methodologytier,MATCH(B$50,Lists!$AZ$4:$AZ$32,0),MATCH(E66,Lists!$BA$3:$BC$3,0)))</f>
        <v/>
      </c>
      <c r="G66" s="148"/>
      <c r="H66" s="199"/>
      <c r="I66" s="38" t="str" cm="1">
        <f t="array" ref="I66">IF(OR($B66="",$C66="",H66=""),"",IF(H66=J66,G66,(INDEX('Emission factors'!$K$3:$V$381,MATCH($B66&amp;$C66,'Emission factors'!$K$3:$K$381&amp;'Emission factors'!$L$3:$L$381,0),MATCH($I$52,'Emission factors'!$K$2:$V$2,0)))*G66))</f>
        <v/>
      </c>
      <c r="J66" s="35" t="str" cm="1">
        <f t="array" ref="J66">IF(OR($B66="",$G66="",MunicipalWasteTable[[#This Row],[Units]]=""),"",INDEX('Emission factors'!$K$3:$V$381,MATCH($B66&amp;$C66,'Emission factors'!$K$3:$K$381&amp;'Emission factors'!$L$3:$L$381,0),MATCH($J$52,'Emission factors'!$K$2:$V$2,0)))</f>
        <v/>
      </c>
      <c r="K66" s="35" t="str" cm="1">
        <f t="array" ref="K66">IF(OR(B66="",C66="",MunicipalWasteTable[[#This Row],[Data]]=""),"",INDEX('Emission factors'!$K$3:$V$381,MATCH($J$51&amp;$B66&amp;$C66,'Emission factors'!$J$3:$J$381&amp;'Emission factors'!$K$3:$K$381&amp;'Emission factors'!$L$3:$L$381,0),MATCH($K$52,'Emission factors'!$K$2:$V$2,0)))</f>
        <v/>
      </c>
      <c r="L66" s="38">
        <f>SUM(MunicipalWasteTable[[#This Row],[Direct]:[Indirect WTT]])</f>
        <v>0</v>
      </c>
      <c r="M66" s="201"/>
      <c r="N66" s="199"/>
      <c r="O66" s="286" t="str" cm="1">
        <f t="array" ref="O66">IF(OR($B66="",$G66="",$I66=""),"",(INDEX('Emission factors'!$K$3:$V$381,MATCH($J$51&amp;$B66&amp;$C66,'Emission factors'!$J$3:$J$381&amp;'Emission factors'!$K$3:$K$381&amp;'Emission factors'!$L$3:$L$381,0),MATCH(O$52,'Emission factors'!$K$2:$V$2,0)))*$I66)</f>
        <v/>
      </c>
      <c r="P66" s="286" t="str" cm="1">
        <f t="array" ref="P66">IF(OR($B66="",$G66="",$I66=""),"",(INDEX('Emission factors'!$K$3:$V$381,MATCH($J$51&amp;$B66&amp;$C66,'Emission factors'!$J$3:$J$381&amp;'Emission factors'!$K$3:$K$381&amp;'Emission factors'!$L$3:$L$381,0),MATCH(P$52,'Emission factors'!$K$2:$V$2,0)))*$I66)</f>
        <v/>
      </c>
      <c r="Q66" s="286" t="str" cm="1">
        <f t="array" ref="Q66">IF(OR($B66="",$G66="",$I66=""),"",(INDEX('Emission factors'!$K$3:$V$381,MATCH($J$51&amp;$B66&amp;$C66,'Emission factors'!$J$3:$J$381&amp;'Emission factors'!$K$3:$K$381&amp;'Emission factors'!$L$3:$L$381,0),MATCH(Q$52,'Emission factors'!$K$2:$V$2,0)))*$I66)</f>
        <v/>
      </c>
      <c r="R66" s="286" t="str" cm="1">
        <f t="array" ref="R66">IF(OR($B66="",$G66="",$I66=""),"",(INDEX('Emission factors'!$K$3:$V$381,MATCH($J$51&amp;$B66&amp;$C66,'Emission factors'!$J$3:$J$381&amp;'Emission factors'!$K$3:$K$381&amp;'Emission factors'!$L$3:$L$381,0),MATCH(R$52,'Emission factors'!$K$2:$V$2,0)))*$I66)</f>
        <v/>
      </c>
      <c r="S66" s="286" t="str" cm="1">
        <f t="array" ref="S66">IF(OR($B66="",$G66="",$I66=""),"",(INDEX('Emission factors'!$K$3:$V$381,MATCH($J$51&amp;$B66&amp;$C66,'Emission factors'!$J$3:$J$381&amp;'Emission factors'!$K$3:$K$381&amp;'Emission factors'!$L$3:$L$381,0),MATCH(S$52,'Emission factors'!$K$2:$V$2,0)))*$I66)</f>
        <v/>
      </c>
      <c r="T66" s="374" t="str">
        <f>IF(OR(MunicipalWasteTable[[#This Row],[RSD]]="", MunicipalWasteTable[[#This Row],[Total emissions]]=""),"",MunicipalWasteTable[[#This Row],[Total emissions]]*(1+MunicipalWasteTable[[#This Row],[RSD]]))</f>
        <v/>
      </c>
      <c r="U66" s="376" t="str">
        <f>IF(OR(MunicipalWasteTable[[#This Row],[RSD]]="",MunicipalWasteTable[[#This Row],[Total emissions]]=""),"",MunicipalWasteTable[[#This Row],[Total emissions]]*(1-MunicipalWasteTable[[#This Row],[RSD]]))</f>
        <v/>
      </c>
      <c r="V66" s="360" t="str" cm="1">
        <f t="array" ref="V66">IF(OR($B66="",$G66="",$I66=""),"",(INDEX('Emission factors'!$K$3:$V$381,MATCH($J$51&amp;$B66&amp;$C66,'Emission factors'!$J$3:$J$381&amp;'Emission factors'!$K$3:$K$381&amp;'Emission factors'!$L$3:$L$381,0),MATCH(V$52,'Emission factors'!$K$2:$V$2,0)))*$I66)</f>
        <v/>
      </c>
      <c r="W66" s="335"/>
      <c r="X66" s="1" cm="1">
        <f t="array" ref="X66">IF(OR(ISERROR(B66:V66)),1,0)</f>
        <v>0</v>
      </c>
      <c r="Y66" s="1">
        <f t="shared" si="2"/>
        <v>0</v>
      </c>
    </row>
    <row r="67" spans="2:25" ht="15" thickBot="1" x14ac:dyDescent="0.4">
      <c r="B67" s="198"/>
      <c r="C67" s="199"/>
      <c r="D67" s="6"/>
      <c r="E67" s="199"/>
      <c r="F67" s="137" t="str">
        <f>IF(E67="","",INDEX(Methodologytier,MATCH(B$50,Lists!$AZ$4:$AZ$32,0),MATCH(E67,Lists!$BA$3:$BC$3,0)))</f>
        <v/>
      </c>
      <c r="G67" s="148"/>
      <c r="H67" s="199"/>
      <c r="I67" s="38" t="str" cm="1">
        <f t="array" ref="I67">IF(OR($B67="",$C67="",H67=""),"",IF(H67=J67,G67,(INDEX('Emission factors'!$K$3:$V$381,MATCH($B67&amp;$C67,'Emission factors'!$K$3:$K$381&amp;'Emission factors'!$L$3:$L$381,0),MATCH($I$52,'Emission factors'!$K$2:$V$2,0)))*G67))</f>
        <v/>
      </c>
      <c r="J67" s="35" t="str" cm="1">
        <f t="array" ref="J67">IF(OR($B67="",$G67="",MunicipalWasteTable[[#This Row],[Units]]=""),"",INDEX('Emission factors'!$K$3:$V$381,MATCH($B67&amp;$C67,'Emission factors'!$K$3:$K$381&amp;'Emission factors'!$L$3:$L$381,0),MATCH($J$52,'Emission factors'!$K$2:$V$2,0)))</f>
        <v/>
      </c>
      <c r="K67" s="35" t="str" cm="1">
        <f t="array" ref="K67">IF(OR(B67="",C67="",MunicipalWasteTable[[#This Row],[Data]]=""),"",INDEX('Emission factors'!$K$3:$V$381,MATCH($J$51&amp;$B67&amp;$C67,'Emission factors'!$J$3:$J$381&amp;'Emission factors'!$K$3:$K$381&amp;'Emission factors'!$L$3:$L$381,0),MATCH($K$52,'Emission factors'!$K$2:$V$2,0)))</f>
        <v/>
      </c>
      <c r="L67" s="38">
        <f>SUM(MunicipalWasteTable[[#This Row],[Direct]:[Indirect WTT]])</f>
        <v>0</v>
      </c>
      <c r="M67" s="201"/>
      <c r="N67" s="199"/>
      <c r="O67" s="286" t="str" cm="1">
        <f t="array" ref="O67">IF(OR($B67="",$G67="",$I67=""),"",(INDEX('Emission factors'!$K$3:$V$381,MATCH($J$51&amp;$B67&amp;$C67,'Emission factors'!$J$3:$J$381&amp;'Emission factors'!$K$3:$K$381&amp;'Emission factors'!$L$3:$L$381,0),MATCH(O$52,'Emission factors'!$K$2:$V$2,0)))*$I67)</f>
        <v/>
      </c>
      <c r="P67" s="286" t="str" cm="1">
        <f t="array" ref="P67">IF(OR($B67="",$G67="",$I67=""),"",(INDEX('Emission factors'!$K$3:$V$381,MATCH($J$51&amp;$B67&amp;$C67,'Emission factors'!$J$3:$J$381&amp;'Emission factors'!$K$3:$K$381&amp;'Emission factors'!$L$3:$L$381,0),MATCH(P$52,'Emission factors'!$K$2:$V$2,0)))*$I67)</f>
        <v/>
      </c>
      <c r="Q67" s="286" t="str" cm="1">
        <f t="array" ref="Q67">IF(OR($B67="",$G67="",$I67=""),"",(INDEX('Emission factors'!$K$3:$V$381,MATCH($J$51&amp;$B67&amp;$C67,'Emission factors'!$J$3:$J$381&amp;'Emission factors'!$K$3:$K$381&amp;'Emission factors'!$L$3:$L$381,0),MATCH(Q$52,'Emission factors'!$K$2:$V$2,0)))*$I67)</f>
        <v/>
      </c>
      <c r="R67" s="286" t="str" cm="1">
        <f t="array" ref="R67">IF(OR($B67="",$G67="",$I67=""),"",(INDEX('Emission factors'!$K$3:$V$381,MATCH($J$51&amp;$B67&amp;$C67,'Emission factors'!$J$3:$J$381&amp;'Emission factors'!$K$3:$K$381&amp;'Emission factors'!$L$3:$L$381,0),MATCH(R$52,'Emission factors'!$K$2:$V$2,0)))*$I67)</f>
        <v/>
      </c>
      <c r="S67" s="286" t="str" cm="1">
        <f t="array" ref="S67">IF(OR($B67="",$G67="",$I67=""),"",(INDEX('Emission factors'!$K$3:$V$381,MATCH($J$51&amp;$B67&amp;$C67,'Emission factors'!$J$3:$J$381&amp;'Emission factors'!$K$3:$K$381&amp;'Emission factors'!$L$3:$L$381,0),MATCH(S$52,'Emission factors'!$K$2:$V$2,0)))*$I67)</f>
        <v/>
      </c>
      <c r="T67" s="374" t="str">
        <f>IF(OR(MunicipalWasteTable[[#This Row],[RSD]]="", MunicipalWasteTable[[#This Row],[Total emissions]]=""),"",MunicipalWasteTable[[#This Row],[Total emissions]]*(1+MunicipalWasteTable[[#This Row],[RSD]]))</f>
        <v/>
      </c>
      <c r="U67" s="376" t="str">
        <f>IF(OR(MunicipalWasteTable[[#This Row],[RSD]]="",MunicipalWasteTable[[#This Row],[Total emissions]]=""),"",MunicipalWasteTable[[#This Row],[Total emissions]]*(1-MunicipalWasteTable[[#This Row],[RSD]]))</f>
        <v/>
      </c>
      <c r="V67" s="360" t="str" cm="1">
        <f t="array" ref="V67">IF(OR($B67="",$G67="",$I67=""),"",(INDEX('Emission factors'!$K$3:$V$381,MATCH($J$51&amp;$B67&amp;$C67,'Emission factors'!$J$3:$J$381&amp;'Emission factors'!$K$3:$K$381&amp;'Emission factors'!$L$3:$L$381,0),MATCH(V$52,'Emission factors'!$K$2:$V$2,0)))*$I67)</f>
        <v/>
      </c>
      <c r="W67" s="335"/>
      <c r="X67" s="1" cm="1">
        <f t="array" ref="X67">IF(OR(ISERROR(B67:V67)),1,0)</f>
        <v>0</v>
      </c>
      <c r="Y67" s="1">
        <f t="shared" si="2"/>
        <v>0</v>
      </c>
    </row>
    <row r="68" spans="2:25" ht="15" thickBot="1" x14ac:dyDescent="0.4">
      <c r="B68" s="198"/>
      <c r="C68" s="199"/>
      <c r="D68" s="6"/>
      <c r="E68" s="199"/>
      <c r="F68" s="137" t="str">
        <f>IF(E68="","",INDEX(Methodologytier,MATCH(B$50,Lists!$AZ$4:$AZ$32,0),MATCH(E68,Lists!$BA$3:$BC$3,0)))</f>
        <v/>
      </c>
      <c r="G68" s="148"/>
      <c r="H68" s="199"/>
      <c r="I68" s="38" t="str" cm="1">
        <f t="array" ref="I68">IF(OR($B68="",$C68="",H68=""),"",IF(H68=J68,G68,(INDEX('Emission factors'!$K$3:$V$381,MATCH($B68&amp;$C68,'Emission factors'!$K$3:$K$381&amp;'Emission factors'!$L$3:$L$381,0),MATCH($I$52,'Emission factors'!$K$2:$V$2,0)))*G68))</f>
        <v/>
      </c>
      <c r="J68" s="35" t="str" cm="1">
        <f t="array" ref="J68">IF(OR($B68="",$G68="",MunicipalWasteTable[[#This Row],[Units]]=""),"",INDEX('Emission factors'!$K$3:$V$381,MATCH($B68&amp;$C68,'Emission factors'!$K$3:$K$381&amp;'Emission factors'!$L$3:$L$381,0),MATCH($J$52,'Emission factors'!$K$2:$V$2,0)))</f>
        <v/>
      </c>
      <c r="K68" s="35" t="str" cm="1">
        <f t="array" ref="K68">IF(OR(B68="",C68="",MunicipalWasteTable[[#This Row],[Data]]=""),"",INDEX('Emission factors'!$K$3:$V$381,MATCH($J$51&amp;$B68&amp;$C68,'Emission factors'!$J$3:$J$381&amp;'Emission factors'!$K$3:$K$381&amp;'Emission factors'!$L$3:$L$381,0),MATCH($K$52,'Emission factors'!$K$2:$V$2,0)))</f>
        <v/>
      </c>
      <c r="L68" s="38">
        <f>SUM(MunicipalWasteTable[[#This Row],[Direct]:[Indirect WTT]])</f>
        <v>0</v>
      </c>
      <c r="M68" s="201"/>
      <c r="N68" s="199"/>
      <c r="O68" s="286" t="str" cm="1">
        <f t="array" ref="O68">IF(OR($B68="",$G68="",$I68=""),"",(INDEX('Emission factors'!$K$3:$V$381,MATCH($J$51&amp;$B68&amp;$C68,'Emission factors'!$J$3:$J$381&amp;'Emission factors'!$K$3:$K$381&amp;'Emission factors'!$L$3:$L$381,0),MATCH(O$52,'Emission factors'!$K$2:$V$2,0)))*$I68)</f>
        <v/>
      </c>
      <c r="P68" s="286" t="str" cm="1">
        <f t="array" ref="P68">IF(OR($B68="",$G68="",$I68=""),"",(INDEX('Emission factors'!$K$3:$V$381,MATCH($J$51&amp;$B68&amp;$C68,'Emission factors'!$J$3:$J$381&amp;'Emission factors'!$K$3:$K$381&amp;'Emission factors'!$L$3:$L$381,0),MATCH(P$52,'Emission factors'!$K$2:$V$2,0)))*$I68)</f>
        <v/>
      </c>
      <c r="Q68" s="286" t="str" cm="1">
        <f t="array" ref="Q68">IF(OR($B68="",$G68="",$I68=""),"",(INDEX('Emission factors'!$K$3:$V$381,MATCH($J$51&amp;$B68&amp;$C68,'Emission factors'!$J$3:$J$381&amp;'Emission factors'!$K$3:$K$381&amp;'Emission factors'!$L$3:$L$381,0),MATCH(Q$52,'Emission factors'!$K$2:$V$2,0)))*$I68)</f>
        <v/>
      </c>
      <c r="R68" s="286" t="str" cm="1">
        <f t="array" ref="R68">IF(OR($B68="",$G68="",$I68=""),"",(INDEX('Emission factors'!$K$3:$V$381,MATCH($J$51&amp;$B68&amp;$C68,'Emission factors'!$J$3:$J$381&amp;'Emission factors'!$K$3:$K$381&amp;'Emission factors'!$L$3:$L$381,0),MATCH(R$52,'Emission factors'!$K$2:$V$2,0)))*$I68)</f>
        <v/>
      </c>
      <c r="S68" s="286" t="str" cm="1">
        <f t="array" ref="S68">IF(OR($B68="",$G68="",$I68=""),"",(INDEX('Emission factors'!$K$3:$V$381,MATCH($J$51&amp;$B68&amp;$C68,'Emission factors'!$J$3:$J$381&amp;'Emission factors'!$K$3:$K$381&amp;'Emission factors'!$L$3:$L$381,0),MATCH(S$52,'Emission factors'!$K$2:$V$2,0)))*$I68)</f>
        <v/>
      </c>
      <c r="T68" s="374" t="str">
        <f>IF(OR(MunicipalWasteTable[[#This Row],[RSD]]="", MunicipalWasteTable[[#This Row],[Total emissions]]=""),"",MunicipalWasteTable[[#This Row],[Total emissions]]*(1+MunicipalWasteTable[[#This Row],[RSD]]))</f>
        <v/>
      </c>
      <c r="U68" s="376" t="str">
        <f>IF(OR(MunicipalWasteTable[[#This Row],[RSD]]="",MunicipalWasteTable[[#This Row],[Total emissions]]=""),"",MunicipalWasteTable[[#This Row],[Total emissions]]*(1-MunicipalWasteTable[[#This Row],[RSD]]))</f>
        <v/>
      </c>
      <c r="V68" s="360" t="str" cm="1">
        <f t="array" ref="V68">IF(OR($B68="",$G68="",$I68=""),"",(INDEX('Emission factors'!$K$3:$V$381,MATCH($J$51&amp;$B68&amp;$C68,'Emission factors'!$J$3:$J$381&amp;'Emission factors'!$K$3:$K$381&amp;'Emission factors'!$L$3:$L$381,0),MATCH(V$52,'Emission factors'!$K$2:$V$2,0)))*$I68)</f>
        <v/>
      </c>
      <c r="W68" s="335"/>
      <c r="X68" s="1" cm="1">
        <f t="array" ref="X68">IF(OR(ISERROR(B68:V68)),1,0)</f>
        <v>0</v>
      </c>
      <c r="Y68" s="1">
        <f t="shared" si="2"/>
        <v>0</v>
      </c>
    </row>
    <row r="69" spans="2:25" ht="15" thickBot="1" x14ac:dyDescent="0.4">
      <c r="B69" s="198"/>
      <c r="C69" s="199"/>
      <c r="D69" s="6"/>
      <c r="E69" s="199"/>
      <c r="F69" s="137" t="str">
        <f>IF(E69="","",INDEX(Methodologytier,MATCH(B$50,Lists!$AZ$4:$AZ$32,0),MATCH(E69,Lists!$BA$3:$BC$3,0)))</f>
        <v/>
      </c>
      <c r="G69" s="148"/>
      <c r="H69" s="199"/>
      <c r="I69" s="38" t="str" cm="1">
        <f t="array" ref="I69">IF(OR($B69="",$C69="",H69=""),"",IF(H69=J69,G69,(INDEX('Emission factors'!$K$3:$V$381,MATCH($B69&amp;$C69,'Emission factors'!$K$3:$K$381&amp;'Emission factors'!$L$3:$L$381,0),MATCH($I$52,'Emission factors'!$K$2:$V$2,0)))*G69))</f>
        <v/>
      </c>
      <c r="J69" s="35" t="str" cm="1">
        <f t="array" ref="J69">IF(OR($B69="",$G69="",MunicipalWasteTable[[#This Row],[Units]]=""),"",INDEX('Emission factors'!$K$3:$V$381,MATCH($B69&amp;$C69,'Emission factors'!$K$3:$K$381&amp;'Emission factors'!$L$3:$L$381,0),MATCH($J$52,'Emission factors'!$K$2:$V$2,0)))</f>
        <v/>
      </c>
      <c r="K69" s="35" t="str" cm="1">
        <f t="array" ref="K69">IF(OR(B69="",C69="",MunicipalWasteTable[[#This Row],[Data]]=""),"",INDEX('Emission factors'!$K$3:$V$381,MATCH($J$51&amp;$B69&amp;$C69,'Emission factors'!$J$3:$J$381&amp;'Emission factors'!$K$3:$K$381&amp;'Emission factors'!$L$3:$L$381,0),MATCH($K$52,'Emission factors'!$K$2:$V$2,0)))</f>
        <v/>
      </c>
      <c r="L69" s="38">
        <f>SUM(MunicipalWasteTable[[#This Row],[Direct]:[Indirect WTT]])</f>
        <v>0</v>
      </c>
      <c r="M69" s="201"/>
      <c r="N69" s="199"/>
      <c r="O69" s="286" t="str" cm="1">
        <f t="array" ref="O69">IF(OR($B69="",$G69="",$I69=""),"",(INDEX('Emission factors'!$K$3:$V$381,MATCH($J$51&amp;$B69&amp;$C69,'Emission factors'!$J$3:$J$381&amp;'Emission factors'!$K$3:$K$381&amp;'Emission factors'!$L$3:$L$381,0),MATCH(O$52,'Emission factors'!$K$2:$V$2,0)))*$I69)</f>
        <v/>
      </c>
      <c r="P69" s="286" t="str" cm="1">
        <f t="array" ref="P69">IF(OR($B69="",$G69="",$I69=""),"",(INDEX('Emission factors'!$K$3:$V$381,MATCH($J$51&amp;$B69&amp;$C69,'Emission factors'!$J$3:$J$381&amp;'Emission factors'!$K$3:$K$381&amp;'Emission factors'!$L$3:$L$381,0),MATCH(P$52,'Emission factors'!$K$2:$V$2,0)))*$I69)</f>
        <v/>
      </c>
      <c r="Q69" s="286" t="str" cm="1">
        <f t="array" ref="Q69">IF(OR($B69="",$G69="",$I69=""),"",(INDEX('Emission factors'!$K$3:$V$381,MATCH($J$51&amp;$B69&amp;$C69,'Emission factors'!$J$3:$J$381&amp;'Emission factors'!$K$3:$K$381&amp;'Emission factors'!$L$3:$L$381,0),MATCH(Q$52,'Emission factors'!$K$2:$V$2,0)))*$I69)</f>
        <v/>
      </c>
      <c r="R69" s="286" t="str" cm="1">
        <f t="array" ref="R69">IF(OR($B69="",$G69="",$I69=""),"",(INDEX('Emission factors'!$K$3:$V$381,MATCH($J$51&amp;$B69&amp;$C69,'Emission factors'!$J$3:$J$381&amp;'Emission factors'!$K$3:$K$381&amp;'Emission factors'!$L$3:$L$381,0),MATCH(R$52,'Emission factors'!$K$2:$V$2,0)))*$I69)</f>
        <v/>
      </c>
      <c r="S69" s="286" t="str" cm="1">
        <f t="array" ref="S69">IF(OR($B69="",$G69="",$I69=""),"",(INDEX('Emission factors'!$K$3:$V$381,MATCH($J$51&amp;$B69&amp;$C69,'Emission factors'!$J$3:$J$381&amp;'Emission factors'!$K$3:$K$381&amp;'Emission factors'!$L$3:$L$381,0),MATCH(S$52,'Emission factors'!$K$2:$V$2,0)))*$I69)</f>
        <v/>
      </c>
      <c r="T69" s="374" t="str">
        <f>IF(OR(MunicipalWasteTable[[#This Row],[RSD]]="", MunicipalWasteTable[[#This Row],[Total emissions]]=""),"",MunicipalWasteTable[[#This Row],[Total emissions]]*(1+MunicipalWasteTable[[#This Row],[RSD]]))</f>
        <v/>
      </c>
      <c r="U69" s="376" t="str">
        <f>IF(OR(MunicipalWasteTable[[#This Row],[RSD]]="",MunicipalWasteTable[[#This Row],[Total emissions]]=""),"",MunicipalWasteTable[[#This Row],[Total emissions]]*(1-MunicipalWasteTable[[#This Row],[RSD]]))</f>
        <v/>
      </c>
      <c r="V69" s="360" t="str" cm="1">
        <f t="array" ref="V69">IF(OR($B69="",$G69="",$I69=""),"",(INDEX('Emission factors'!$K$3:$V$381,MATCH($J$51&amp;$B69&amp;$C69,'Emission factors'!$J$3:$J$381&amp;'Emission factors'!$K$3:$K$381&amp;'Emission factors'!$L$3:$L$381,0),MATCH(V$52,'Emission factors'!$K$2:$V$2,0)))*$I69)</f>
        <v/>
      </c>
      <c r="W69" s="335"/>
      <c r="X69" s="1" cm="1">
        <f t="array" ref="X69">IF(OR(ISERROR(B69:V69)),1,0)</f>
        <v>0</v>
      </c>
      <c r="Y69" s="1">
        <f t="shared" si="2"/>
        <v>0</v>
      </c>
    </row>
    <row r="70" spans="2:25" ht="15" thickBot="1" x14ac:dyDescent="0.4">
      <c r="B70" s="198"/>
      <c r="C70" s="199"/>
      <c r="D70" s="6"/>
      <c r="E70" s="199"/>
      <c r="F70" s="137" t="str">
        <f>IF(E70="","",INDEX(Methodologytier,MATCH(B$50,Lists!$AZ$4:$AZ$32,0),MATCH(E70,Lists!$BA$3:$BC$3,0)))</f>
        <v/>
      </c>
      <c r="G70" s="148"/>
      <c r="H70" s="199"/>
      <c r="I70" s="38" t="str" cm="1">
        <f t="array" ref="I70">IF(OR($B70="",$C70="",H70=""),"",IF(H70=J70,G70,(INDEX('Emission factors'!$K$3:$V$381,MATCH($B70&amp;$C70,'Emission factors'!$K$3:$K$381&amp;'Emission factors'!$L$3:$L$381,0),MATCH($I$52,'Emission factors'!$K$2:$V$2,0)))*G70))</f>
        <v/>
      </c>
      <c r="J70" s="35" t="str" cm="1">
        <f t="array" ref="J70">IF(OR($B70="",$G70="",MunicipalWasteTable[[#This Row],[Units]]=""),"",INDEX('Emission factors'!$K$3:$V$381,MATCH($B70&amp;$C70,'Emission factors'!$K$3:$K$381&amp;'Emission factors'!$L$3:$L$381,0),MATCH($J$52,'Emission factors'!$K$2:$V$2,0)))</f>
        <v/>
      </c>
      <c r="K70" s="35" t="str" cm="1">
        <f t="array" ref="K70">IF(OR(B70="",C70="",MunicipalWasteTable[[#This Row],[Data]]=""),"",INDEX('Emission factors'!$K$3:$V$381,MATCH($J$51&amp;$B70&amp;$C70,'Emission factors'!$J$3:$J$381&amp;'Emission factors'!$K$3:$K$381&amp;'Emission factors'!$L$3:$L$381,0),MATCH($K$52,'Emission factors'!$K$2:$V$2,0)))</f>
        <v/>
      </c>
      <c r="L70" s="38">
        <f>SUM(MunicipalWasteTable[[#This Row],[Direct]:[Indirect WTT]])</f>
        <v>0</v>
      </c>
      <c r="M70" s="201"/>
      <c r="N70" s="199"/>
      <c r="O70" s="286" t="str" cm="1">
        <f t="array" ref="O70">IF(OR($B70="",$G70="",$I70=""),"",(INDEX('Emission factors'!$K$3:$V$381,MATCH($J$51&amp;$B70&amp;$C70,'Emission factors'!$J$3:$J$381&amp;'Emission factors'!$K$3:$K$381&amp;'Emission factors'!$L$3:$L$381,0),MATCH(O$52,'Emission factors'!$K$2:$V$2,0)))*$I70)</f>
        <v/>
      </c>
      <c r="P70" s="286" t="str" cm="1">
        <f t="array" ref="P70">IF(OR($B70="",$G70="",$I70=""),"",(INDEX('Emission factors'!$K$3:$V$381,MATCH($J$51&amp;$B70&amp;$C70,'Emission factors'!$J$3:$J$381&amp;'Emission factors'!$K$3:$K$381&amp;'Emission factors'!$L$3:$L$381,0),MATCH(P$52,'Emission factors'!$K$2:$V$2,0)))*$I70)</f>
        <v/>
      </c>
      <c r="Q70" s="286" t="str" cm="1">
        <f t="array" ref="Q70">IF(OR($B70="",$G70="",$I70=""),"",(INDEX('Emission factors'!$K$3:$V$381,MATCH($J$51&amp;$B70&amp;$C70,'Emission factors'!$J$3:$J$381&amp;'Emission factors'!$K$3:$K$381&amp;'Emission factors'!$L$3:$L$381,0),MATCH(Q$52,'Emission factors'!$K$2:$V$2,0)))*$I70)</f>
        <v/>
      </c>
      <c r="R70" s="286" t="str" cm="1">
        <f t="array" ref="R70">IF(OR($B70="",$G70="",$I70=""),"",(INDEX('Emission factors'!$K$3:$V$381,MATCH($J$51&amp;$B70&amp;$C70,'Emission factors'!$J$3:$J$381&amp;'Emission factors'!$K$3:$K$381&amp;'Emission factors'!$L$3:$L$381,0),MATCH(R$52,'Emission factors'!$K$2:$V$2,0)))*$I70)</f>
        <v/>
      </c>
      <c r="S70" s="286" t="str" cm="1">
        <f t="array" ref="S70">IF(OR($B70="",$G70="",$I70=""),"",(INDEX('Emission factors'!$K$3:$V$381,MATCH($J$51&amp;$B70&amp;$C70,'Emission factors'!$J$3:$J$381&amp;'Emission factors'!$K$3:$K$381&amp;'Emission factors'!$L$3:$L$381,0),MATCH(S$52,'Emission factors'!$K$2:$V$2,0)))*$I70)</f>
        <v/>
      </c>
      <c r="T70" s="374" t="str">
        <f>IF(OR(MunicipalWasteTable[[#This Row],[RSD]]="", MunicipalWasteTable[[#This Row],[Total emissions]]=""),"",MunicipalWasteTable[[#This Row],[Total emissions]]*(1+MunicipalWasteTable[[#This Row],[RSD]]))</f>
        <v/>
      </c>
      <c r="U70" s="376" t="str">
        <f>IF(OR(MunicipalWasteTable[[#This Row],[RSD]]="",MunicipalWasteTable[[#This Row],[Total emissions]]=""),"",MunicipalWasteTable[[#This Row],[Total emissions]]*(1-MunicipalWasteTable[[#This Row],[RSD]]))</f>
        <v/>
      </c>
      <c r="V70" s="360" t="str" cm="1">
        <f t="array" ref="V70">IF(OR($B70="",$G70="",$I70=""),"",(INDEX('Emission factors'!$K$3:$V$381,MATCH($J$51&amp;$B70&amp;$C70,'Emission factors'!$J$3:$J$381&amp;'Emission factors'!$K$3:$K$381&amp;'Emission factors'!$L$3:$L$381,0),MATCH(V$52,'Emission factors'!$K$2:$V$2,0)))*$I70)</f>
        <v/>
      </c>
      <c r="W70" s="335"/>
      <c r="X70" s="1" cm="1">
        <f t="array" ref="X70">IF(OR(ISERROR(B70:V70)),1,0)</f>
        <v>0</v>
      </c>
      <c r="Y70" s="1">
        <f t="shared" si="2"/>
        <v>0</v>
      </c>
    </row>
    <row r="71" spans="2:25" ht="15" thickBot="1" x14ac:dyDescent="0.4">
      <c r="B71" s="198"/>
      <c r="C71" s="199"/>
      <c r="D71" s="6"/>
      <c r="E71" s="199"/>
      <c r="F71" s="137" t="str">
        <f>IF(E71="","",INDEX(Methodologytier,MATCH(B$50,Lists!$AZ$4:$AZ$32,0),MATCH(E71,Lists!$BA$3:$BC$3,0)))</f>
        <v/>
      </c>
      <c r="G71" s="148"/>
      <c r="H71" s="199"/>
      <c r="I71" s="38" t="str" cm="1">
        <f t="array" ref="I71">IF(OR($B71="",$C71="",H71=""),"",IF(H71=J71,G71,(INDEX('Emission factors'!$K$3:$V$381,MATCH($B71&amp;$C71,'Emission factors'!$K$3:$K$381&amp;'Emission factors'!$L$3:$L$381,0),MATCH($I$52,'Emission factors'!$K$2:$V$2,0)))*G71))</f>
        <v/>
      </c>
      <c r="J71" s="35" t="str" cm="1">
        <f t="array" ref="J71">IF(OR($B71="",$G71="",MunicipalWasteTable[[#This Row],[Units]]=""),"",INDEX('Emission factors'!$K$3:$V$381,MATCH($B71&amp;$C71,'Emission factors'!$K$3:$K$381&amp;'Emission factors'!$L$3:$L$381,0),MATCH($J$52,'Emission factors'!$K$2:$V$2,0)))</f>
        <v/>
      </c>
      <c r="K71" s="35" t="str" cm="1">
        <f t="array" ref="K71">IF(OR(B71="",C71="",MunicipalWasteTable[[#This Row],[Data]]=""),"",INDEX('Emission factors'!$K$3:$V$381,MATCH($J$51&amp;$B71&amp;$C71,'Emission factors'!$J$3:$J$381&amp;'Emission factors'!$K$3:$K$381&amp;'Emission factors'!$L$3:$L$381,0),MATCH($K$52,'Emission factors'!$K$2:$V$2,0)))</f>
        <v/>
      </c>
      <c r="L71" s="38">
        <f>SUM(MunicipalWasteTable[[#This Row],[Direct]:[Indirect WTT]])</f>
        <v>0</v>
      </c>
      <c r="M71" s="201"/>
      <c r="N71" s="199"/>
      <c r="O71" s="286" t="str" cm="1">
        <f t="array" ref="O71">IF(OR($B71="",$G71="",$I71=""),"",(INDEX('Emission factors'!$K$3:$V$381,MATCH($J$51&amp;$B71&amp;$C71,'Emission factors'!$J$3:$J$381&amp;'Emission factors'!$K$3:$K$381&amp;'Emission factors'!$L$3:$L$381,0),MATCH(O$52,'Emission factors'!$K$2:$V$2,0)))*$I71)</f>
        <v/>
      </c>
      <c r="P71" s="286" t="str" cm="1">
        <f t="array" ref="P71">IF(OR($B71="",$G71="",$I71=""),"",(INDEX('Emission factors'!$K$3:$V$381,MATCH($J$51&amp;$B71&amp;$C71,'Emission factors'!$J$3:$J$381&amp;'Emission factors'!$K$3:$K$381&amp;'Emission factors'!$L$3:$L$381,0),MATCH(P$52,'Emission factors'!$K$2:$V$2,0)))*$I71)</f>
        <v/>
      </c>
      <c r="Q71" s="286" t="str" cm="1">
        <f t="array" ref="Q71">IF(OR($B71="",$G71="",$I71=""),"",(INDEX('Emission factors'!$K$3:$V$381,MATCH($J$51&amp;$B71&amp;$C71,'Emission factors'!$J$3:$J$381&amp;'Emission factors'!$K$3:$K$381&amp;'Emission factors'!$L$3:$L$381,0),MATCH(Q$52,'Emission factors'!$K$2:$V$2,0)))*$I71)</f>
        <v/>
      </c>
      <c r="R71" s="286" t="str" cm="1">
        <f t="array" ref="R71">IF(OR($B71="",$G71="",$I71=""),"",(INDEX('Emission factors'!$K$3:$V$381,MATCH($J$51&amp;$B71&amp;$C71,'Emission factors'!$J$3:$J$381&amp;'Emission factors'!$K$3:$K$381&amp;'Emission factors'!$L$3:$L$381,0),MATCH(R$52,'Emission factors'!$K$2:$V$2,0)))*$I71)</f>
        <v/>
      </c>
      <c r="S71" s="286" t="str" cm="1">
        <f t="array" ref="S71">IF(OR($B71="",$G71="",$I71=""),"",(INDEX('Emission factors'!$K$3:$V$381,MATCH($J$51&amp;$B71&amp;$C71,'Emission factors'!$J$3:$J$381&amp;'Emission factors'!$K$3:$K$381&amp;'Emission factors'!$L$3:$L$381,0),MATCH(S$52,'Emission factors'!$K$2:$V$2,0)))*$I71)</f>
        <v/>
      </c>
      <c r="T71" s="374" t="str">
        <f>IF(OR(MunicipalWasteTable[[#This Row],[RSD]]="", MunicipalWasteTable[[#This Row],[Total emissions]]=""),"",MunicipalWasteTable[[#This Row],[Total emissions]]*(1+MunicipalWasteTable[[#This Row],[RSD]]))</f>
        <v/>
      </c>
      <c r="U71" s="376" t="str">
        <f>IF(OR(MunicipalWasteTable[[#This Row],[RSD]]="",MunicipalWasteTable[[#This Row],[Total emissions]]=""),"",MunicipalWasteTable[[#This Row],[Total emissions]]*(1-MunicipalWasteTable[[#This Row],[RSD]]))</f>
        <v/>
      </c>
      <c r="V71" s="360" t="str" cm="1">
        <f t="array" ref="V71">IF(OR($B71="",$G71="",$I71=""),"",(INDEX('Emission factors'!$K$3:$V$381,MATCH($J$51&amp;$B71&amp;$C71,'Emission factors'!$J$3:$J$381&amp;'Emission factors'!$K$3:$K$381&amp;'Emission factors'!$L$3:$L$381,0),MATCH(V$52,'Emission factors'!$K$2:$V$2,0)))*$I71)</f>
        <v/>
      </c>
      <c r="W71" s="335"/>
      <c r="X71" s="1" cm="1">
        <f t="array" ref="X71">IF(OR(ISERROR(B71:V71)),1,0)</f>
        <v>0</v>
      </c>
      <c r="Y71" s="1">
        <f t="shared" si="2"/>
        <v>0</v>
      </c>
    </row>
    <row r="72" spans="2:25" ht="15" thickBot="1" x14ac:dyDescent="0.4">
      <c r="B72" s="198"/>
      <c r="C72" s="199"/>
      <c r="D72" s="6"/>
      <c r="E72" s="199"/>
      <c r="F72" s="137" t="str">
        <f>IF(E72="","",INDEX(Methodologytier,MATCH(B$50,Lists!$AZ$4:$AZ$32,0),MATCH(E72,Lists!$BA$3:$BC$3,0)))</f>
        <v/>
      </c>
      <c r="G72" s="148"/>
      <c r="H72" s="199"/>
      <c r="I72" s="38" t="str" cm="1">
        <f t="array" ref="I72">IF(OR($B72="",$C72="",H72=""),"",IF(H72=J72,G72,(INDEX('Emission factors'!$K$3:$V$381,MATCH($B72&amp;$C72,'Emission factors'!$K$3:$K$381&amp;'Emission factors'!$L$3:$L$381,0),MATCH($I$52,'Emission factors'!$K$2:$V$2,0)))*G72))</f>
        <v/>
      </c>
      <c r="J72" s="35" t="str" cm="1">
        <f t="array" ref="J72">IF(OR($B72="",$G72="",MunicipalWasteTable[[#This Row],[Units]]=""),"",INDEX('Emission factors'!$K$3:$V$381,MATCH($B72&amp;$C72,'Emission factors'!$K$3:$K$381&amp;'Emission factors'!$L$3:$L$381,0),MATCH($J$52,'Emission factors'!$K$2:$V$2,0)))</f>
        <v/>
      </c>
      <c r="K72" s="35" t="str" cm="1">
        <f t="array" ref="K72">IF(OR(B72="",C72="",MunicipalWasteTable[[#This Row],[Data]]=""),"",INDEX('Emission factors'!$K$3:$V$381,MATCH($J$51&amp;$B72&amp;$C72,'Emission factors'!$J$3:$J$381&amp;'Emission factors'!$K$3:$K$381&amp;'Emission factors'!$L$3:$L$381,0),MATCH($K$52,'Emission factors'!$K$2:$V$2,0)))</f>
        <v/>
      </c>
      <c r="L72" s="38">
        <f>SUM(MunicipalWasteTable[[#This Row],[Direct]:[Indirect WTT]])</f>
        <v>0</v>
      </c>
      <c r="M72" s="201"/>
      <c r="N72" s="199"/>
      <c r="O72" s="286" t="str" cm="1">
        <f t="array" ref="O72">IF(OR($B72="",$G72="",$I72=""),"",(INDEX('Emission factors'!$K$3:$V$381,MATCH($J$51&amp;$B72&amp;$C72,'Emission factors'!$J$3:$J$381&amp;'Emission factors'!$K$3:$K$381&amp;'Emission factors'!$L$3:$L$381,0),MATCH(O$52,'Emission factors'!$K$2:$V$2,0)))*$I72)</f>
        <v/>
      </c>
      <c r="P72" s="286" t="str" cm="1">
        <f t="array" ref="P72">IF(OR($B72="",$G72="",$I72=""),"",(INDEX('Emission factors'!$K$3:$V$381,MATCH($J$51&amp;$B72&amp;$C72,'Emission factors'!$J$3:$J$381&amp;'Emission factors'!$K$3:$K$381&amp;'Emission factors'!$L$3:$L$381,0),MATCH(P$52,'Emission factors'!$K$2:$V$2,0)))*$I72)</f>
        <v/>
      </c>
      <c r="Q72" s="286" t="str" cm="1">
        <f t="array" ref="Q72">IF(OR($B72="",$G72="",$I72=""),"",(INDEX('Emission factors'!$K$3:$V$381,MATCH($J$51&amp;$B72&amp;$C72,'Emission factors'!$J$3:$J$381&amp;'Emission factors'!$K$3:$K$381&amp;'Emission factors'!$L$3:$L$381,0),MATCH(Q$52,'Emission factors'!$K$2:$V$2,0)))*$I72)</f>
        <v/>
      </c>
      <c r="R72" s="286" t="str" cm="1">
        <f t="array" ref="R72">IF(OR($B72="",$G72="",$I72=""),"",(INDEX('Emission factors'!$K$3:$V$381,MATCH($J$51&amp;$B72&amp;$C72,'Emission factors'!$J$3:$J$381&amp;'Emission factors'!$K$3:$K$381&amp;'Emission factors'!$L$3:$L$381,0),MATCH(R$52,'Emission factors'!$K$2:$V$2,0)))*$I72)</f>
        <v/>
      </c>
      <c r="S72" s="286" t="str" cm="1">
        <f t="array" ref="S72">IF(OR($B72="",$G72="",$I72=""),"",(INDEX('Emission factors'!$K$3:$V$381,MATCH($J$51&amp;$B72&amp;$C72,'Emission factors'!$J$3:$J$381&amp;'Emission factors'!$K$3:$K$381&amp;'Emission factors'!$L$3:$L$381,0),MATCH(S$52,'Emission factors'!$K$2:$V$2,0)))*$I72)</f>
        <v/>
      </c>
      <c r="T72" s="374" t="str">
        <f>IF(OR(MunicipalWasteTable[[#This Row],[RSD]]="", MunicipalWasteTable[[#This Row],[Total emissions]]=""),"",MunicipalWasteTable[[#This Row],[Total emissions]]*(1+MunicipalWasteTable[[#This Row],[RSD]]))</f>
        <v/>
      </c>
      <c r="U72" s="376" t="str">
        <f>IF(OR(MunicipalWasteTable[[#This Row],[RSD]]="",MunicipalWasteTable[[#This Row],[Total emissions]]=""),"",MunicipalWasteTable[[#This Row],[Total emissions]]*(1-MunicipalWasteTable[[#This Row],[RSD]]))</f>
        <v/>
      </c>
      <c r="V72" s="361" t="str" cm="1">
        <f t="array" ref="V72">IF(OR($B72="",$G72="",$I72=""),"",(INDEX('Emission factors'!$K$3:$V$381,MATCH($J$51&amp;$B72&amp;$C72,'Emission factors'!$J$3:$J$381&amp;'Emission factors'!$K$3:$K$381&amp;'Emission factors'!$L$3:$L$381,0),MATCH(V$52,'Emission factors'!$K$2:$V$2,0)))*$I72)</f>
        <v/>
      </c>
      <c r="W72" s="335"/>
      <c r="X72" s="1" cm="1">
        <f t="array" ref="X72">IF(OR(ISERROR(B72:V72)),1,0)</f>
        <v>0</v>
      </c>
      <c r="Y72" s="1">
        <f t="shared" si="2"/>
        <v>0</v>
      </c>
    </row>
    <row r="73" spans="2:25" ht="15" thickBot="1" x14ac:dyDescent="0.4">
      <c r="B73" s="198"/>
      <c r="C73" s="199"/>
      <c r="D73" s="6"/>
      <c r="E73" s="199"/>
      <c r="F73" s="137" t="str">
        <f>IF(E73="","",INDEX(Methodologytier,MATCH(B$50,Lists!$AZ$4:$AZ$32,0),MATCH(E73,Lists!$BA$3:$BC$3,0)))</f>
        <v/>
      </c>
      <c r="G73" s="148"/>
      <c r="H73" s="199"/>
      <c r="I73" s="38" t="str" cm="1">
        <f t="array" ref="I73">IF(OR($B73="",$C73="",H73=""),"",IF(H73=J73,G73,(INDEX('Emission factors'!$K$3:$V$381,MATCH($B73&amp;$C73,'Emission factors'!$K$3:$K$381&amp;'Emission factors'!$L$3:$L$381,0),MATCH($I$52,'Emission factors'!$K$2:$V$2,0)))*G73))</f>
        <v/>
      </c>
      <c r="J73" s="35" t="str" cm="1">
        <f t="array" ref="J73">IF(OR($B73="",$G73="",MunicipalWasteTable[[#This Row],[Units]]=""),"",INDEX('Emission factors'!$K$3:$V$381,MATCH($B73&amp;$C73,'Emission factors'!$K$3:$K$381&amp;'Emission factors'!$L$3:$L$381,0),MATCH($J$52,'Emission factors'!$K$2:$V$2,0)))</f>
        <v/>
      </c>
      <c r="K73" s="35" t="str" cm="1">
        <f t="array" ref="K73">IF(OR(B73="",C73="",MunicipalWasteTable[[#This Row],[Data]]=""),"",INDEX('Emission factors'!$K$3:$V$381,MATCH($J$51&amp;$B73&amp;$C73,'Emission factors'!$J$3:$J$381&amp;'Emission factors'!$K$3:$K$381&amp;'Emission factors'!$L$3:$L$381,0),MATCH($K$52,'Emission factors'!$K$2:$V$2,0)))</f>
        <v/>
      </c>
      <c r="L73" s="38">
        <f>SUM(MunicipalWasteTable[[#This Row],[Direct]:[Indirect WTT]])</f>
        <v>0</v>
      </c>
      <c r="M73" s="201"/>
      <c r="N73" s="199"/>
      <c r="O73" s="286" t="str" cm="1">
        <f t="array" ref="O73">IF(OR($B73="",$G73="",$I73=""),"",(INDEX('Emission factors'!$K$3:$V$381,MATCH($J$51&amp;$B73&amp;$C73,'Emission factors'!$J$3:$J$381&amp;'Emission factors'!$K$3:$K$381&amp;'Emission factors'!$L$3:$L$381,0),MATCH(O$52,'Emission factors'!$K$2:$V$2,0)))*$I73)</f>
        <v/>
      </c>
      <c r="P73" s="286" t="str" cm="1">
        <f t="array" ref="P73">IF(OR($B73="",$G73="",$I73=""),"",(INDEX('Emission factors'!$K$3:$V$381,MATCH($J$51&amp;$B73&amp;$C73,'Emission factors'!$J$3:$J$381&amp;'Emission factors'!$K$3:$K$381&amp;'Emission factors'!$L$3:$L$381,0),MATCH(P$52,'Emission factors'!$K$2:$V$2,0)))*$I73)</f>
        <v/>
      </c>
      <c r="Q73" s="286" t="str" cm="1">
        <f t="array" ref="Q73">IF(OR($B73="",$G73="",$I73=""),"",(INDEX('Emission factors'!$K$3:$V$381,MATCH($J$51&amp;$B73&amp;$C73,'Emission factors'!$J$3:$J$381&amp;'Emission factors'!$K$3:$K$381&amp;'Emission factors'!$L$3:$L$381,0),MATCH(Q$52,'Emission factors'!$K$2:$V$2,0)))*$I73)</f>
        <v/>
      </c>
      <c r="R73" s="286" t="str" cm="1">
        <f t="array" ref="R73">IF(OR($B73="",$G73="",$I73=""),"",(INDEX('Emission factors'!$K$3:$V$381,MATCH($J$51&amp;$B73&amp;$C73,'Emission factors'!$J$3:$J$381&amp;'Emission factors'!$K$3:$K$381&amp;'Emission factors'!$L$3:$L$381,0),MATCH(R$52,'Emission factors'!$K$2:$V$2,0)))*$I73)</f>
        <v/>
      </c>
      <c r="S73" s="286" t="str" cm="1">
        <f t="array" ref="S73">IF(OR($B73="",$G73="",$I73=""),"",(INDEX('Emission factors'!$K$3:$V$381,MATCH($J$51&amp;$B73&amp;$C73,'Emission factors'!$J$3:$J$381&amp;'Emission factors'!$K$3:$K$381&amp;'Emission factors'!$L$3:$L$381,0),MATCH(S$52,'Emission factors'!$K$2:$V$2,0)))*$I73)</f>
        <v/>
      </c>
      <c r="T73" s="374" t="str">
        <f>IF(OR(MunicipalWasteTable[[#This Row],[RSD]]="", MunicipalWasteTable[[#This Row],[Total emissions]]=""),"",MunicipalWasteTable[[#This Row],[Total emissions]]*(1+MunicipalWasteTable[[#This Row],[RSD]]))</f>
        <v/>
      </c>
      <c r="U73" s="376" t="str">
        <f>IF(OR(MunicipalWasteTable[[#This Row],[RSD]]="",MunicipalWasteTable[[#This Row],[Total emissions]]=""),"",MunicipalWasteTable[[#This Row],[Total emissions]]*(1-MunicipalWasteTable[[#This Row],[RSD]]))</f>
        <v/>
      </c>
      <c r="V73" s="361" t="str" cm="1">
        <f t="array" ref="V73">IF(OR($B73="",$G73="",$I73=""),"",(INDEX('Emission factors'!$K$3:$V$381,MATCH($J$51&amp;$B73&amp;$C73,'Emission factors'!$J$3:$J$381&amp;'Emission factors'!$K$3:$K$381&amp;'Emission factors'!$L$3:$L$381,0),MATCH(V$52,'Emission factors'!$K$2:$V$2,0)))*$I73)</f>
        <v/>
      </c>
      <c r="W73" s="335"/>
      <c r="X73" s="1" cm="1">
        <f t="array" ref="X73">IF(OR(ISERROR(B73:V73)),1,0)</f>
        <v>0</v>
      </c>
      <c r="Y73" s="1">
        <f t="shared" si="2"/>
        <v>0</v>
      </c>
    </row>
    <row r="74" spans="2:25" ht="15" thickBot="1" x14ac:dyDescent="0.4">
      <c r="B74" s="198"/>
      <c r="C74" s="199"/>
      <c r="D74" s="6"/>
      <c r="E74" s="199"/>
      <c r="F74" s="137" t="str">
        <f>IF(E74="","",INDEX(Methodologytier,MATCH(B$50,Lists!$AZ$4:$AZ$32,0),MATCH(E74,Lists!$BA$3:$BC$3,0)))</f>
        <v/>
      </c>
      <c r="G74" s="148"/>
      <c r="H74" s="199"/>
      <c r="I74" s="38" t="str" cm="1">
        <f t="array" ref="I74">IF(OR($B74="",$C74="",H74=""),"",IF(H74=J74,G74,(INDEX('Emission factors'!$K$3:$V$381,MATCH($B74&amp;$C74,'Emission factors'!$K$3:$K$381&amp;'Emission factors'!$L$3:$L$381,0),MATCH($I$52,'Emission factors'!$K$2:$V$2,0)))*G74))</f>
        <v/>
      </c>
      <c r="J74" s="35" t="str" cm="1">
        <f t="array" ref="J74">IF(OR($B74="",$G74="",MunicipalWasteTable[[#This Row],[Units]]=""),"",INDEX('Emission factors'!$K$3:$V$381,MATCH($B74&amp;$C74,'Emission factors'!$K$3:$K$381&amp;'Emission factors'!$L$3:$L$381,0),MATCH($J$52,'Emission factors'!$K$2:$V$2,0)))</f>
        <v/>
      </c>
      <c r="K74" s="35" t="str" cm="1">
        <f t="array" ref="K74">IF(OR(B74="",C74="",MunicipalWasteTable[[#This Row],[Data]]=""),"",INDEX('Emission factors'!$K$3:$V$381,MATCH($J$51&amp;$B74&amp;$C74,'Emission factors'!$J$3:$J$381&amp;'Emission factors'!$K$3:$K$381&amp;'Emission factors'!$L$3:$L$381,0),MATCH($K$52,'Emission factors'!$K$2:$V$2,0)))</f>
        <v/>
      </c>
      <c r="L74" s="38">
        <f>SUM(MunicipalWasteTable[[#This Row],[Direct]:[Indirect WTT]])</f>
        <v>0</v>
      </c>
      <c r="M74" s="201"/>
      <c r="N74" s="199"/>
      <c r="O74" s="286" t="str" cm="1">
        <f t="array" ref="O74">IF(OR($B74="",$G74="",$I74=""),"",(INDEX('Emission factors'!$K$3:$V$381,MATCH($J$51&amp;$B74&amp;$C74,'Emission factors'!$J$3:$J$381&amp;'Emission factors'!$K$3:$K$381&amp;'Emission factors'!$L$3:$L$381,0),MATCH(O$52,'Emission factors'!$K$2:$V$2,0)))*$I74)</f>
        <v/>
      </c>
      <c r="P74" s="286" t="str" cm="1">
        <f t="array" ref="P74">IF(OR($B74="",$G74="",$I74=""),"",(INDEX('Emission factors'!$K$3:$V$381,MATCH($J$51&amp;$B74&amp;$C74,'Emission factors'!$J$3:$J$381&amp;'Emission factors'!$K$3:$K$381&amp;'Emission factors'!$L$3:$L$381,0),MATCH(P$52,'Emission factors'!$K$2:$V$2,0)))*$I74)</f>
        <v/>
      </c>
      <c r="Q74" s="286" t="str" cm="1">
        <f t="array" ref="Q74">IF(OR($B74="",$G74="",$I74=""),"",(INDEX('Emission factors'!$K$3:$V$381,MATCH($J$51&amp;$B74&amp;$C74,'Emission factors'!$J$3:$J$381&amp;'Emission factors'!$K$3:$K$381&amp;'Emission factors'!$L$3:$L$381,0),MATCH(Q$52,'Emission factors'!$K$2:$V$2,0)))*$I74)</f>
        <v/>
      </c>
      <c r="R74" s="286" t="str" cm="1">
        <f t="array" ref="R74">IF(OR($B74="",$G74="",$I74=""),"",(INDEX('Emission factors'!$K$3:$V$381,MATCH($J$51&amp;$B74&amp;$C74,'Emission factors'!$J$3:$J$381&amp;'Emission factors'!$K$3:$K$381&amp;'Emission factors'!$L$3:$L$381,0),MATCH(R$52,'Emission factors'!$K$2:$V$2,0)))*$I74)</f>
        <v/>
      </c>
      <c r="S74" s="286" t="str" cm="1">
        <f t="array" ref="S74">IF(OR($B74="",$G74="",$I74=""),"",(INDEX('Emission factors'!$K$3:$V$381,MATCH($J$51&amp;$B74&amp;$C74,'Emission factors'!$J$3:$J$381&amp;'Emission factors'!$K$3:$K$381&amp;'Emission factors'!$L$3:$L$381,0),MATCH(S$52,'Emission factors'!$K$2:$V$2,0)))*$I74)</f>
        <v/>
      </c>
      <c r="T74" s="374" t="str">
        <f>IF(OR(MunicipalWasteTable[[#This Row],[RSD]]="", MunicipalWasteTable[[#This Row],[Total emissions]]=""),"",MunicipalWasteTable[[#This Row],[Total emissions]]*(1+MunicipalWasteTable[[#This Row],[RSD]]))</f>
        <v/>
      </c>
      <c r="U74" s="376" t="str">
        <f>IF(OR(MunicipalWasteTable[[#This Row],[RSD]]="",MunicipalWasteTable[[#This Row],[Total emissions]]=""),"",MunicipalWasteTable[[#This Row],[Total emissions]]*(1-MunicipalWasteTable[[#This Row],[RSD]]))</f>
        <v/>
      </c>
      <c r="V74" s="361" t="str" cm="1">
        <f t="array" ref="V74">IF(OR($B74="",$G74="",$I74=""),"",(INDEX('Emission factors'!$K$3:$V$381,MATCH($J$51&amp;$B74&amp;$C74,'Emission factors'!$J$3:$J$381&amp;'Emission factors'!$K$3:$K$381&amp;'Emission factors'!$L$3:$L$381,0),MATCH(V$52,'Emission factors'!$K$2:$V$2,0)))*$I74)</f>
        <v/>
      </c>
      <c r="W74" s="335"/>
      <c r="X74" s="1" cm="1">
        <f t="array" ref="X74">IF(OR(ISERROR(B74:V74)),1,0)</f>
        <v>0</v>
      </c>
      <c r="Y74" s="1">
        <f t="shared" si="2"/>
        <v>0</v>
      </c>
    </row>
    <row r="75" spans="2:25" ht="15" thickBot="1" x14ac:dyDescent="0.4">
      <c r="B75" s="198"/>
      <c r="C75" s="199"/>
      <c r="D75" s="6"/>
      <c r="E75" s="199"/>
      <c r="F75" s="137" t="str">
        <f>IF(E75="","",INDEX(Methodologytier,MATCH(B$50,Lists!$AZ$4:$AZ$32,0),MATCH(E75,Lists!$BA$3:$BC$3,0)))</f>
        <v/>
      </c>
      <c r="G75" s="148"/>
      <c r="H75" s="199"/>
      <c r="I75" s="38" t="str" cm="1">
        <f t="array" ref="I75">IF(OR($B75="",$C75="",H75=""),"",IF(H75=J75,G75,(INDEX('Emission factors'!$K$3:$V$381,MATCH($B75&amp;$C75,'Emission factors'!$K$3:$K$381&amp;'Emission factors'!$L$3:$L$381,0),MATCH($I$52,'Emission factors'!$K$2:$V$2,0)))*G75))</f>
        <v/>
      </c>
      <c r="J75" s="35" t="str" cm="1">
        <f t="array" ref="J75">IF(OR($B75="",$G75="",MunicipalWasteTable[[#This Row],[Units]]=""),"",INDEX('Emission factors'!$K$3:$V$381,MATCH($B75&amp;$C75,'Emission factors'!$K$3:$K$381&amp;'Emission factors'!$L$3:$L$381,0),MATCH($J$52,'Emission factors'!$K$2:$V$2,0)))</f>
        <v/>
      </c>
      <c r="K75" s="35" t="str" cm="1">
        <f t="array" ref="K75">IF(OR(B75="",C75="",MunicipalWasteTable[[#This Row],[Data]]=""),"",INDEX('Emission factors'!$K$3:$V$381,MATCH($J$51&amp;$B75&amp;$C75,'Emission factors'!$J$3:$J$381&amp;'Emission factors'!$K$3:$K$381&amp;'Emission factors'!$L$3:$L$381,0),MATCH($K$52,'Emission factors'!$K$2:$V$2,0)))</f>
        <v/>
      </c>
      <c r="L75" s="38">
        <f>SUM(MunicipalWasteTable[[#This Row],[Direct]:[Indirect WTT]])</f>
        <v>0</v>
      </c>
      <c r="M75" s="201"/>
      <c r="N75" s="199"/>
      <c r="O75" s="286" t="str" cm="1">
        <f t="array" ref="O75">IF(OR($B75="",$G75="",$I75=""),"",(INDEX('Emission factors'!$K$3:$V$381,MATCH($J$51&amp;$B75&amp;$C75,'Emission factors'!$J$3:$J$381&amp;'Emission factors'!$K$3:$K$381&amp;'Emission factors'!$L$3:$L$381,0),MATCH(O$52,'Emission factors'!$K$2:$V$2,0)))*$I75)</f>
        <v/>
      </c>
      <c r="P75" s="286" t="str" cm="1">
        <f t="array" ref="P75">IF(OR($B75="",$G75="",$I75=""),"",(INDEX('Emission factors'!$K$3:$V$381,MATCH($J$51&amp;$B75&amp;$C75,'Emission factors'!$J$3:$J$381&amp;'Emission factors'!$K$3:$K$381&amp;'Emission factors'!$L$3:$L$381,0),MATCH(P$52,'Emission factors'!$K$2:$V$2,0)))*$I75)</f>
        <v/>
      </c>
      <c r="Q75" s="286" t="str" cm="1">
        <f t="array" ref="Q75">IF(OR($B75="",$G75="",$I75=""),"",(INDEX('Emission factors'!$K$3:$V$381,MATCH($J$51&amp;$B75&amp;$C75,'Emission factors'!$J$3:$J$381&amp;'Emission factors'!$K$3:$K$381&amp;'Emission factors'!$L$3:$L$381,0),MATCH(Q$52,'Emission factors'!$K$2:$V$2,0)))*$I75)</f>
        <v/>
      </c>
      <c r="R75" s="286" t="str" cm="1">
        <f t="array" ref="R75">IF(OR($B75="",$G75="",$I75=""),"",(INDEX('Emission factors'!$K$3:$V$381,MATCH($J$51&amp;$B75&amp;$C75,'Emission factors'!$J$3:$J$381&amp;'Emission factors'!$K$3:$K$381&amp;'Emission factors'!$L$3:$L$381,0),MATCH(R$52,'Emission factors'!$K$2:$V$2,0)))*$I75)</f>
        <v/>
      </c>
      <c r="S75" s="286" t="str" cm="1">
        <f t="array" ref="S75">IF(OR($B75="",$G75="",$I75=""),"",(INDEX('Emission factors'!$K$3:$V$381,MATCH($J$51&amp;$B75&amp;$C75,'Emission factors'!$J$3:$J$381&amp;'Emission factors'!$K$3:$K$381&amp;'Emission factors'!$L$3:$L$381,0),MATCH(S$52,'Emission factors'!$K$2:$V$2,0)))*$I75)</f>
        <v/>
      </c>
      <c r="T75" s="374" t="str">
        <f>IF(OR(MunicipalWasteTable[[#This Row],[RSD]]="", MunicipalWasteTable[[#This Row],[Total emissions]]=""),"",MunicipalWasteTable[[#This Row],[Total emissions]]*(1+MunicipalWasteTable[[#This Row],[RSD]]))</f>
        <v/>
      </c>
      <c r="U75" s="376" t="str">
        <f>IF(OR(MunicipalWasteTable[[#This Row],[RSD]]="",MunicipalWasteTable[[#This Row],[Total emissions]]=""),"",MunicipalWasteTable[[#This Row],[Total emissions]]*(1-MunicipalWasteTable[[#This Row],[RSD]]))</f>
        <v/>
      </c>
      <c r="V75" s="361" t="str" cm="1">
        <f t="array" ref="V75">IF(OR($B75="",$G75="",$I75=""),"",(INDEX('Emission factors'!$K$3:$V$381,MATCH($J$51&amp;$B75&amp;$C75,'Emission factors'!$J$3:$J$381&amp;'Emission factors'!$K$3:$K$381&amp;'Emission factors'!$L$3:$L$381,0),MATCH(V$52,'Emission factors'!$K$2:$V$2,0)))*$I75)</f>
        <v/>
      </c>
      <c r="W75" s="335"/>
      <c r="X75" s="1" cm="1">
        <f t="array" ref="X75">IF(OR(ISERROR(B75:V75)),1,0)</f>
        <v>0</v>
      </c>
      <c r="Y75" s="1">
        <f t="shared" si="2"/>
        <v>0</v>
      </c>
    </row>
    <row r="76" spans="2:25" ht="15" thickBot="1" x14ac:dyDescent="0.4">
      <c r="B76" s="198"/>
      <c r="C76" s="199"/>
      <c r="D76" s="6"/>
      <c r="E76" s="199"/>
      <c r="F76" s="137" t="str">
        <f>IF(E76="","",INDEX(Methodologytier,MATCH(B$50,Lists!$AZ$4:$AZ$32,0),MATCH(E76,Lists!$BA$3:$BC$3,0)))</f>
        <v/>
      </c>
      <c r="G76" s="148"/>
      <c r="H76" s="199"/>
      <c r="I76" s="38" t="str" cm="1">
        <f t="array" ref="I76">IF(OR($B76="",$C76="",H76=""),"",IF(H76=J76,G76,(INDEX('Emission factors'!$K$3:$V$381,MATCH($B76&amp;$C76,'Emission factors'!$K$3:$K$381&amp;'Emission factors'!$L$3:$L$381,0),MATCH($I$52,'Emission factors'!$K$2:$V$2,0)))*G76))</f>
        <v/>
      </c>
      <c r="J76" s="35" t="str" cm="1">
        <f t="array" ref="J76">IF(OR($B76="",$G76="",MunicipalWasteTable[[#This Row],[Units]]=""),"",INDEX('Emission factors'!$K$3:$V$381,MATCH($B76&amp;$C76,'Emission factors'!$K$3:$K$381&amp;'Emission factors'!$L$3:$L$381,0),MATCH($J$52,'Emission factors'!$K$2:$V$2,0)))</f>
        <v/>
      </c>
      <c r="K76" s="35" t="str" cm="1">
        <f t="array" ref="K76">IF(OR(B76="",C76="",MunicipalWasteTable[[#This Row],[Data]]=""),"",INDEX('Emission factors'!$K$3:$V$381,MATCH($J$51&amp;$B76&amp;$C76,'Emission factors'!$J$3:$J$381&amp;'Emission factors'!$K$3:$K$381&amp;'Emission factors'!$L$3:$L$381,0),MATCH($K$52,'Emission factors'!$K$2:$V$2,0)))</f>
        <v/>
      </c>
      <c r="L76" s="38">
        <f>SUM(MunicipalWasteTable[[#This Row],[Direct]:[Indirect WTT]])</f>
        <v>0</v>
      </c>
      <c r="M76" s="201"/>
      <c r="N76" s="199"/>
      <c r="O76" s="286" t="str" cm="1">
        <f t="array" ref="O76">IF(OR($B76="",$G76="",$I76=""),"",(INDEX('Emission factors'!$K$3:$V$381,MATCH($J$51&amp;$B76&amp;$C76,'Emission factors'!$J$3:$J$381&amp;'Emission factors'!$K$3:$K$381&amp;'Emission factors'!$L$3:$L$381,0),MATCH(O$52,'Emission factors'!$K$2:$V$2,0)))*$I76)</f>
        <v/>
      </c>
      <c r="P76" s="286" t="str" cm="1">
        <f t="array" ref="P76">IF(OR($B76="",$G76="",$I76=""),"",(INDEX('Emission factors'!$K$3:$V$381,MATCH($J$51&amp;$B76&amp;$C76,'Emission factors'!$J$3:$J$381&amp;'Emission factors'!$K$3:$K$381&amp;'Emission factors'!$L$3:$L$381,0),MATCH(P$52,'Emission factors'!$K$2:$V$2,0)))*$I76)</f>
        <v/>
      </c>
      <c r="Q76" s="286" t="str" cm="1">
        <f t="array" ref="Q76">IF(OR($B76="",$G76="",$I76=""),"",(INDEX('Emission factors'!$K$3:$V$381,MATCH($J$51&amp;$B76&amp;$C76,'Emission factors'!$J$3:$J$381&amp;'Emission factors'!$K$3:$K$381&amp;'Emission factors'!$L$3:$L$381,0),MATCH(Q$52,'Emission factors'!$K$2:$V$2,0)))*$I76)</f>
        <v/>
      </c>
      <c r="R76" s="286" t="str" cm="1">
        <f t="array" ref="R76">IF(OR($B76="",$G76="",$I76=""),"",(INDEX('Emission factors'!$K$3:$V$381,MATCH($J$51&amp;$B76&amp;$C76,'Emission factors'!$J$3:$J$381&amp;'Emission factors'!$K$3:$K$381&amp;'Emission factors'!$L$3:$L$381,0),MATCH(R$52,'Emission factors'!$K$2:$V$2,0)))*$I76)</f>
        <v/>
      </c>
      <c r="S76" s="286" t="str" cm="1">
        <f t="array" ref="S76">IF(OR($B76="",$G76="",$I76=""),"",(INDEX('Emission factors'!$K$3:$V$381,MATCH($J$51&amp;$B76&amp;$C76,'Emission factors'!$J$3:$J$381&amp;'Emission factors'!$K$3:$K$381&amp;'Emission factors'!$L$3:$L$381,0),MATCH(S$52,'Emission factors'!$K$2:$V$2,0)))*$I76)</f>
        <v/>
      </c>
      <c r="T76" s="374" t="str">
        <f>IF(OR(MunicipalWasteTable[[#This Row],[RSD]]="", MunicipalWasteTable[[#This Row],[Total emissions]]=""),"",MunicipalWasteTable[[#This Row],[Total emissions]]*(1+MunicipalWasteTable[[#This Row],[RSD]]))</f>
        <v/>
      </c>
      <c r="U76" s="376" t="str">
        <f>IF(OR(MunicipalWasteTable[[#This Row],[RSD]]="",MunicipalWasteTable[[#This Row],[Total emissions]]=""),"",MunicipalWasteTable[[#This Row],[Total emissions]]*(1-MunicipalWasteTable[[#This Row],[RSD]]))</f>
        <v/>
      </c>
      <c r="V76" s="361" t="str" cm="1">
        <f t="array" ref="V76">IF(OR($B76="",$G76="",$I76=""),"",(INDEX('Emission factors'!$K$3:$V$381,MATCH($J$51&amp;$B76&amp;$C76,'Emission factors'!$J$3:$J$381&amp;'Emission factors'!$K$3:$K$381&amp;'Emission factors'!$L$3:$L$381,0),MATCH(V$52,'Emission factors'!$K$2:$V$2,0)))*$I76)</f>
        <v/>
      </c>
      <c r="W76" s="335"/>
      <c r="X76" s="1" cm="1">
        <f t="array" ref="X76">IF(OR(ISERROR(B76:V76)),1,0)</f>
        <v>0</v>
      </c>
      <c r="Y76" s="1">
        <f t="shared" si="2"/>
        <v>0</v>
      </c>
    </row>
    <row r="77" spans="2:25" ht="15" thickBot="1" x14ac:dyDescent="0.4">
      <c r="B77" s="198"/>
      <c r="C77" s="199"/>
      <c r="D77" s="6"/>
      <c r="E77" s="199"/>
      <c r="F77" s="137" t="str">
        <f>IF(E77="","",INDEX(Methodologytier,MATCH(B$50,Lists!$AZ$4:$AZ$32,0),MATCH(E77,Lists!$BA$3:$BC$3,0)))</f>
        <v/>
      </c>
      <c r="G77" s="148"/>
      <c r="H77" s="199"/>
      <c r="I77" s="38" t="str" cm="1">
        <f t="array" ref="I77">IF(OR($B77="",$C77="",H77=""),"",IF(H77=J77,G77,(INDEX('Emission factors'!$K$3:$V$381,MATCH($B77&amp;$C77,'Emission factors'!$K$3:$K$381&amp;'Emission factors'!$L$3:$L$381,0),MATCH($I$52,'Emission factors'!$K$2:$V$2,0)))*G77))</f>
        <v/>
      </c>
      <c r="J77" s="35" t="str" cm="1">
        <f t="array" ref="J77">IF(OR($B77="",$G77="",MunicipalWasteTable[[#This Row],[Units]]=""),"",INDEX('Emission factors'!$K$3:$V$381,MATCH($B77&amp;$C77,'Emission factors'!$K$3:$K$381&amp;'Emission factors'!$L$3:$L$381,0),MATCH($J$52,'Emission factors'!$K$2:$V$2,0)))</f>
        <v/>
      </c>
      <c r="K77" s="35" t="str" cm="1">
        <f t="array" ref="K77">IF(OR(B77="",C77="",MunicipalWasteTable[[#This Row],[Data]]=""),"",INDEX('Emission factors'!$K$3:$V$381,MATCH($J$51&amp;$B77&amp;$C77,'Emission factors'!$J$3:$J$381&amp;'Emission factors'!$K$3:$K$381&amp;'Emission factors'!$L$3:$L$381,0),MATCH($K$52,'Emission factors'!$K$2:$V$2,0)))</f>
        <v/>
      </c>
      <c r="L77" s="38">
        <f>SUM(MunicipalWasteTable[[#This Row],[Direct]:[Indirect WTT]])</f>
        <v>0</v>
      </c>
      <c r="M77" s="201"/>
      <c r="N77" s="199"/>
      <c r="O77" s="286" t="str" cm="1">
        <f t="array" ref="O77">IF(OR($B77="",$G77="",$I77=""),"",(INDEX('Emission factors'!$K$3:$V$381,MATCH($J$51&amp;$B77&amp;$C77,'Emission factors'!$J$3:$J$381&amp;'Emission factors'!$K$3:$K$381&amp;'Emission factors'!$L$3:$L$381,0),MATCH(O$52,'Emission factors'!$K$2:$V$2,0)))*$I77)</f>
        <v/>
      </c>
      <c r="P77" s="286" t="str" cm="1">
        <f t="array" ref="P77">IF(OR($B77="",$G77="",$I77=""),"",(INDEX('Emission factors'!$K$3:$V$381,MATCH($J$51&amp;$B77&amp;$C77,'Emission factors'!$J$3:$J$381&amp;'Emission factors'!$K$3:$K$381&amp;'Emission factors'!$L$3:$L$381,0),MATCH(P$52,'Emission factors'!$K$2:$V$2,0)))*$I77)</f>
        <v/>
      </c>
      <c r="Q77" s="286" t="str" cm="1">
        <f t="array" ref="Q77">IF(OR($B77="",$G77="",$I77=""),"",(INDEX('Emission factors'!$K$3:$V$381,MATCH($J$51&amp;$B77&amp;$C77,'Emission factors'!$J$3:$J$381&amp;'Emission factors'!$K$3:$K$381&amp;'Emission factors'!$L$3:$L$381,0),MATCH(Q$52,'Emission factors'!$K$2:$V$2,0)))*$I77)</f>
        <v/>
      </c>
      <c r="R77" s="286" t="str" cm="1">
        <f t="array" ref="R77">IF(OR($B77="",$G77="",$I77=""),"",(INDEX('Emission factors'!$K$3:$V$381,MATCH($J$51&amp;$B77&amp;$C77,'Emission factors'!$J$3:$J$381&amp;'Emission factors'!$K$3:$K$381&amp;'Emission factors'!$L$3:$L$381,0),MATCH(R$52,'Emission factors'!$K$2:$V$2,0)))*$I77)</f>
        <v/>
      </c>
      <c r="S77" s="286" t="str" cm="1">
        <f t="array" ref="S77">IF(OR($B77="",$G77="",$I77=""),"",(INDEX('Emission factors'!$K$3:$V$381,MATCH($J$51&amp;$B77&amp;$C77,'Emission factors'!$J$3:$J$381&amp;'Emission factors'!$K$3:$K$381&amp;'Emission factors'!$L$3:$L$381,0),MATCH(S$52,'Emission factors'!$K$2:$V$2,0)))*$I77)</f>
        <v/>
      </c>
      <c r="T77" s="374" t="str">
        <f>IF(OR(MunicipalWasteTable[[#This Row],[RSD]]="", MunicipalWasteTable[[#This Row],[Total emissions]]=""),"",MunicipalWasteTable[[#This Row],[Total emissions]]*(1+MunicipalWasteTable[[#This Row],[RSD]]))</f>
        <v/>
      </c>
      <c r="U77" s="376" t="str">
        <f>IF(OR(MunicipalWasteTable[[#This Row],[RSD]]="",MunicipalWasteTable[[#This Row],[Total emissions]]=""),"",MunicipalWasteTable[[#This Row],[Total emissions]]*(1-MunicipalWasteTable[[#This Row],[RSD]]))</f>
        <v/>
      </c>
      <c r="V77" s="361" t="str" cm="1">
        <f t="array" ref="V77">IF(OR($B77="",$G77="",$I77=""),"",(INDEX('Emission factors'!$K$3:$V$381,MATCH($J$51&amp;$B77&amp;$C77,'Emission factors'!$J$3:$J$381&amp;'Emission factors'!$K$3:$K$381&amp;'Emission factors'!$L$3:$L$381,0),MATCH(V$52,'Emission factors'!$K$2:$V$2,0)))*$I77)</f>
        <v/>
      </c>
      <c r="W77" s="335"/>
      <c r="X77" s="1" cm="1">
        <f t="array" ref="X77">IF(OR(ISERROR(B77:V77)),1,0)</f>
        <v>0</v>
      </c>
      <c r="Y77" s="1">
        <f t="shared" si="2"/>
        <v>0</v>
      </c>
    </row>
    <row r="78" spans="2:25" ht="15" thickBot="1" x14ac:dyDescent="0.4">
      <c r="B78" s="198"/>
      <c r="C78" s="199"/>
      <c r="D78" s="6"/>
      <c r="E78" s="199"/>
      <c r="F78" s="137" t="str">
        <f>IF(E78="","",INDEX(Methodologytier,MATCH(B$50,Lists!$AZ$4:$AZ$32,0),MATCH(E78,Lists!$BA$3:$BC$3,0)))</f>
        <v/>
      </c>
      <c r="G78" s="148"/>
      <c r="H78" s="199"/>
      <c r="I78" s="38" t="str" cm="1">
        <f t="array" ref="I78">IF(OR($B78="",$C78="",H78=""),"",IF(H78=J78,G78,(INDEX('Emission factors'!$K$3:$V$381,MATCH($B78&amp;$C78,'Emission factors'!$K$3:$K$381&amp;'Emission factors'!$L$3:$L$381,0),MATCH($I$52,'Emission factors'!$K$2:$V$2,0)))*G78))</f>
        <v/>
      </c>
      <c r="J78" s="35" t="str" cm="1">
        <f t="array" ref="J78">IF(OR($B78="",$G78="",MunicipalWasteTable[[#This Row],[Units]]=""),"",INDEX('Emission factors'!$K$3:$V$381,MATCH($B78&amp;$C78,'Emission factors'!$K$3:$K$381&amp;'Emission factors'!$L$3:$L$381,0),MATCH($J$52,'Emission factors'!$K$2:$V$2,0)))</f>
        <v/>
      </c>
      <c r="K78" s="35" t="str" cm="1">
        <f t="array" ref="K78">IF(OR(B78="",C78="",MunicipalWasteTable[[#This Row],[Data]]=""),"",INDEX('Emission factors'!$K$3:$V$381,MATCH($J$51&amp;$B78&amp;$C78,'Emission factors'!$J$3:$J$381&amp;'Emission factors'!$K$3:$K$381&amp;'Emission factors'!$L$3:$L$381,0),MATCH($K$52,'Emission factors'!$K$2:$V$2,0)))</f>
        <v/>
      </c>
      <c r="L78" s="38">
        <f>SUM(MunicipalWasteTable[[#This Row],[Direct]:[Indirect WTT]])</f>
        <v>0</v>
      </c>
      <c r="M78" s="201"/>
      <c r="N78" s="199"/>
      <c r="O78" s="286" t="str" cm="1">
        <f t="array" ref="O78">IF(OR($B78="",$G78="",$I78=""),"",(INDEX('Emission factors'!$K$3:$V$381,MATCH($J$51&amp;$B78&amp;$C78,'Emission factors'!$J$3:$J$381&amp;'Emission factors'!$K$3:$K$381&amp;'Emission factors'!$L$3:$L$381,0),MATCH(O$52,'Emission factors'!$K$2:$V$2,0)))*$I78)</f>
        <v/>
      </c>
      <c r="P78" s="286" t="str" cm="1">
        <f t="array" ref="P78">IF(OR($B78="",$G78="",$I78=""),"",(INDEX('Emission factors'!$K$3:$V$381,MATCH($J$51&amp;$B78&amp;$C78,'Emission factors'!$J$3:$J$381&amp;'Emission factors'!$K$3:$K$381&amp;'Emission factors'!$L$3:$L$381,0),MATCH(P$52,'Emission factors'!$K$2:$V$2,0)))*$I78)</f>
        <v/>
      </c>
      <c r="Q78" s="286" t="str" cm="1">
        <f t="array" ref="Q78">IF(OR($B78="",$G78="",$I78=""),"",(INDEX('Emission factors'!$K$3:$V$381,MATCH($J$51&amp;$B78&amp;$C78,'Emission factors'!$J$3:$J$381&amp;'Emission factors'!$K$3:$K$381&amp;'Emission factors'!$L$3:$L$381,0),MATCH(Q$52,'Emission factors'!$K$2:$V$2,0)))*$I78)</f>
        <v/>
      </c>
      <c r="R78" s="286" t="str" cm="1">
        <f t="array" ref="R78">IF(OR($B78="",$G78="",$I78=""),"",(INDEX('Emission factors'!$K$3:$V$381,MATCH($J$51&amp;$B78&amp;$C78,'Emission factors'!$J$3:$J$381&amp;'Emission factors'!$K$3:$K$381&amp;'Emission factors'!$L$3:$L$381,0),MATCH(R$52,'Emission factors'!$K$2:$V$2,0)))*$I78)</f>
        <v/>
      </c>
      <c r="S78" s="286" t="str" cm="1">
        <f t="array" ref="S78">IF(OR($B78="",$G78="",$I78=""),"",(INDEX('Emission factors'!$K$3:$V$381,MATCH($J$51&amp;$B78&amp;$C78,'Emission factors'!$J$3:$J$381&amp;'Emission factors'!$K$3:$K$381&amp;'Emission factors'!$L$3:$L$381,0),MATCH(S$52,'Emission factors'!$K$2:$V$2,0)))*$I78)</f>
        <v/>
      </c>
      <c r="T78" s="374" t="str">
        <f>IF(OR(MunicipalWasteTable[[#This Row],[RSD]]="", MunicipalWasteTable[[#This Row],[Total emissions]]=""),"",MunicipalWasteTable[[#This Row],[Total emissions]]*(1+MunicipalWasteTable[[#This Row],[RSD]]))</f>
        <v/>
      </c>
      <c r="U78" s="376" t="str">
        <f>IF(OR(MunicipalWasteTable[[#This Row],[RSD]]="",MunicipalWasteTable[[#This Row],[Total emissions]]=""),"",MunicipalWasteTable[[#This Row],[Total emissions]]*(1-MunicipalWasteTable[[#This Row],[RSD]]))</f>
        <v/>
      </c>
      <c r="V78" s="361" t="str" cm="1">
        <f t="array" ref="V78">IF(OR($B78="",$G78="",$I78=""),"",(INDEX('Emission factors'!$K$3:$V$381,MATCH($J$51&amp;$B78&amp;$C78,'Emission factors'!$J$3:$J$381&amp;'Emission factors'!$K$3:$K$381&amp;'Emission factors'!$L$3:$L$381,0),MATCH(V$52,'Emission factors'!$K$2:$V$2,0)))*$I78)</f>
        <v/>
      </c>
      <c r="W78" s="335"/>
      <c r="X78" s="1" cm="1">
        <f t="array" ref="X78">IF(OR(ISERROR(B78:V78)),1,0)</f>
        <v>0</v>
      </c>
      <c r="Y78" s="1">
        <f t="shared" si="2"/>
        <v>0</v>
      </c>
    </row>
    <row r="79" spans="2:25" ht="15" thickBot="1" x14ac:dyDescent="0.4">
      <c r="B79" s="198"/>
      <c r="C79" s="199"/>
      <c r="D79" s="6"/>
      <c r="E79" s="199"/>
      <c r="F79" s="137" t="str">
        <f>IF(E79="","",INDEX(Methodologytier,MATCH(B$50,Lists!$AZ$4:$AZ$32,0),MATCH(E79,Lists!$BA$3:$BC$3,0)))</f>
        <v/>
      </c>
      <c r="G79" s="148"/>
      <c r="H79" s="199"/>
      <c r="I79" s="38" t="str" cm="1">
        <f t="array" ref="I79">IF(OR($B79="",$C79="",H79=""),"",IF(H79=J79,G79,(INDEX('Emission factors'!$K$3:$V$381,MATCH($B79&amp;$C79,'Emission factors'!$K$3:$K$381&amp;'Emission factors'!$L$3:$L$381,0),MATCH($I$52,'Emission factors'!$K$2:$V$2,0)))*G79))</f>
        <v/>
      </c>
      <c r="J79" s="35" t="str" cm="1">
        <f t="array" ref="J79">IF(OR($B79="",$G79="",MunicipalWasteTable[[#This Row],[Units]]=""),"",INDEX('Emission factors'!$K$3:$V$381,MATCH($B79&amp;$C79,'Emission factors'!$K$3:$K$381&amp;'Emission factors'!$L$3:$L$381,0),MATCH($J$52,'Emission factors'!$K$2:$V$2,0)))</f>
        <v/>
      </c>
      <c r="K79" s="35" t="str" cm="1">
        <f t="array" ref="K79">IF(OR(B79="",C79="",MunicipalWasteTable[[#This Row],[Data]]=""),"",INDEX('Emission factors'!$K$3:$V$381,MATCH($J$51&amp;$B79&amp;$C79,'Emission factors'!$J$3:$J$381&amp;'Emission factors'!$K$3:$K$381&amp;'Emission factors'!$L$3:$L$381,0),MATCH($K$52,'Emission factors'!$K$2:$V$2,0)))</f>
        <v/>
      </c>
      <c r="L79" s="38">
        <f>SUM(MunicipalWasteTable[[#This Row],[Direct]:[Indirect WTT]])</f>
        <v>0</v>
      </c>
      <c r="M79" s="201"/>
      <c r="N79" s="199"/>
      <c r="O79" s="286" t="str" cm="1">
        <f t="array" ref="O79">IF(OR($B79="",$G79="",$I79=""),"",(INDEX('Emission factors'!$K$3:$V$381,MATCH($J$51&amp;$B79&amp;$C79,'Emission factors'!$J$3:$J$381&amp;'Emission factors'!$K$3:$K$381&amp;'Emission factors'!$L$3:$L$381,0),MATCH(O$52,'Emission factors'!$K$2:$V$2,0)))*$I79)</f>
        <v/>
      </c>
      <c r="P79" s="286" t="str" cm="1">
        <f t="array" ref="P79">IF(OR($B79="",$G79="",$I79=""),"",(INDEX('Emission factors'!$K$3:$V$381,MATCH($J$51&amp;$B79&amp;$C79,'Emission factors'!$J$3:$J$381&amp;'Emission factors'!$K$3:$K$381&amp;'Emission factors'!$L$3:$L$381,0),MATCH(P$52,'Emission factors'!$K$2:$V$2,0)))*$I79)</f>
        <v/>
      </c>
      <c r="Q79" s="286" t="str" cm="1">
        <f t="array" ref="Q79">IF(OR($B79="",$G79="",$I79=""),"",(INDEX('Emission factors'!$K$3:$V$381,MATCH($J$51&amp;$B79&amp;$C79,'Emission factors'!$J$3:$J$381&amp;'Emission factors'!$K$3:$K$381&amp;'Emission factors'!$L$3:$L$381,0),MATCH(Q$52,'Emission factors'!$K$2:$V$2,0)))*$I79)</f>
        <v/>
      </c>
      <c r="R79" s="286" t="str" cm="1">
        <f t="array" ref="R79">IF(OR($B79="",$G79="",$I79=""),"",(INDEX('Emission factors'!$K$3:$V$381,MATCH($J$51&amp;$B79&amp;$C79,'Emission factors'!$J$3:$J$381&amp;'Emission factors'!$K$3:$K$381&amp;'Emission factors'!$L$3:$L$381,0),MATCH(R$52,'Emission factors'!$K$2:$V$2,0)))*$I79)</f>
        <v/>
      </c>
      <c r="S79" s="286" t="str" cm="1">
        <f t="array" ref="S79">IF(OR($B79="",$G79="",$I79=""),"",(INDEX('Emission factors'!$K$3:$V$381,MATCH($J$51&amp;$B79&amp;$C79,'Emission factors'!$J$3:$J$381&amp;'Emission factors'!$K$3:$K$381&amp;'Emission factors'!$L$3:$L$381,0),MATCH(S$52,'Emission factors'!$K$2:$V$2,0)))*$I79)</f>
        <v/>
      </c>
      <c r="T79" s="374" t="str">
        <f>IF(OR(MunicipalWasteTable[[#This Row],[RSD]]="", MunicipalWasteTable[[#This Row],[Total emissions]]=""),"",MunicipalWasteTable[[#This Row],[Total emissions]]*(1+MunicipalWasteTable[[#This Row],[RSD]]))</f>
        <v/>
      </c>
      <c r="U79" s="376" t="str">
        <f>IF(OR(MunicipalWasteTable[[#This Row],[RSD]]="",MunicipalWasteTable[[#This Row],[Total emissions]]=""),"",MunicipalWasteTable[[#This Row],[Total emissions]]*(1-MunicipalWasteTable[[#This Row],[RSD]]))</f>
        <v/>
      </c>
      <c r="V79" s="361" t="str" cm="1">
        <f t="array" ref="V79">IF(OR($B79="",$G79="",$I79=""),"",(INDEX('Emission factors'!$K$3:$V$381,MATCH($J$51&amp;$B79&amp;$C79,'Emission factors'!$J$3:$J$381&amp;'Emission factors'!$K$3:$K$381&amp;'Emission factors'!$L$3:$L$381,0),MATCH(V$52,'Emission factors'!$K$2:$V$2,0)))*$I79)</f>
        <v/>
      </c>
      <c r="W79" s="335"/>
      <c r="X79" s="1" cm="1">
        <f t="array" ref="X79">IF(OR(ISERROR(B79:V79)),1,0)</f>
        <v>0</v>
      </c>
      <c r="Y79" s="1">
        <f t="shared" si="2"/>
        <v>0</v>
      </c>
    </row>
    <row r="80" spans="2:25" ht="15" thickBot="1" x14ac:dyDescent="0.4">
      <c r="B80" s="198"/>
      <c r="C80" s="199"/>
      <c r="D80" s="6"/>
      <c r="E80" s="199"/>
      <c r="F80" s="137" t="str">
        <f>IF(E80="","",INDEX(Methodologytier,MATCH(B$50,Lists!$AZ$4:$AZ$32,0),MATCH(E80,Lists!$BA$3:$BC$3,0)))</f>
        <v/>
      </c>
      <c r="G80" s="148"/>
      <c r="H80" s="199"/>
      <c r="I80" s="38" t="str" cm="1">
        <f t="array" ref="I80">IF(OR($B80="",$C80="",H80=""),"",IF(H80=J80,G80,(INDEX('Emission factors'!$K$3:$V$381,MATCH($B80&amp;$C80,'Emission factors'!$K$3:$K$381&amp;'Emission factors'!$L$3:$L$381,0),MATCH($I$52,'Emission factors'!$K$2:$V$2,0)))*G80))</f>
        <v/>
      </c>
      <c r="J80" s="35" t="str" cm="1">
        <f t="array" ref="J80">IF(OR($B80="",$G80="",MunicipalWasteTable[[#This Row],[Units]]=""),"",INDEX('Emission factors'!$K$3:$V$381,MATCH($B80&amp;$C80,'Emission factors'!$K$3:$K$381&amp;'Emission factors'!$L$3:$L$381,0),MATCH($J$52,'Emission factors'!$K$2:$V$2,0)))</f>
        <v/>
      </c>
      <c r="K80" s="35" t="str" cm="1">
        <f t="array" ref="K80">IF(OR(B80="",C80="",MunicipalWasteTable[[#This Row],[Data]]=""),"",INDEX('Emission factors'!$K$3:$V$381,MATCH($J$51&amp;$B80&amp;$C80,'Emission factors'!$J$3:$J$381&amp;'Emission factors'!$K$3:$K$381&amp;'Emission factors'!$L$3:$L$381,0),MATCH($K$52,'Emission factors'!$K$2:$V$2,0)))</f>
        <v/>
      </c>
      <c r="L80" s="38">
        <f>SUM(MunicipalWasteTable[[#This Row],[Direct]:[Indirect WTT]])</f>
        <v>0</v>
      </c>
      <c r="M80" s="202"/>
      <c r="N80" s="200"/>
      <c r="O80" s="286" t="str" cm="1">
        <f t="array" ref="O80">IF(OR($B80="",$G80="",$I80=""),"",(INDEX('Emission factors'!$K$3:$V$381,MATCH($J$51&amp;$B80&amp;$C80,'Emission factors'!$J$3:$J$381&amp;'Emission factors'!$K$3:$K$381&amp;'Emission factors'!$L$3:$L$381,0),MATCH(O$52,'Emission factors'!$K$2:$V$2,0)))*$I80)</f>
        <v/>
      </c>
      <c r="P80" s="286" t="str" cm="1">
        <f t="array" ref="P80">IF(OR($B80="",$G80="",$I80=""),"",(INDEX('Emission factors'!$K$3:$V$381,MATCH($J$51&amp;$B80&amp;$C80,'Emission factors'!$J$3:$J$381&amp;'Emission factors'!$K$3:$K$381&amp;'Emission factors'!$L$3:$L$381,0),MATCH(P$52,'Emission factors'!$K$2:$V$2,0)))*$I80)</f>
        <v/>
      </c>
      <c r="Q80" s="286" t="str" cm="1">
        <f t="array" ref="Q80">IF(OR($B80="",$G80="",$I80=""),"",(INDEX('Emission factors'!$K$3:$V$381,MATCH($J$51&amp;$B80&amp;$C80,'Emission factors'!$J$3:$J$381&amp;'Emission factors'!$K$3:$K$381&amp;'Emission factors'!$L$3:$L$381,0),MATCH(Q$52,'Emission factors'!$K$2:$V$2,0)))*$I80)</f>
        <v/>
      </c>
      <c r="R80" s="286" t="str" cm="1">
        <f t="array" ref="R80">IF(OR($B80="",$G80="",$I80=""),"",(INDEX('Emission factors'!$K$3:$V$381,MATCH($J$51&amp;$B80&amp;$C80,'Emission factors'!$J$3:$J$381&amp;'Emission factors'!$K$3:$K$381&amp;'Emission factors'!$L$3:$L$381,0),MATCH(R$52,'Emission factors'!$K$2:$V$2,0)))*$I80)</f>
        <v/>
      </c>
      <c r="S80" s="286" t="str" cm="1">
        <f t="array" ref="S80">IF(OR($B80="",$G80="",$I80=""),"",(INDEX('Emission factors'!$K$3:$V$381,MATCH($J$51&amp;$B80&amp;$C80,'Emission factors'!$J$3:$J$381&amp;'Emission factors'!$K$3:$K$381&amp;'Emission factors'!$L$3:$L$381,0),MATCH(S$52,'Emission factors'!$K$2:$V$2,0)))*$I80)</f>
        <v/>
      </c>
      <c r="T80" s="374" t="str">
        <f>IF(OR(MunicipalWasteTable[[#This Row],[RSD]]="", MunicipalWasteTable[[#This Row],[Total emissions]]=""),"",MunicipalWasteTable[[#This Row],[Total emissions]]*(1+MunicipalWasteTable[[#This Row],[RSD]]))</f>
        <v/>
      </c>
      <c r="U80" s="378" t="str">
        <f>IF(OR(MunicipalWasteTable[[#This Row],[RSD]]="",MunicipalWasteTable[[#This Row],[Total emissions]]=""),"",MunicipalWasteTable[[#This Row],[Total emissions]]*(1-MunicipalWasteTable[[#This Row],[RSD]]))</f>
        <v/>
      </c>
      <c r="V80" s="362" t="str" cm="1">
        <f t="array" ref="V80">IF(OR($B80="",$G80="",$I80=""),"",(INDEX('Emission factors'!$K$3:$V$381,MATCH($J$51&amp;$B80&amp;$C80,'Emission factors'!$J$3:$J$381&amp;'Emission factors'!$K$3:$K$381&amp;'Emission factors'!$L$3:$L$381,0),MATCH(V$52,'Emission factors'!$K$2:$V$2,0)))*$I80)</f>
        <v/>
      </c>
      <c r="W80" s="335"/>
      <c r="X80" s="1" cm="1">
        <f t="array" ref="X80">IF(OR(ISERROR(B80:V80)),1,0)</f>
        <v>0</v>
      </c>
      <c r="Y80" s="1">
        <f t="shared" si="2"/>
        <v>0</v>
      </c>
    </row>
    <row r="81" spans="2:25" x14ac:dyDescent="0.35">
      <c r="N81" s="55"/>
      <c r="O81" s="55"/>
      <c r="P81" s="55"/>
      <c r="Q81" s="55"/>
      <c r="R81" s="55"/>
      <c r="S81" s="339"/>
      <c r="T81" s="352"/>
      <c r="U81" s="348"/>
    </row>
    <row r="82" spans="2:25" ht="30" customHeight="1" thickBot="1" x14ac:dyDescent="0.4">
      <c r="B82" s="37" t="s">
        <v>76</v>
      </c>
      <c r="C82" s="18"/>
      <c r="E82" s="18"/>
      <c r="H82" s="441" t="str">
        <f>IF($Y$83=0,"No data entered",IF($X$83=0,"No errors in this table","There are errors in this table see highlighted row(s)"))</f>
        <v>No data entered</v>
      </c>
      <c r="N82" s="51" t="s">
        <v>111</v>
      </c>
      <c r="S82" s="338"/>
      <c r="T82" s="350"/>
      <c r="U82" s="335"/>
      <c r="X82" s="15" t="s">
        <v>1188</v>
      </c>
      <c r="Y82" s="15" t="s">
        <v>1189</v>
      </c>
    </row>
    <row r="83" spans="2:25" ht="28" customHeight="1" thickBot="1" x14ac:dyDescent="0.4">
      <c r="B83" s="52" t="s">
        <v>167</v>
      </c>
      <c r="C83" s="34" t="s">
        <v>168</v>
      </c>
      <c r="D83" s="34" t="s">
        <v>1099</v>
      </c>
      <c r="E83" s="34" t="s">
        <v>159</v>
      </c>
      <c r="F83" s="34" t="s">
        <v>116</v>
      </c>
      <c r="G83" s="34" t="s">
        <v>117</v>
      </c>
      <c r="H83" s="34" t="s">
        <v>118</v>
      </c>
      <c r="I83" s="34" t="s">
        <v>119</v>
      </c>
      <c r="J83" s="34" t="s">
        <v>120</v>
      </c>
      <c r="K83" s="34" t="s">
        <v>121</v>
      </c>
      <c r="L83" s="34" t="s">
        <v>88</v>
      </c>
      <c r="M83" s="34" t="s">
        <v>122</v>
      </c>
      <c r="N83" s="34" t="s">
        <v>123</v>
      </c>
      <c r="O83" s="12" t="s">
        <v>59</v>
      </c>
      <c r="P83" s="12" t="s">
        <v>124</v>
      </c>
      <c r="Q83" s="12" t="s">
        <v>125</v>
      </c>
      <c r="R83" s="12" t="s">
        <v>126</v>
      </c>
      <c r="S83" s="12" t="s">
        <v>127</v>
      </c>
      <c r="T83" s="48" t="s">
        <v>67</v>
      </c>
      <c r="U83" s="347" t="s">
        <v>68</v>
      </c>
      <c r="V83" s="359" t="s">
        <v>63</v>
      </c>
      <c r="W83" s="335"/>
      <c r="X83" s="15">
        <f>SUM(X84:X105)</f>
        <v>0</v>
      </c>
      <c r="Y83" s="15">
        <f>SUM(Y84:Y105)</f>
        <v>0</v>
      </c>
    </row>
    <row r="84" spans="2:25" ht="15" thickBot="1" x14ac:dyDescent="0.4">
      <c r="B84" s="198"/>
      <c r="C84" s="199"/>
      <c r="D84" s="6"/>
      <c r="E84" s="199"/>
      <c r="F84" s="179" t="str">
        <f>IF(E84="","",INDEX(Methodologytier,MATCH(B$82,Lists!$AZ$4:$AZ$32,0),MATCH(E84,Lists!$BA$3:$BC$3,0)))</f>
        <v/>
      </c>
      <c r="G84" s="148"/>
      <c r="H84" s="199"/>
      <c r="I84" s="38" t="str" cm="1">
        <f t="array" ref="I84">IF(OR($B84="",$C84="",H84=""),"",IF(H84=J84,G84,(INDEX('Emission factors'!$K$3:$V$381,MATCH($B84&amp;$C84,'Emission factors'!$K$3:$K$381&amp;'Emission factors'!$L$3:$L$381,0),MATCH($I$52,'Emission factors'!$K$2:$V$2,0)))*G84))</f>
        <v/>
      </c>
      <c r="J84" s="35" t="str" cm="1">
        <f t="array" ref="J84">IF(OR($B84="",$C84="",ProjectWasteTable[[#Headers],[Units]]=""),"",INDEX('Emission factors'!$K$3:$V$381,MATCH($B84&amp;$C84,'Emission factors'!$K$3:$K$381&amp;'Emission factors'!$L$3:$L$381,0),MATCH($J$83,'Emission factors'!$K$2:$V$2,0)))</f>
        <v/>
      </c>
      <c r="K84" s="35" t="str" cm="1">
        <f t="array" ref="K84">IF(OR(B84="",C84="",ProjectWasteTable[[#This Row],[Data]]=""),"",INDEX('Emission factors'!$K$3:$V$381,MATCH($B84&amp;$C84,'Emission factors'!$K$3:$K$381&amp;'Emission factors'!$L$3:$L$381,0),MATCH($K$52,'Emission factors'!$K$2:$V$2,0)))</f>
        <v/>
      </c>
      <c r="L84" s="38">
        <f>SUM(ProjectWasteTable[[#This Row],[Direct]:[Indirect WTT]])</f>
        <v>0</v>
      </c>
      <c r="M84" s="201"/>
      <c r="N84" s="199"/>
      <c r="O84" s="302" t="str" cm="1">
        <f t="array" ref="O84">IF(OR($B84="",$G84="",ProjectWasteTable[Converted data]=""),"",(INDEX('Emission factors'!$K$3:$V$381,MATCH($B84&amp;$C84,'Emission factors'!$K$3:$K$381&amp;'Emission factors'!$L$3:$L$381,0),MATCH(O$52,'Emission factors'!$K$2:$V$2,0)))*$I84)</f>
        <v/>
      </c>
      <c r="P84" s="302" t="str" cm="1">
        <f t="array" ref="P84">IF(OR($B84="",$G84="",ProjectWasteTable[[#This Row],[Converted data]]=""),"",(INDEX('Emission factors'!$K$3:$V$381,MATCH($B84&amp;$C84,'Emission factors'!$K$3:$K$381&amp;'Emission factors'!$L$3:$L$381,0),MATCH(P$52,'Emission factors'!$K$2:$V$2,0)))*$I84)</f>
        <v/>
      </c>
      <c r="Q84" s="302" t="str" cm="1">
        <f t="array" ref="Q84">IF(OR($B84="",$G84="",ProjectWasteTable[[#This Row],[Converted data]]=""),"",(INDEX('Emission factors'!$K$3:$V$381,MATCH($B84&amp;$C84,'Emission factors'!$K$3:$K$381&amp;'Emission factors'!$L$3:$L$381,0),MATCH(Q$52,'Emission factors'!$K$2:$V$2,0)))*$I84)</f>
        <v/>
      </c>
      <c r="R84" s="302" t="str" cm="1">
        <f t="array" ref="R84">IF(OR($B84="",$G84="",ProjectWasteTable[[#This Row],[Converted data]]=""),"",(INDEX('Emission factors'!$K$3:$V$381,MATCH($B84&amp;$C84,'Emission factors'!$K$3:$K$381&amp;'Emission factors'!$L$3:$L$381,0),MATCH(R$52,'Emission factors'!$K$2:$V$2,0)))*$I84)</f>
        <v/>
      </c>
      <c r="S84" s="302" t="str" cm="1">
        <f t="array" ref="S84">IF(OR($B84="",$G84="",ProjectWasteTable[[#This Row],[Converted data]]=""),"",(INDEX('Emission factors'!$K$3:$V$381,MATCH($B84&amp;$C84,'Emission factors'!$K$3:$K$381&amp;'Emission factors'!$L$3:$L$381,0),MATCH(S$52,'Emission factors'!$K$2:$V$2,0)))*$I84)</f>
        <v/>
      </c>
      <c r="T84" s="340" t="str">
        <f>IF(OR(ProjectWasteTable[[#This Row],[RSD]]="",ProjectWasteTable[[#This Row],[Total emissions]]=""),"",ProjectWasteTable[[#This Row],[Total emissions]]*(1+ProjectWasteTable[[#This Row],[RSD]]))</f>
        <v/>
      </c>
      <c r="U84" s="353" t="str">
        <f>IF(OR(ProjectWasteTable[[#This Row],[RSD]]="",ProjectWasteTable[[#This Row],[Total emissions]]=""), "",ProjectWasteTable[[#This Row],[Total emissions]]*(1-ProjectWasteTable[[#This Row],[RSD]]))</f>
        <v/>
      </c>
      <c r="V84" s="363" t="str" cm="1">
        <f t="array" ref="V84">IF(OR($B84="",$G84="",ProjectWasteTable[[#This Row],[Converted data]]=""),"",(INDEX('Emission factors'!$K$3:$V$381,MATCH($B84&amp;$C84,'Emission factors'!$K$3:$K$381&amp;'Emission factors'!$L$3:$L$381,0),MATCH(V$52,'Emission factors'!$K$2:$V$2,0)))*$I84)</f>
        <v/>
      </c>
      <c r="W84" s="335"/>
      <c r="X84" s="1" cm="1">
        <f t="array" ref="X84">IF(OR(ISERROR(B84:V84)),1,0)</f>
        <v>0</v>
      </c>
      <c r="Y84" s="1">
        <f>IF(AND(C84="",G84="",H84=""),0,1)</f>
        <v>0</v>
      </c>
    </row>
    <row r="85" spans="2:25" ht="15" thickBot="1" x14ac:dyDescent="0.4">
      <c r="B85" s="198"/>
      <c r="C85" s="199"/>
      <c r="D85" s="6"/>
      <c r="E85" s="199"/>
      <c r="F85" s="179" t="str">
        <f>IF(E85="","",INDEX(Methodologytier,MATCH(B$82,Lists!$AZ$4:$AZ$32,0),MATCH(E85,Lists!$BA$3:$BC$3,0)))</f>
        <v/>
      </c>
      <c r="G85" s="148"/>
      <c r="H85" s="199"/>
      <c r="I85" s="38" t="str" cm="1">
        <f t="array" ref="I85">IF(OR($B85="",$C85="",H85=""),"",IF(H85=J85,G85,(INDEX('Emission factors'!$K$3:$V$381,MATCH($B85&amp;$C85,'Emission factors'!$K$3:$K$381&amp;'Emission factors'!$L$3:$L$381,0),MATCH($I$52,'Emission factors'!$K$2:$V$2,0)))*G85))</f>
        <v/>
      </c>
      <c r="J85" s="35" t="str" cm="1">
        <f t="array" ref="J85">IF(OR($B85="",$C85="",ProjectWasteTable[[#Headers],[Units]]=""),"",INDEX('Emission factors'!$K$3:$V$381,MATCH($B85&amp;$C85,'Emission factors'!$K$3:$K$381&amp;'Emission factors'!$L$3:$L$381,0),MATCH($J$83,'Emission factors'!$K$2:$V$2,0)))</f>
        <v/>
      </c>
      <c r="K85" s="35" t="str" cm="1">
        <f t="array" ref="K85">IF(OR(B85="",C85="",ProjectWasteTable[[#This Row],[Data]]=""),"",INDEX('Emission factors'!$K$3:$V$381,MATCH($B85&amp;$C85,'Emission factors'!$K$3:$K$381&amp;'Emission factors'!$L$3:$L$381,0),MATCH($K$52,'Emission factors'!$K$2:$V$2,0)))</f>
        <v/>
      </c>
      <c r="L85" s="38">
        <f>SUM(ProjectWasteTable[[#This Row],[Direct]:[Indirect WTT]])</f>
        <v>0</v>
      </c>
      <c r="M85" s="201"/>
      <c r="N85" s="199"/>
      <c r="O85" s="302" t="str" cm="1">
        <f t="array" ref="O85">IF(OR($B85="",$G85="",ProjectWasteTable[Converted data]=""),"",(INDEX('Emission factors'!$K$3:$V$381,MATCH($B85&amp;$C85,'Emission factors'!$K$3:$K$381&amp;'Emission factors'!$L$3:$L$381,0),MATCH(O$52,'Emission factors'!$K$2:$V$2,0)))*$I85)</f>
        <v/>
      </c>
      <c r="P85" s="302" t="str" cm="1">
        <f t="array" ref="P85">IF(OR($B85="",$G85="",ProjectWasteTable[[#This Row],[Converted data]]=""),"",(INDEX('Emission factors'!$K$3:$V$381,MATCH($B85&amp;$C85,'Emission factors'!$K$3:$K$381&amp;'Emission factors'!$L$3:$L$381,0),MATCH(P$52,'Emission factors'!$K$2:$V$2,0)))*$I85)</f>
        <v/>
      </c>
      <c r="Q85" s="302" t="str" cm="1">
        <f t="array" ref="Q85">IF(OR($B85="",$G85="",ProjectWasteTable[[#This Row],[Converted data]]=""),"",(INDEX('Emission factors'!$K$3:$V$381,MATCH($B85&amp;$C85,'Emission factors'!$K$3:$K$381&amp;'Emission factors'!$L$3:$L$381,0),MATCH(Q$52,'Emission factors'!$K$2:$V$2,0)))*$I85)</f>
        <v/>
      </c>
      <c r="R85" s="302" t="str" cm="1">
        <f t="array" ref="R85">IF(OR($B85="",$G85="",ProjectWasteTable[[#This Row],[Converted data]]=""),"",(INDEX('Emission factors'!$K$3:$V$381,MATCH($B85&amp;$C85,'Emission factors'!$K$3:$K$381&amp;'Emission factors'!$L$3:$L$381,0),MATCH(R$52,'Emission factors'!$K$2:$V$2,0)))*$I85)</f>
        <v/>
      </c>
      <c r="S85" s="302" t="str" cm="1">
        <f t="array" ref="S85">IF(OR($B85="",$G85="",ProjectWasteTable[[#This Row],[Converted data]]=""),"",(INDEX('Emission factors'!$K$3:$V$381,MATCH($B85&amp;$C85,'Emission factors'!$K$3:$K$381&amp;'Emission factors'!$L$3:$L$381,0),MATCH(S$52,'Emission factors'!$K$2:$V$2,0)))*$I85)</f>
        <v/>
      </c>
      <c r="T85" s="341" t="str">
        <f>IF(OR(ProjectWasteTable[[#This Row],[RSD]]="",ProjectWasteTable[[#This Row],[Total emissions]]=""),"",ProjectWasteTable[[#This Row],[Total emissions]]*(1+ProjectWasteTable[[#This Row],[RSD]]))</f>
        <v/>
      </c>
      <c r="U85" s="354" t="str">
        <f>IF(OR(ProjectWasteTable[[#This Row],[RSD]]="",ProjectWasteTable[[#This Row],[Total emissions]]=""), "",ProjectWasteTable[[#This Row],[Total emissions]]*(1-ProjectWasteTable[[#This Row],[RSD]]))</f>
        <v/>
      </c>
      <c r="V85" s="364" t="str" cm="1">
        <f t="array" ref="V85">IF(OR($B85="",$G85="",ProjectWasteTable[[#This Row],[Converted data]]=""),"",(INDEX('Emission factors'!$K$3:$V$381,MATCH($B85&amp;$C85,'Emission factors'!$K$3:$K$381&amp;'Emission factors'!$L$3:$L$381,0),MATCH(V$52,'Emission factors'!$K$2:$V$2,0)))*$I85)</f>
        <v/>
      </c>
      <c r="W85" s="335"/>
      <c r="X85" s="1" cm="1">
        <f t="array" ref="X85">IF(OR(ISERROR(B85:V85)),1,0)</f>
        <v>0</v>
      </c>
      <c r="Y85" s="1">
        <f t="shared" ref="Y85:Y105" si="3">IF(AND(C85="",G85="",H85=""),0,1)</f>
        <v>0</v>
      </c>
    </row>
    <row r="86" spans="2:25" ht="15" thickBot="1" x14ac:dyDescent="0.4">
      <c r="B86" s="198"/>
      <c r="C86" s="199"/>
      <c r="D86" s="6"/>
      <c r="E86" s="199"/>
      <c r="F86" s="179" t="str">
        <f>IF(E86="","",INDEX(Methodologytier,MATCH(B$82,Lists!$AZ$4:$AZ$32,0),MATCH(E86,Lists!$BA$3:$BC$3,0)))</f>
        <v/>
      </c>
      <c r="G86" s="148"/>
      <c r="H86" s="199"/>
      <c r="I86" s="38" t="str" cm="1">
        <f t="array" ref="I86">IF(OR($B86="",$C86="",H86=""),"",IF(H86=J86,G86,(INDEX('Emission factors'!$K$3:$V$381,MATCH($B86&amp;$C86,'Emission factors'!$K$3:$K$381&amp;'Emission factors'!$L$3:$L$381,0),MATCH($I$52,'Emission factors'!$K$2:$V$2,0)))*G86))</f>
        <v/>
      </c>
      <c r="J86" s="35" t="str" cm="1">
        <f t="array" ref="J86">IF(OR($B86="",$C86="",ProjectWasteTable[[#Headers],[Units]]=""),"",INDEX('Emission factors'!$K$3:$V$381,MATCH($B86&amp;$C86,'Emission factors'!$K$3:$K$381&amp;'Emission factors'!$L$3:$L$381,0),MATCH($J$83,'Emission factors'!$K$2:$V$2,0)))</f>
        <v/>
      </c>
      <c r="K86" s="35" t="str" cm="1">
        <f t="array" ref="K86">IF(OR(B86="",C86="",ProjectWasteTable[[#This Row],[Data]]=""),"",INDEX('Emission factors'!$K$3:$V$381,MATCH($B86&amp;$C86,'Emission factors'!$K$3:$K$381&amp;'Emission factors'!$L$3:$L$381,0),MATCH($K$52,'Emission factors'!$K$2:$V$2,0)))</f>
        <v/>
      </c>
      <c r="L86" s="38">
        <f>SUM(ProjectWasteTable[[#This Row],[Direct]:[Indirect WTT]])</f>
        <v>0</v>
      </c>
      <c r="M86" s="201"/>
      <c r="N86" s="199"/>
      <c r="O86" s="302" t="str" cm="1">
        <f t="array" ref="O86">IF(OR($B86="",$G86="",ProjectWasteTable[Converted data]=""),"",(INDEX('Emission factors'!$K$3:$V$381,MATCH($B86&amp;$C86,'Emission factors'!$K$3:$K$381&amp;'Emission factors'!$L$3:$L$381,0),MATCH(O$52,'Emission factors'!$K$2:$V$2,0)))*$I86)</f>
        <v/>
      </c>
      <c r="P86" s="302" t="str" cm="1">
        <f t="array" ref="P86">IF(OR($B86="",$G86="",ProjectWasteTable[[#This Row],[Converted data]]=""),"",(INDEX('Emission factors'!$K$3:$V$381,MATCH($B86&amp;$C86,'Emission factors'!$K$3:$K$381&amp;'Emission factors'!$L$3:$L$381,0),MATCH(P$52,'Emission factors'!$K$2:$V$2,0)))*$I86)</f>
        <v/>
      </c>
      <c r="Q86" s="302" t="str" cm="1">
        <f t="array" ref="Q86">IF(OR($B86="",$G86="",ProjectWasteTable[[#This Row],[Converted data]]=""),"",(INDEX('Emission factors'!$K$3:$V$381,MATCH($B86&amp;$C86,'Emission factors'!$K$3:$K$381&amp;'Emission factors'!$L$3:$L$381,0),MATCH(Q$52,'Emission factors'!$K$2:$V$2,0)))*$I86)</f>
        <v/>
      </c>
      <c r="R86" s="302" t="str" cm="1">
        <f t="array" ref="R86">IF(OR($B86="",$G86="",ProjectWasteTable[[#This Row],[Converted data]]=""),"",(INDEX('Emission factors'!$K$3:$V$381,MATCH($B86&amp;$C86,'Emission factors'!$K$3:$K$381&amp;'Emission factors'!$L$3:$L$381,0),MATCH(R$52,'Emission factors'!$K$2:$V$2,0)))*$I86)</f>
        <v/>
      </c>
      <c r="S86" s="302" t="str" cm="1">
        <f t="array" ref="S86">IF(OR($B86="",$G86="",ProjectWasteTable[[#This Row],[Converted data]]=""),"",(INDEX('Emission factors'!$K$3:$V$381,MATCH($B86&amp;$C86,'Emission factors'!$K$3:$K$381&amp;'Emission factors'!$L$3:$L$381,0),MATCH(S$52,'Emission factors'!$K$2:$V$2,0)))*$I86)</f>
        <v/>
      </c>
      <c r="T86" s="341" t="str">
        <f>IF(OR(ProjectWasteTable[[#This Row],[RSD]]="",ProjectWasteTable[[#This Row],[Total emissions]]=""),"",ProjectWasteTable[[#This Row],[Total emissions]]*(1+ProjectWasteTable[[#This Row],[RSD]]))</f>
        <v/>
      </c>
      <c r="U86" s="354" t="str">
        <f>IF(OR(ProjectWasteTable[[#This Row],[RSD]]="",ProjectWasteTable[[#This Row],[Total emissions]]=""), "",ProjectWasteTable[[#This Row],[Total emissions]]*(1-ProjectWasteTable[[#This Row],[RSD]]))</f>
        <v/>
      </c>
      <c r="V86" s="364" t="str" cm="1">
        <f t="array" ref="V86">IF(OR($B86="",$G86="",ProjectWasteTable[[#This Row],[Converted data]]=""),"",(INDEX('Emission factors'!$K$3:$V$381,MATCH($B86&amp;$C86,'Emission factors'!$K$3:$K$381&amp;'Emission factors'!$L$3:$L$381,0),MATCH(V$52,'Emission factors'!$K$2:$V$2,0)))*$I86)</f>
        <v/>
      </c>
      <c r="W86" s="335"/>
      <c r="X86" s="1" cm="1">
        <f t="array" ref="X86">IF(OR(ISERROR(B86:V86)),1,0)</f>
        <v>0</v>
      </c>
      <c r="Y86" s="1">
        <f t="shared" si="3"/>
        <v>0</v>
      </c>
    </row>
    <row r="87" spans="2:25" ht="15" thickBot="1" x14ac:dyDescent="0.4">
      <c r="B87" s="198"/>
      <c r="C87" s="199"/>
      <c r="D87" s="6"/>
      <c r="E87" s="199"/>
      <c r="F87" s="179" t="str">
        <f>IF(E87="","",INDEX(Methodologytier,MATCH(B$82,Lists!$AZ$4:$AZ$32,0),MATCH(E87,Lists!$BA$3:$BC$3,0)))</f>
        <v/>
      </c>
      <c r="G87" s="148"/>
      <c r="H87" s="199"/>
      <c r="I87" s="38" t="str" cm="1">
        <f t="array" ref="I87">IF(OR($B87="",$C87="",H87=""),"",IF(H87=J87,G87,(INDEX('Emission factors'!$K$3:$V$381,MATCH($B87&amp;$C87,'Emission factors'!$K$3:$K$381&amp;'Emission factors'!$L$3:$L$381,0),MATCH($I$52,'Emission factors'!$K$2:$V$2,0)))*G87))</f>
        <v/>
      </c>
      <c r="J87" s="35" t="str" cm="1">
        <f t="array" ref="J87">IF(OR($B87="",$C87="",ProjectWasteTable[[#Headers],[Units]]=""),"",INDEX('Emission factors'!$K$3:$V$381,MATCH($B87&amp;$C87,'Emission factors'!$K$3:$K$381&amp;'Emission factors'!$L$3:$L$381,0),MATCH($J$83,'Emission factors'!$K$2:$V$2,0)))</f>
        <v/>
      </c>
      <c r="K87" s="35" t="str" cm="1">
        <f t="array" ref="K87">IF(OR(B87="",C87="",ProjectWasteTable[[#This Row],[Data]]=""),"",INDEX('Emission factors'!$K$3:$V$381,MATCH($B87&amp;$C87,'Emission factors'!$K$3:$K$381&amp;'Emission factors'!$L$3:$L$381,0),MATCH($K$52,'Emission factors'!$K$2:$V$2,0)))</f>
        <v/>
      </c>
      <c r="L87" s="38">
        <f>SUM(ProjectWasteTable[[#This Row],[Direct]:[Indirect WTT]])</f>
        <v>0</v>
      </c>
      <c r="M87" s="201"/>
      <c r="N87" s="199"/>
      <c r="O87" s="302" t="str" cm="1">
        <f t="array" ref="O87">IF(OR($B87="",$G87="",ProjectWasteTable[Converted data]=""),"",(INDEX('Emission factors'!$K$3:$V$381,MATCH($B87&amp;$C87,'Emission factors'!$K$3:$K$381&amp;'Emission factors'!$L$3:$L$381,0),MATCH(O$52,'Emission factors'!$K$2:$V$2,0)))*$I87)</f>
        <v/>
      </c>
      <c r="P87" s="302" t="str" cm="1">
        <f t="array" ref="P87">IF(OR($B87="",$G87="",ProjectWasteTable[[#This Row],[Converted data]]=""),"",(INDEX('Emission factors'!$K$3:$V$381,MATCH($B87&amp;$C87,'Emission factors'!$K$3:$K$381&amp;'Emission factors'!$L$3:$L$381,0),MATCH(P$52,'Emission factors'!$K$2:$V$2,0)))*$I87)</f>
        <v/>
      </c>
      <c r="Q87" s="302" t="str" cm="1">
        <f t="array" ref="Q87">IF(OR($B87="",$G87="",ProjectWasteTable[[#This Row],[Converted data]]=""),"",(INDEX('Emission factors'!$K$3:$V$381,MATCH($B87&amp;$C87,'Emission factors'!$K$3:$K$381&amp;'Emission factors'!$L$3:$L$381,0),MATCH(Q$52,'Emission factors'!$K$2:$V$2,0)))*$I87)</f>
        <v/>
      </c>
      <c r="R87" s="302" t="str" cm="1">
        <f t="array" ref="R87">IF(OR($B87="",$G87="",ProjectWasteTable[[#This Row],[Converted data]]=""),"",(INDEX('Emission factors'!$K$3:$V$381,MATCH($B87&amp;$C87,'Emission factors'!$K$3:$K$381&amp;'Emission factors'!$L$3:$L$381,0),MATCH(R$52,'Emission factors'!$K$2:$V$2,0)))*$I87)</f>
        <v/>
      </c>
      <c r="S87" s="302" t="str" cm="1">
        <f t="array" ref="S87">IF(OR($B87="",$G87="",ProjectWasteTable[[#This Row],[Converted data]]=""),"",(INDEX('Emission factors'!$K$3:$V$381,MATCH($B87&amp;$C87,'Emission factors'!$K$3:$K$381&amp;'Emission factors'!$L$3:$L$381,0),MATCH(S$52,'Emission factors'!$K$2:$V$2,0)))*$I87)</f>
        <v/>
      </c>
      <c r="T87" s="341" t="str">
        <f>IF(OR(ProjectWasteTable[[#This Row],[RSD]]="",ProjectWasteTable[[#This Row],[Total emissions]]=""),"",ProjectWasteTable[[#This Row],[Total emissions]]*(1+ProjectWasteTable[[#This Row],[RSD]]))</f>
        <v/>
      </c>
      <c r="U87" s="354" t="str">
        <f>IF(OR(ProjectWasteTable[[#This Row],[RSD]]="",ProjectWasteTable[[#This Row],[Total emissions]]=""), "",ProjectWasteTable[[#This Row],[Total emissions]]*(1-ProjectWasteTable[[#This Row],[RSD]]))</f>
        <v/>
      </c>
      <c r="V87" s="364" t="str" cm="1">
        <f t="array" ref="V87">IF(OR($B87="",$G87="",ProjectWasteTable[[#This Row],[Converted data]]=""),"",(INDEX('Emission factors'!$K$3:$V$381,MATCH($B87&amp;$C87,'Emission factors'!$K$3:$K$381&amp;'Emission factors'!$L$3:$L$381,0),MATCH(V$52,'Emission factors'!$K$2:$V$2,0)))*$I87)</f>
        <v/>
      </c>
      <c r="W87" s="335"/>
      <c r="X87" s="1" cm="1">
        <f t="array" ref="X87">IF(OR(ISERROR(B87:V87)),1,0)</f>
        <v>0</v>
      </c>
      <c r="Y87" s="1">
        <f t="shared" si="3"/>
        <v>0</v>
      </c>
    </row>
    <row r="88" spans="2:25" ht="15" thickBot="1" x14ac:dyDescent="0.4">
      <c r="B88" s="198"/>
      <c r="C88" s="199"/>
      <c r="D88" s="6"/>
      <c r="E88" s="199"/>
      <c r="F88" s="179" t="str">
        <f>IF(E88="","",INDEX(Methodologytier,MATCH(B$82,Lists!$AZ$4:$AZ$32,0),MATCH(E88,Lists!$BA$3:$BC$3,0)))</f>
        <v/>
      </c>
      <c r="G88" s="148"/>
      <c r="H88" s="199"/>
      <c r="I88" s="38" t="str" cm="1">
        <f t="array" ref="I88">IF(OR($B88="",$C88="",H88=""),"",IF(H88=J88,G88,(INDEX('Emission factors'!$K$3:$V$381,MATCH($B88&amp;$C88,'Emission factors'!$K$3:$K$381&amp;'Emission factors'!$L$3:$L$381,0),MATCH($I$52,'Emission factors'!$K$2:$V$2,0)))*G88))</f>
        <v/>
      </c>
      <c r="J88" s="35" t="str" cm="1">
        <f t="array" ref="J88">IF(OR($B88="",$C88="",ProjectWasteTable[[#Headers],[Units]]=""),"",INDEX('Emission factors'!$K$3:$V$381,MATCH($B88&amp;$C88,'Emission factors'!$K$3:$K$381&amp;'Emission factors'!$L$3:$L$381,0),MATCH($J$83,'Emission factors'!$K$2:$V$2,0)))</f>
        <v/>
      </c>
      <c r="K88" s="35" t="str" cm="1">
        <f t="array" ref="K88">IF(OR(B88="",C88="",ProjectWasteTable[[#This Row],[Data]]=""),"",INDEX('Emission factors'!$K$3:$V$381,MATCH($B88&amp;$C88,'Emission factors'!$K$3:$K$381&amp;'Emission factors'!$L$3:$L$381,0),MATCH($K$52,'Emission factors'!$K$2:$V$2,0)))</f>
        <v/>
      </c>
      <c r="L88" s="38">
        <f>SUM(ProjectWasteTable[[#This Row],[Direct]:[Indirect WTT]])</f>
        <v>0</v>
      </c>
      <c r="M88" s="201"/>
      <c r="N88" s="199"/>
      <c r="O88" s="302" t="str" cm="1">
        <f t="array" ref="O88">IF(OR($B88="",$G88="",ProjectWasteTable[Converted data]=""),"",(INDEX('Emission factors'!$K$3:$V$381,MATCH($B88&amp;$C88,'Emission factors'!$K$3:$K$381&amp;'Emission factors'!$L$3:$L$381,0),MATCH(O$52,'Emission factors'!$K$2:$V$2,0)))*$I88)</f>
        <v/>
      </c>
      <c r="P88" s="302" t="str" cm="1">
        <f t="array" ref="P88">IF(OR($B88="",$G88="",ProjectWasteTable[[#This Row],[Converted data]]=""),"",(INDEX('Emission factors'!$K$3:$V$381,MATCH($B88&amp;$C88,'Emission factors'!$K$3:$K$381&amp;'Emission factors'!$L$3:$L$381,0),MATCH(P$52,'Emission factors'!$K$2:$V$2,0)))*$I88)</f>
        <v/>
      </c>
      <c r="Q88" s="302" t="str" cm="1">
        <f t="array" ref="Q88">IF(OR($B88="",$G88="",ProjectWasteTable[[#This Row],[Converted data]]=""),"",(INDEX('Emission factors'!$K$3:$V$381,MATCH($B88&amp;$C88,'Emission factors'!$K$3:$K$381&amp;'Emission factors'!$L$3:$L$381,0),MATCH(Q$52,'Emission factors'!$K$2:$V$2,0)))*$I88)</f>
        <v/>
      </c>
      <c r="R88" s="302" t="str" cm="1">
        <f t="array" ref="R88">IF(OR($B88="",$G88="",ProjectWasteTable[[#This Row],[Converted data]]=""),"",(INDEX('Emission factors'!$K$3:$V$381,MATCH($B88&amp;$C88,'Emission factors'!$K$3:$K$381&amp;'Emission factors'!$L$3:$L$381,0),MATCH(R$52,'Emission factors'!$K$2:$V$2,0)))*$I88)</f>
        <v/>
      </c>
      <c r="S88" s="302" t="str" cm="1">
        <f t="array" ref="S88">IF(OR($B88="",$G88="",ProjectWasteTable[[#This Row],[Converted data]]=""),"",(INDEX('Emission factors'!$K$3:$V$381,MATCH($B88&amp;$C88,'Emission factors'!$K$3:$K$381&amp;'Emission factors'!$L$3:$L$381,0),MATCH(S$52,'Emission factors'!$K$2:$V$2,0)))*$I88)</f>
        <v/>
      </c>
      <c r="T88" s="341" t="str">
        <f>IF(OR(ProjectWasteTable[[#This Row],[RSD]]="",ProjectWasteTable[[#This Row],[Total emissions]]=""),"",ProjectWasteTable[[#This Row],[Total emissions]]*(1+ProjectWasteTable[[#This Row],[RSD]]))</f>
        <v/>
      </c>
      <c r="U88" s="354" t="str">
        <f>IF(OR(ProjectWasteTable[[#This Row],[RSD]]="",ProjectWasteTable[[#This Row],[Total emissions]]=""), "",ProjectWasteTable[[#This Row],[Total emissions]]*(1-ProjectWasteTable[[#This Row],[RSD]]))</f>
        <v/>
      </c>
      <c r="V88" s="364" t="str" cm="1">
        <f t="array" ref="V88">IF(OR($B88="",$G88="",ProjectWasteTable[[#This Row],[Converted data]]=""),"",(INDEX('Emission factors'!$K$3:$V$381,MATCH($B88&amp;$C88,'Emission factors'!$K$3:$K$381&amp;'Emission factors'!$L$3:$L$381,0),MATCH(V$52,'Emission factors'!$K$2:$V$2,0)))*$I88)</f>
        <v/>
      </c>
      <c r="W88" s="335"/>
      <c r="X88" s="1" cm="1">
        <f t="array" ref="X88">IF(OR(ISERROR(B88:V88)),1,0)</f>
        <v>0</v>
      </c>
      <c r="Y88" s="1">
        <f t="shared" si="3"/>
        <v>0</v>
      </c>
    </row>
    <row r="89" spans="2:25" ht="15" thickBot="1" x14ac:dyDescent="0.4">
      <c r="B89" s="198"/>
      <c r="C89" s="199"/>
      <c r="D89" s="6"/>
      <c r="E89" s="199"/>
      <c r="F89" s="179" t="str">
        <f>IF(E89="","",INDEX(Methodologytier,MATCH(B$82,Lists!$AZ$4:$AZ$32,0),MATCH(E89,Lists!$BA$3:$BC$3,0)))</f>
        <v/>
      </c>
      <c r="G89" s="148"/>
      <c r="H89" s="199"/>
      <c r="I89" s="38" t="str" cm="1">
        <f t="array" ref="I89">IF(OR($B89="",$C89="",H89=""),"",IF(H89=J89,G89,(INDEX('Emission factors'!$K$3:$V$381,MATCH($B89&amp;$C89,'Emission factors'!$K$3:$K$381&amp;'Emission factors'!$L$3:$L$381,0),MATCH($I$52,'Emission factors'!$K$2:$V$2,0)))*G89))</f>
        <v/>
      </c>
      <c r="J89" s="35" t="str" cm="1">
        <f t="array" ref="J89">IF(OR($B89="",$C89="",ProjectWasteTable[[#Headers],[Units]]=""),"",INDEX('Emission factors'!$K$3:$V$381,MATCH($B89&amp;$C89,'Emission factors'!$K$3:$K$381&amp;'Emission factors'!$L$3:$L$381,0),MATCH($J$83,'Emission factors'!$K$2:$V$2,0)))</f>
        <v/>
      </c>
      <c r="K89" s="35" t="str" cm="1">
        <f t="array" ref="K89">IF(OR(B89="",C89="",ProjectWasteTable[[#This Row],[Data]]=""),"",INDEX('Emission factors'!$K$3:$V$381,MATCH($B89&amp;$C89,'Emission factors'!$K$3:$K$381&amp;'Emission factors'!$L$3:$L$381,0),MATCH($K$52,'Emission factors'!$K$2:$V$2,0)))</f>
        <v/>
      </c>
      <c r="L89" s="38">
        <f>SUM(ProjectWasteTable[[#This Row],[Direct]:[Indirect WTT]])</f>
        <v>0</v>
      </c>
      <c r="M89" s="201"/>
      <c r="N89" s="199"/>
      <c r="O89" s="302" t="str" cm="1">
        <f t="array" ref="O89">IF(OR($B89="",$G89="",ProjectWasteTable[Converted data]=""),"",(INDEX('Emission factors'!$K$3:$V$381,MATCH($B89&amp;$C89,'Emission factors'!$K$3:$K$381&amp;'Emission factors'!$L$3:$L$381,0),MATCH(O$52,'Emission factors'!$K$2:$V$2,0)))*$I89)</f>
        <v/>
      </c>
      <c r="P89" s="302" t="str" cm="1">
        <f t="array" ref="P89">IF(OR($B89="",$G89="",ProjectWasteTable[[#This Row],[Converted data]]=""),"",(INDEX('Emission factors'!$K$3:$V$381,MATCH($B89&amp;$C89,'Emission factors'!$K$3:$K$381&amp;'Emission factors'!$L$3:$L$381,0),MATCH(P$52,'Emission factors'!$K$2:$V$2,0)))*$I89)</f>
        <v/>
      </c>
      <c r="Q89" s="302" t="str" cm="1">
        <f t="array" ref="Q89">IF(OR($B89="",$G89="",ProjectWasteTable[[#This Row],[Converted data]]=""),"",(INDEX('Emission factors'!$K$3:$V$381,MATCH($B89&amp;$C89,'Emission factors'!$K$3:$K$381&amp;'Emission factors'!$L$3:$L$381,0),MATCH(Q$52,'Emission factors'!$K$2:$V$2,0)))*$I89)</f>
        <v/>
      </c>
      <c r="R89" s="302" t="str" cm="1">
        <f t="array" ref="R89">IF(OR($B89="",$G89="",ProjectWasteTable[[#This Row],[Converted data]]=""),"",(INDEX('Emission factors'!$K$3:$V$381,MATCH($B89&amp;$C89,'Emission factors'!$K$3:$K$381&amp;'Emission factors'!$L$3:$L$381,0),MATCH(R$52,'Emission factors'!$K$2:$V$2,0)))*$I89)</f>
        <v/>
      </c>
      <c r="S89" s="302" t="str" cm="1">
        <f t="array" ref="S89">IF(OR($B89="",$G89="",ProjectWasteTable[[#This Row],[Converted data]]=""),"",(INDEX('Emission factors'!$K$3:$V$381,MATCH($B89&amp;$C89,'Emission factors'!$K$3:$K$381&amp;'Emission factors'!$L$3:$L$381,0),MATCH(S$52,'Emission factors'!$K$2:$V$2,0)))*$I89)</f>
        <v/>
      </c>
      <c r="T89" s="341" t="str">
        <f>IF(OR(ProjectWasteTable[[#This Row],[RSD]]="",ProjectWasteTable[[#This Row],[Total emissions]]=""),"",ProjectWasteTable[[#This Row],[Total emissions]]*(1+ProjectWasteTable[[#This Row],[RSD]]))</f>
        <v/>
      </c>
      <c r="U89" s="354" t="str">
        <f>IF(OR(ProjectWasteTable[[#This Row],[RSD]]="",ProjectWasteTable[[#This Row],[Total emissions]]=""), "",ProjectWasteTable[[#This Row],[Total emissions]]*(1-ProjectWasteTable[[#This Row],[RSD]]))</f>
        <v/>
      </c>
      <c r="V89" s="364" t="str" cm="1">
        <f t="array" ref="V89">IF(OR($B89="",$G89="",ProjectWasteTable[[#This Row],[Converted data]]=""),"",(INDEX('Emission factors'!$K$3:$V$381,MATCH($B89&amp;$C89,'Emission factors'!$K$3:$K$381&amp;'Emission factors'!$L$3:$L$381,0),MATCH(V$52,'Emission factors'!$K$2:$V$2,0)))*$I89)</f>
        <v/>
      </c>
      <c r="W89" s="335"/>
      <c r="X89" s="1" cm="1">
        <f t="array" ref="X89">IF(OR(ISERROR(B89:V89)),1,0)</f>
        <v>0</v>
      </c>
      <c r="Y89" s="1">
        <f t="shared" si="3"/>
        <v>0</v>
      </c>
    </row>
    <row r="90" spans="2:25" ht="15" thickBot="1" x14ac:dyDescent="0.4">
      <c r="B90" s="198"/>
      <c r="C90" s="199"/>
      <c r="D90" s="6"/>
      <c r="E90" s="199"/>
      <c r="F90" s="179" t="str">
        <f>IF(E90="","",INDEX(Methodologytier,MATCH(B$82,Lists!$AZ$4:$AZ$32,0),MATCH(E90,Lists!$BA$3:$BC$3,0)))</f>
        <v/>
      </c>
      <c r="G90" s="148"/>
      <c r="H90" s="199"/>
      <c r="I90" s="38" t="str" cm="1">
        <f t="array" ref="I90">IF(OR($B90="",$C90="",H90=""),"",IF(H90=J90,G90,(INDEX('Emission factors'!$K$3:$V$381,MATCH($B90&amp;$C90,'Emission factors'!$K$3:$K$381&amp;'Emission factors'!$L$3:$L$381,0),MATCH($I$52,'Emission factors'!$K$2:$V$2,0)))*G90))</f>
        <v/>
      </c>
      <c r="J90" s="35" t="str" cm="1">
        <f t="array" ref="J90">IF(OR($B90="",$C90="",ProjectWasteTable[[#Headers],[Units]]=""),"",INDEX('Emission factors'!$K$3:$V$381,MATCH($B90&amp;$C90,'Emission factors'!$K$3:$K$381&amp;'Emission factors'!$L$3:$L$381,0),MATCH($J$83,'Emission factors'!$K$2:$V$2,0)))</f>
        <v/>
      </c>
      <c r="K90" s="35" t="str" cm="1">
        <f t="array" ref="K90">IF(OR(B90="",C90="",ProjectWasteTable[[#This Row],[Data]]=""),"",INDEX('Emission factors'!$K$3:$V$381,MATCH($B90&amp;$C90,'Emission factors'!$K$3:$K$381&amp;'Emission factors'!$L$3:$L$381,0),MATCH($K$52,'Emission factors'!$K$2:$V$2,0)))</f>
        <v/>
      </c>
      <c r="L90" s="38">
        <f>SUM(ProjectWasteTable[[#This Row],[Direct]:[Indirect WTT]])</f>
        <v>0</v>
      </c>
      <c r="M90" s="201"/>
      <c r="N90" s="199"/>
      <c r="O90" s="302" t="str" cm="1">
        <f t="array" ref="O90">IF(OR($B90="",$G90="",ProjectWasteTable[Converted data]=""),"",(INDEX('Emission factors'!$K$3:$V$381,MATCH($B90&amp;$C90,'Emission factors'!$K$3:$K$381&amp;'Emission factors'!$L$3:$L$381,0),MATCH(O$52,'Emission factors'!$K$2:$V$2,0)))*$I90)</f>
        <v/>
      </c>
      <c r="P90" s="302" t="str" cm="1">
        <f t="array" ref="P90">IF(OR($B90="",$G90="",ProjectWasteTable[[#This Row],[Converted data]]=""),"",(INDEX('Emission factors'!$K$3:$V$381,MATCH($B90&amp;$C90,'Emission factors'!$K$3:$K$381&amp;'Emission factors'!$L$3:$L$381,0),MATCH(P$52,'Emission factors'!$K$2:$V$2,0)))*$I90)</f>
        <v/>
      </c>
      <c r="Q90" s="302" t="str" cm="1">
        <f t="array" ref="Q90">IF(OR($B90="",$G90="",ProjectWasteTable[[#This Row],[Converted data]]=""),"",(INDEX('Emission factors'!$K$3:$V$381,MATCH($B90&amp;$C90,'Emission factors'!$K$3:$K$381&amp;'Emission factors'!$L$3:$L$381,0),MATCH(Q$52,'Emission factors'!$K$2:$V$2,0)))*$I90)</f>
        <v/>
      </c>
      <c r="R90" s="302" t="str" cm="1">
        <f t="array" ref="R90">IF(OR($B90="",$G90="",ProjectWasteTable[[#This Row],[Converted data]]=""),"",(INDEX('Emission factors'!$K$3:$V$381,MATCH($B90&amp;$C90,'Emission factors'!$K$3:$K$381&amp;'Emission factors'!$L$3:$L$381,0),MATCH(R$52,'Emission factors'!$K$2:$V$2,0)))*$I90)</f>
        <v/>
      </c>
      <c r="S90" s="302" t="str" cm="1">
        <f t="array" ref="S90">IF(OR($B90="",$G90="",ProjectWasteTable[[#This Row],[Converted data]]=""),"",(INDEX('Emission factors'!$K$3:$V$381,MATCH($B90&amp;$C90,'Emission factors'!$K$3:$K$381&amp;'Emission factors'!$L$3:$L$381,0),MATCH(S$52,'Emission factors'!$K$2:$V$2,0)))*$I90)</f>
        <v/>
      </c>
      <c r="T90" s="340" t="str">
        <f>IF(OR(ProjectWasteTable[[#This Row],[RSD]]="",ProjectWasteTable[[#This Row],[Total emissions]]=""),"",ProjectWasteTable[[#This Row],[Total emissions]]*(1+ProjectWasteTable[[#This Row],[RSD]]))</f>
        <v/>
      </c>
      <c r="U90" s="354" t="str">
        <f>IF(OR(ProjectWasteTable[[#This Row],[RSD]]="",ProjectWasteTable[[#This Row],[Total emissions]]=""), "",ProjectWasteTable[[#This Row],[Total emissions]]*(1-ProjectWasteTable[[#This Row],[RSD]]))</f>
        <v/>
      </c>
      <c r="V90" s="364" t="str" cm="1">
        <f t="array" ref="V90">IF(OR($B90="",$G90="",ProjectWasteTable[[#This Row],[Converted data]]=""),"",(INDEX('Emission factors'!$K$3:$V$381,MATCH($B90&amp;$C90,'Emission factors'!$K$3:$K$381&amp;'Emission factors'!$L$3:$L$381,0),MATCH(V$52,'Emission factors'!$K$2:$V$2,0)))*$I90)</f>
        <v/>
      </c>
      <c r="W90" s="335"/>
      <c r="X90" s="1" cm="1">
        <f t="array" ref="X90">IF(OR(ISERROR(B90:V90)),1,0)</f>
        <v>0</v>
      </c>
      <c r="Y90" s="1">
        <f t="shared" si="3"/>
        <v>0</v>
      </c>
    </row>
    <row r="91" spans="2:25" ht="15" thickBot="1" x14ac:dyDescent="0.4">
      <c r="B91" s="198"/>
      <c r="C91" s="199"/>
      <c r="D91" s="6"/>
      <c r="E91" s="199"/>
      <c r="F91" s="179" t="str">
        <f>IF(E91="","",INDEX(Methodologytier,MATCH(B$82,Lists!$AZ$4:$AZ$32,0),MATCH(E91,Lists!$BA$3:$BC$3,0)))</f>
        <v/>
      </c>
      <c r="G91" s="148"/>
      <c r="H91" s="199"/>
      <c r="I91" s="38" t="str" cm="1">
        <f t="array" ref="I91">IF(OR($B91="",$C91="",H91=""),"",IF(H91=J91,G91,(INDEX('Emission factors'!$K$3:$V$381,MATCH($B91&amp;$C91,'Emission factors'!$K$3:$K$381&amp;'Emission factors'!$L$3:$L$381,0),MATCH($I$52,'Emission factors'!$K$2:$V$2,0)))*G91))</f>
        <v/>
      </c>
      <c r="J91" s="35" t="str" cm="1">
        <f t="array" ref="J91">IF(OR($B91="",$C91="",ProjectWasteTable[[#Headers],[Units]]=""),"",INDEX('Emission factors'!$K$3:$V$381,MATCH($B91&amp;$C91,'Emission factors'!$K$3:$K$381&amp;'Emission factors'!$L$3:$L$381,0),MATCH($J$83,'Emission factors'!$K$2:$V$2,0)))</f>
        <v/>
      </c>
      <c r="K91" s="35" t="str" cm="1">
        <f t="array" ref="K91">IF(OR(B91="",C91="",ProjectWasteTable[[#This Row],[Data]]=""),"",INDEX('Emission factors'!$K$3:$V$381,MATCH($B91&amp;$C91,'Emission factors'!$K$3:$K$381&amp;'Emission factors'!$L$3:$L$381,0),MATCH($K$52,'Emission factors'!$K$2:$V$2,0)))</f>
        <v/>
      </c>
      <c r="L91" s="38">
        <f>SUM(ProjectWasteTable[[#This Row],[Direct]:[Indirect WTT]])</f>
        <v>0</v>
      </c>
      <c r="M91" s="201"/>
      <c r="N91" s="199"/>
      <c r="O91" s="302" t="str" cm="1">
        <f t="array" ref="O91">IF(OR($B91="",$G91="",ProjectWasteTable[Converted data]=""),"",(INDEX('Emission factors'!$K$3:$V$381,MATCH($B91&amp;$C91,'Emission factors'!$K$3:$K$381&amp;'Emission factors'!$L$3:$L$381,0),MATCH(O$52,'Emission factors'!$K$2:$V$2,0)))*$I91)</f>
        <v/>
      </c>
      <c r="P91" s="302" t="str" cm="1">
        <f t="array" ref="P91">IF(OR($B91="",$G91="",ProjectWasteTable[[#This Row],[Converted data]]=""),"",(INDEX('Emission factors'!$K$3:$V$381,MATCH($B91&amp;$C91,'Emission factors'!$K$3:$K$381&amp;'Emission factors'!$L$3:$L$381,0),MATCH(P$52,'Emission factors'!$K$2:$V$2,0)))*$I91)</f>
        <v/>
      </c>
      <c r="Q91" s="302" t="str" cm="1">
        <f t="array" ref="Q91">IF(OR($B91="",$G91="",ProjectWasteTable[[#This Row],[Converted data]]=""),"",(INDEX('Emission factors'!$K$3:$V$381,MATCH($B91&amp;$C91,'Emission factors'!$K$3:$K$381&amp;'Emission factors'!$L$3:$L$381,0),MATCH(Q$52,'Emission factors'!$K$2:$V$2,0)))*$I91)</f>
        <v/>
      </c>
      <c r="R91" s="302" t="str" cm="1">
        <f t="array" ref="R91">IF(OR($B91="",$G91="",ProjectWasteTable[[#This Row],[Converted data]]=""),"",(INDEX('Emission factors'!$K$3:$V$381,MATCH($B91&amp;$C91,'Emission factors'!$K$3:$K$381&amp;'Emission factors'!$L$3:$L$381,0),MATCH(R$52,'Emission factors'!$K$2:$V$2,0)))*$I91)</f>
        <v/>
      </c>
      <c r="S91" s="302" t="str" cm="1">
        <f t="array" ref="S91">IF(OR($B91="",$G91="",ProjectWasteTable[[#This Row],[Converted data]]=""),"",(INDEX('Emission factors'!$K$3:$V$381,MATCH($B91&amp;$C91,'Emission factors'!$K$3:$K$381&amp;'Emission factors'!$L$3:$L$381,0),MATCH(S$52,'Emission factors'!$K$2:$V$2,0)))*$I91)</f>
        <v/>
      </c>
      <c r="T91" s="340" t="str">
        <f>IF(OR(ProjectWasteTable[[#This Row],[RSD]]="",ProjectWasteTable[[#This Row],[Total emissions]]=""),"",ProjectWasteTable[[#This Row],[Total emissions]]*(1+ProjectWasteTable[[#This Row],[RSD]]))</f>
        <v/>
      </c>
      <c r="U91" s="354" t="str">
        <f>IF(OR(ProjectWasteTable[[#This Row],[RSD]]="",ProjectWasteTable[[#This Row],[Total emissions]]=""), "",ProjectWasteTable[[#This Row],[Total emissions]]*(1-ProjectWasteTable[[#This Row],[RSD]]))</f>
        <v/>
      </c>
      <c r="V91" s="364" t="str" cm="1">
        <f t="array" ref="V91">IF(OR($B91="",$G91="",ProjectWasteTable[[#This Row],[Converted data]]=""),"",(INDEX('Emission factors'!$K$3:$V$381,MATCH($B91&amp;$C91,'Emission factors'!$K$3:$K$381&amp;'Emission factors'!$L$3:$L$381,0),MATCH(V$52,'Emission factors'!$K$2:$V$2,0)))*$I91)</f>
        <v/>
      </c>
      <c r="W91" s="335"/>
      <c r="X91" s="1" cm="1">
        <f t="array" ref="X91">IF(OR(ISERROR(B91:V91)),1,0)</f>
        <v>0</v>
      </c>
      <c r="Y91" s="1">
        <f t="shared" si="3"/>
        <v>0</v>
      </c>
    </row>
    <row r="92" spans="2:25" ht="15" thickBot="1" x14ac:dyDescent="0.4">
      <c r="B92" s="198"/>
      <c r="C92" s="199"/>
      <c r="D92" s="6"/>
      <c r="E92" s="199"/>
      <c r="F92" s="179" t="str">
        <f>IF(E92="","",INDEX(Methodologytier,MATCH(B$82,Lists!$AZ$4:$AZ$32,0),MATCH(E92,Lists!$BA$3:$BC$3,0)))</f>
        <v/>
      </c>
      <c r="G92" s="148"/>
      <c r="H92" s="199"/>
      <c r="I92" s="38" t="str" cm="1">
        <f t="array" ref="I92">IF(OR($B92="",$C92="",H92=""),"",IF(H92=J92,G92,(INDEX('Emission factors'!$K$3:$V$381,MATCH($B92&amp;$C92,'Emission factors'!$K$3:$K$381&amp;'Emission factors'!$L$3:$L$381,0),MATCH($I$52,'Emission factors'!$K$2:$V$2,0)))*G92))</f>
        <v/>
      </c>
      <c r="J92" s="35" t="str" cm="1">
        <f t="array" ref="J92">IF(OR($B92="",$C92="",ProjectWasteTable[[#Headers],[Units]]=""),"",INDEX('Emission factors'!$K$3:$V$381,MATCH($B92&amp;$C92,'Emission factors'!$K$3:$K$381&amp;'Emission factors'!$L$3:$L$381,0),MATCH($J$83,'Emission factors'!$K$2:$V$2,0)))</f>
        <v/>
      </c>
      <c r="K92" s="35" t="str" cm="1">
        <f t="array" ref="K92">IF(OR(B92="",C92="",ProjectWasteTable[[#This Row],[Data]]=""),"",INDEX('Emission factors'!$K$3:$V$381,MATCH($B92&amp;$C92,'Emission factors'!$K$3:$K$381&amp;'Emission factors'!$L$3:$L$381,0),MATCH($K$52,'Emission factors'!$K$2:$V$2,0)))</f>
        <v/>
      </c>
      <c r="L92" s="38">
        <f>SUM(ProjectWasteTable[[#This Row],[Direct]:[Indirect WTT]])</f>
        <v>0</v>
      </c>
      <c r="M92" s="201"/>
      <c r="N92" s="199"/>
      <c r="O92" s="302" t="str" cm="1">
        <f t="array" ref="O92">IF(OR($B92="",$G92="",ProjectWasteTable[Converted data]=""),"",(INDEX('Emission factors'!$K$3:$V$381,MATCH($B92&amp;$C92,'Emission factors'!$K$3:$K$381&amp;'Emission factors'!$L$3:$L$381,0),MATCH(O$52,'Emission factors'!$K$2:$V$2,0)))*$I92)</f>
        <v/>
      </c>
      <c r="P92" s="302" t="str" cm="1">
        <f t="array" ref="P92">IF(OR($B92="",$G92="",ProjectWasteTable[[#This Row],[Converted data]]=""),"",(INDEX('Emission factors'!$K$3:$V$381,MATCH($B92&amp;$C92,'Emission factors'!$K$3:$K$381&amp;'Emission factors'!$L$3:$L$381,0),MATCH(P$52,'Emission factors'!$K$2:$V$2,0)))*$I92)</f>
        <v/>
      </c>
      <c r="Q92" s="302" t="str" cm="1">
        <f t="array" ref="Q92">IF(OR($B92="",$G92="",ProjectWasteTable[[#This Row],[Converted data]]=""),"",(INDEX('Emission factors'!$K$3:$V$381,MATCH($B92&amp;$C92,'Emission factors'!$K$3:$K$381&amp;'Emission factors'!$L$3:$L$381,0),MATCH(Q$52,'Emission factors'!$K$2:$V$2,0)))*$I92)</f>
        <v/>
      </c>
      <c r="R92" s="302" t="str" cm="1">
        <f t="array" ref="R92">IF(OR($B92="",$G92="",ProjectWasteTable[[#This Row],[Converted data]]=""),"",(INDEX('Emission factors'!$K$3:$V$381,MATCH($B92&amp;$C92,'Emission factors'!$K$3:$K$381&amp;'Emission factors'!$L$3:$L$381,0),MATCH(R$52,'Emission factors'!$K$2:$V$2,0)))*$I92)</f>
        <v/>
      </c>
      <c r="S92" s="302" t="str" cm="1">
        <f t="array" ref="S92">IF(OR($B92="",$G92="",ProjectWasteTable[[#This Row],[Converted data]]=""),"",(INDEX('Emission factors'!$K$3:$V$381,MATCH($B92&amp;$C92,'Emission factors'!$K$3:$K$381&amp;'Emission factors'!$L$3:$L$381,0),MATCH(S$52,'Emission factors'!$K$2:$V$2,0)))*$I92)</f>
        <v/>
      </c>
      <c r="T92" s="340" t="str">
        <f>IF(OR(ProjectWasteTable[[#This Row],[RSD]]="",ProjectWasteTable[[#This Row],[Total emissions]]=""),"",ProjectWasteTable[[#This Row],[Total emissions]]*(1+ProjectWasteTable[[#This Row],[RSD]]))</f>
        <v/>
      </c>
      <c r="U92" s="354" t="str">
        <f>IF(OR(ProjectWasteTable[[#This Row],[RSD]]="",ProjectWasteTable[[#This Row],[Total emissions]]=""), "",ProjectWasteTable[[#This Row],[Total emissions]]*(1-ProjectWasteTable[[#This Row],[RSD]]))</f>
        <v/>
      </c>
      <c r="V92" s="364" t="str" cm="1">
        <f t="array" ref="V92">IF(OR($B92="",$G92="",ProjectWasteTable[[#This Row],[Converted data]]=""),"",(INDEX('Emission factors'!$K$3:$V$381,MATCH($B92&amp;$C92,'Emission factors'!$K$3:$K$381&amp;'Emission factors'!$L$3:$L$381,0),MATCH(V$52,'Emission factors'!$K$2:$V$2,0)))*$I92)</f>
        <v/>
      </c>
      <c r="W92" s="335"/>
      <c r="X92" s="1" cm="1">
        <f t="array" ref="X92">IF(OR(ISERROR(B92:V92)),1,0)</f>
        <v>0</v>
      </c>
      <c r="Y92" s="1">
        <f t="shared" si="3"/>
        <v>0</v>
      </c>
    </row>
    <row r="93" spans="2:25" ht="15" thickBot="1" x14ac:dyDescent="0.4">
      <c r="B93" s="198"/>
      <c r="C93" s="199"/>
      <c r="D93" s="6"/>
      <c r="E93" s="199"/>
      <c r="F93" s="179" t="str">
        <f>IF(E93="","",INDEX(Methodologytier,MATCH(B$82,Lists!$AZ$4:$AZ$32,0),MATCH(E93,Lists!$BA$3:$BC$3,0)))</f>
        <v/>
      </c>
      <c r="G93" s="148"/>
      <c r="H93" s="199"/>
      <c r="I93" s="38" t="str" cm="1">
        <f t="array" ref="I93">IF(OR($B93="",$C93="",H93=""),"",IF(H93=J93,G93,(INDEX('Emission factors'!$K$3:$V$381,MATCH($B93&amp;$C93,'Emission factors'!$K$3:$K$381&amp;'Emission factors'!$L$3:$L$381,0),MATCH($I$52,'Emission factors'!$K$2:$V$2,0)))*G93))</f>
        <v/>
      </c>
      <c r="J93" s="35" t="str" cm="1">
        <f t="array" ref="J93">IF(OR($B93="",$C93="",ProjectWasteTable[[#Headers],[Units]]=""),"",INDEX('Emission factors'!$K$3:$V$381,MATCH($B93&amp;$C93,'Emission factors'!$K$3:$K$381&amp;'Emission factors'!$L$3:$L$381,0),MATCH($J$83,'Emission factors'!$K$2:$V$2,0)))</f>
        <v/>
      </c>
      <c r="K93" s="35" t="str" cm="1">
        <f t="array" ref="K93">IF(OR(B93="",C93="",ProjectWasteTable[[#This Row],[Data]]=""),"",INDEX('Emission factors'!$K$3:$V$381,MATCH($B93&amp;$C93,'Emission factors'!$K$3:$K$381&amp;'Emission factors'!$L$3:$L$381,0),MATCH($K$52,'Emission factors'!$K$2:$V$2,0)))</f>
        <v/>
      </c>
      <c r="L93" s="38">
        <f>SUM(ProjectWasteTable[[#This Row],[Direct]:[Indirect WTT]])</f>
        <v>0</v>
      </c>
      <c r="M93" s="201"/>
      <c r="N93" s="199"/>
      <c r="O93" s="302" t="str" cm="1">
        <f t="array" ref="O93">IF(OR($B93="",$G93="",ProjectWasteTable[Converted data]=""),"",(INDEX('Emission factors'!$K$3:$V$381,MATCH($B93&amp;$C93,'Emission factors'!$K$3:$K$381&amp;'Emission factors'!$L$3:$L$381,0),MATCH(O$52,'Emission factors'!$K$2:$V$2,0)))*$I93)</f>
        <v/>
      </c>
      <c r="P93" s="302" t="str" cm="1">
        <f t="array" ref="P93">IF(OR($B93="",$G93="",ProjectWasteTable[[#This Row],[Converted data]]=""),"",(INDEX('Emission factors'!$K$3:$V$381,MATCH($B93&amp;$C93,'Emission factors'!$K$3:$K$381&amp;'Emission factors'!$L$3:$L$381,0),MATCH(P$52,'Emission factors'!$K$2:$V$2,0)))*$I93)</f>
        <v/>
      </c>
      <c r="Q93" s="302" t="str" cm="1">
        <f t="array" ref="Q93">IF(OR($B93="",$G93="",ProjectWasteTable[[#This Row],[Converted data]]=""),"",(INDEX('Emission factors'!$K$3:$V$381,MATCH($B93&amp;$C93,'Emission factors'!$K$3:$K$381&amp;'Emission factors'!$L$3:$L$381,0),MATCH(Q$52,'Emission factors'!$K$2:$V$2,0)))*$I93)</f>
        <v/>
      </c>
      <c r="R93" s="302" t="str" cm="1">
        <f t="array" ref="R93">IF(OR($B93="",$G93="",ProjectWasteTable[[#This Row],[Converted data]]=""),"",(INDEX('Emission factors'!$K$3:$V$381,MATCH($B93&amp;$C93,'Emission factors'!$K$3:$K$381&amp;'Emission factors'!$L$3:$L$381,0),MATCH(R$52,'Emission factors'!$K$2:$V$2,0)))*$I93)</f>
        <v/>
      </c>
      <c r="S93" s="302" t="str" cm="1">
        <f t="array" ref="S93">IF(OR($B93="",$G93="",ProjectWasteTable[[#This Row],[Converted data]]=""),"",(INDEX('Emission factors'!$K$3:$V$381,MATCH($B93&amp;$C93,'Emission factors'!$K$3:$K$381&amp;'Emission factors'!$L$3:$L$381,0),MATCH(S$52,'Emission factors'!$K$2:$V$2,0)))*$I93)</f>
        <v/>
      </c>
      <c r="T93" s="340" t="str">
        <f>IF(OR(ProjectWasteTable[[#This Row],[RSD]]="",ProjectWasteTable[[#This Row],[Total emissions]]=""),"",ProjectWasteTable[[#This Row],[Total emissions]]*(1+ProjectWasteTable[[#This Row],[RSD]]))</f>
        <v/>
      </c>
      <c r="U93" s="354" t="str">
        <f>IF(OR(ProjectWasteTable[[#This Row],[RSD]]="",ProjectWasteTable[[#This Row],[Total emissions]]=""), "",ProjectWasteTable[[#This Row],[Total emissions]]*(1-ProjectWasteTable[[#This Row],[RSD]]))</f>
        <v/>
      </c>
      <c r="V93" s="364" t="str" cm="1">
        <f t="array" ref="V93">IF(OR($B93="",$G93="",ProjectWasteTable[[#This Row],[Converted data]]=""),"",(INDEX('Emission factors'!$K$3:$V$381,MATCH($B93&amp;$C93,'Emission factors'!$K$3:$K$381&amp;'Emission factors'!$L$3:$L$381,0),MATCH(V$52,'Emission factors'!$K$2:$V$2,0)))*$I93)</f>
        <v/>
      </c>
      <c r="W93" s="335"/>
      <c r="X93" s="1" cm="1">
        <f t="array" ref="X93">IF(OR(ISERROR(B93:V93)),1,0)</f>
        <v>0</v>
      </c>
      <c r="Y93" s="1">
        <f t="shared" si="3"/>
        <v>0</v>
      </c>
    </row>
    <row r="94" spans="2:25" ht="15" thickBot="1" x14ac:dyDescent="0.4">
      <c r="B94" s="198"/>
      <c r="C94" s="199"/>
      <c r="D94" s="6"/>
      <c r="E94" s="199"/>
      <c r="F94" s="179" t="str">
        <f>IF(E94="","",INDEX(Methodologytier,MATCH(B$82,Lists!$AZ$4:$AZ$32,0),MATCH(E94,Lists!$BA$3:$BC$3,0)))</f>
        <v/>
      </c>
      <c r="G94" s="148"/>
      <c r="H94" s="199"/>
      <c r="I94" s="38" t="str" cm="1">
        <f t="array" ref="I94">IF(OR($B94="",$C94="",H94=""),"",IF(H94=J94,G94,(INDEX('Emission factors'!$K$3:$V$381,MATCH($B94&amp;$C94,'Emission factors'!$K$3:$K$381&amp;'Emission factors'!$L$3:$L$381,0),MATCH($I$52,'Emission factors'!$K$2:$V$2,0)))*G94))</f>
        <v/>
      </c>
      <c r="J94" s="35" t="str" cm="1">
        <f t="array" ref="J94">IF(OR($B94="",$C94="",ProjectWasteTable[[#Headers],[Units]]=""),"",INDEX('Emission factors'!$K$3:$V$381,MATCH($B94&amp;$C94,'Emission factors'!$K$3:$K$381&amp;'Emission factors'!$L$3:$L$381,0),MATCH($J$83,'Emission factors'!$K$2:$V$2,0)))</f>
        <v/>
      </c>
      <c r="K94" s="35" t="str" cm="1">
        <f t="array" ref="K94">IF(OR(B94="",C94="",ProjectWasteTable[[#This Row],[Data]]=""),"",INDEX('Emission factors'!$K$3:$V$381,MATCH($B94&amp;$C94,'Emission factors'!$K$3:$K$381&amp;'Emission factors'!$L$3:$L$381,0),MATCH($K$52,'Emission factors'!$K$2:$V$2,0)))</f>
        <v/>
      </c>
      <c r="L94" s="38">
        <f>SUM(ProjectWasteTable[[#This Row],[Direct]:[Indirect WTT]])</f>
        <v>0</v>
      </c>
      <c r="M94" s="201"/>
      <c r="N94" s="199"/>
      <c r="O94" s="302" t="str" cm="1">
        <f t="array" ref="O94">IF(OR($B94="",$G94="",ProjectWasteTable[Converted data]=""),"",(INDEX('Emission factors'!$K$3:$V$381,MATCH($B94&amp;$C94,'Emission factors'!$K$3:$K$381&amp;'Emission factors'!$L$3:$L$381,0),MATCH(O$52,'Emission factors'!$K$2:$V$2,0)))*$I94)</f>
        <v/>
      </c>
      <c r="P94" s="302" t="str" cm="1">
        <f t="array" ref="P94">IF(OR($B94="",$G94="",ProjectWasteTable[[#This Row],[Converted data]]=""),"",(INDEX('Emission factors'!$K$3:$V$381,MATCH($B94&amp;$C94,'Emission factors'!$K$3:$K$381&amp;'Emission factors'!$L$3:$L$381,0),MATCH(P$52,'Emission factors'!$K$2:$V$2,0)))*$I94)</f>
        <v/>
      </c>
      <c r="Q94" s="302" t="str" cm="1">
        <f t="array" ref="Q94">IF(OR($B94="",$G94="",ProjectWasteTable[[#This Row],[Converted data]]=""),"",(INDEX('Emission factors'!$K$3:$V$381,MATCH($B94&amp;$C94,'Emission factors'!$K$3:$K$381&amp;'Emission factors'!$L$3:$L$381,0),MATCH(Q$52,'Emission factors'!$K$2:$V$2,0)))*$I94)</f>
        <v/>
      </c>
      <c r="R94" s="302" t="str" cm="1">
        <f t="array" ref="R94">IF(OR($B94="",$G94="",ProjectWasteTable[[#This Row],[Converted data]]=""),"",(INDEX('Emission factors'!$K$3:$V$381,MATCH($B94&amp;$C94,'Emission factors'!$K$3:$K$381&amp;'Emission factors'!$L$3:$L$381,0),MATCH(R$52,'Emission factors'!$K$2:$V$2,0)))*$I94)</f>
        <v/>
      </c>
      <c r="S94" s="302" t="str" cm="1">
        <f t="array" ref="S94">IF(OR($B94="",$G94="",ProjectWasteTable[[#This Row],[Converted data]]=""),"",(INDEX('Emission factors'!$K$3:$V$381,MATCH($B94&amp;$C94,'Emission factors'!$K$3:$K$381&amp;'Emission factors'!$L$3:$L$381,0),MATCH(S$52,'Emission factors'!$K$2:$V$2,0)))*$I94)</f>
        <v/>
      </c>
      <c r="T94" s="340" t="str">
        <f>IF(OR(ProjectWasteTable[[#This Row],[RSD]]="",ProjectWasteTable[[#This Row],[Total emissions]]=""),"",ProjectWasteTable[[#This Row],[Total emissions]]*(1+ProjectWasteTable[[#This Row],[RSD]]))</f>
        <v/>
      </c>
      <c r="U94" s="354" t="str">
        <f>IF(OR(ProjectWasteTable[[#This Row],[RSD]]="",ProjectWasteTable[[#This Row],[Total emissions]]=""), "",ProjectWasteTable[[#This Row],[Total emissions]]*(1-ProjectWasteTable[[#This Row],[RSD]]))</f>
        <v/>
      </c>
      <c r="V94" s="364" t="str" cm="1">
        <f t="array" ref="V94">IF(OR($B94="",$G94="",ProjectWasteTable[[#This Row],[Converted data]]=""),"",(INDEX('Emission factors'!$K$3:$V$381,MATCH($B94&amp;$C94,'Emission factors'!$K$3:$K$381&amp;'Emission factors'!$L$3:$L$381,0),MATCH(V$52,'Emission factors'!$K$2:$V$2,0)))*$I94)</f>
        <v/>
      </c>
      <c r="W94" s="335"/>
      <c r="X94" s="1" cm="1">
        <f t="array" ref="X94">IF(OR(ISERROR(B94:V94)),1,0)</f>
        <v>0</v>
      </c>
      <c r="Y94" s="1">
        <f t="shared" si="3"/>
        <v>0</v>
      </c>
    </row>
    <row r="95" spans="2:25" ht="15" thickBot="1" x14ac:dyDescent="0.4">
      <c r="B95" s="198"/>
      <c r="C95" s="199"/>
      <c r="D95" s="6"/>
      <c r="E95" s="199"/>
      <c r="F95" s="179" t="str">
        <f>IF(E95="","",INDEX(Methodologytier,MATCH(B$82,Lists!$AZ$4:$AZ$32,0),MATCH(E95,Lists!$BA$3:$BC$3,0)))</f>
        <v/>
      </c>
      <c r="G95" s="148"/>
      <c r="H95" s="199"/>
      <c r="I95" s="38" t="str" cm="1">
        <f t="array" ref="I95">IF(OR($B95="",$C95="",H95=""),"",IF(H95=J95,G95,(INDEX('Emission factors'!$K$3:$V$381,MATCH($B95&amp;$C95,'Emission factors'!$K$3:$K$381&amp;'Emission factors'!$L$3:$L$381,0),MATCH($I$52,'Emission factors'!$K$2:$V$2,0)))*G95))</f>
        <v/>
      </c>
      <c r="J95" s="35" t="str" cm="1">
        <f t="array" ref="J95">IF(OR($B95="",$C95="",ProjectWasteTable[[#Headers],[Units]]=""),"",INDEX('Emission factors'!$K$3:$V$381,MATCH($B95&amp;$C95,'Emission factors'!$K$3:$K$381&amp;'Emission factors'!$L$3:$L$381,0),MATCH($J$83,'Emission factors'!$K$2:$V$2,0)))</f>
        <v/>
      </c>
      <c r="K95" s="35" t="str" cm="1">
        <f t="array" ref="K95">IF(OR(B95="",C95="",ProjectWasteTable[[#This Row],[Data]]=""),"",INDEX('Emission factors'!$K$3:$V$381,MATCH($B95&amp;$C95,'Emission factors'!$K$3:$K$381&amp;'Emission factors'!$L$3:$L$381,0),MATCH($K$52,'Emission factors'!$K$2:$V$2,0)))</f>
        <v/>
      </c>
      <c r="L95" s="38">
        <f>SUM(ProjectWasteTable[[#This Row],[Direct]:[Indirect WTT]])</f>
        <v>0</v>
      </c>
      <c r="M95" s="201"/>
      <c r="N95" s="199"/>
      <c r="O95" s="302" t="str" cm="1">
        <f t="array" ref="O95">IF(OR($B95="",$G95="",ProjectWasteTable[Converted data]=""),"",(INDEX('Emission factors'!$K$3:$V$381,MATCH($B95&amp;$C95,'Emission factors'!$K$3:$K$381&amp;'Emission factors'!$L$3:$L$381,0),MATCH(O$52,'Emission factors'!$K$2:$V$2,0)))*$I95)</f>
        <v/>
      </c>
      <c r="P95" s="302" t="str" cm="1">
        <f t="array" ref="P95">IF(OR($B95="",$G95="",ProjectWasteTable[[#This Row],[Converted data]]=""),"",(INDEX('Emission factors'!$K$3:$V$381,MATCH($B95&amp;$C95,'Emission factors'!$K$3:$K$381&amp;'Emission factors'!$L$3:$L$381,0),MATCH(P$52,'Emission factors'!$K$2:$V$2,0)))*$I95)</f>
        <v/>
      </c>
      <c r="Q95" s="302" t="str" cm="1">
        <f t="array" ref="Q95">IF(OR($B95="",$G95="",ProjectWasteTable[[#This Row],[Converted data]]=""),"",(INDEX('Emission factors'!$K$3:$V$381,MATCH($B95&amp;$C95,'Emission factors'!$K$3:$K$381&amp;'Emission factors'!$L$3:$L$381,0),MATCH(Q$52,'Emission factors'!$K$2:$V$2,0)))*$I95)</f>
        <v/>
      </c>
      <c r="R95" s="302" t="str" cm="1">
        <f t="array" ref="R95">IF(OR($B95="",$G95="",ProjectWasteTable[[#This Row],[Converted data]]=""),"",(INDEX('Emission factors'!$K$3:$V$381,MATCH($B95&amp;$C95,'Emission factors'!$K$3:$K$381&amp;'Emission factors'!$L$3:$L$381,0),MATCH(R$52,'Emission factors'!$K$2:$V$2,0)))*$I95)</f>
        <v/>
      </c>
      <c r="S95" s="302" t="str" cm="1">
        <f t="array" ref="S95">IF(OR($B95="",$G95="",ProjectWasteTable[[#This Row],[Converted data]]=""),"",(INDEX('Emission factors'!$K$3:$V$381,MATCH($B95&amp;$C95,'Emission factors'!$K$3:$K$381&amp;'Emission factors'!$L$3:$L$381,0),MATCH(S$52,'Emission factors'!$K$2:$V$2,0)))*$I95)</f>
        <v/>
      </c>
      <c r="T95" s="340" t="str">
        <f>IF(OR(ProjectWasteTable[[#This Row],[RSD]]="",ProjectWasteTable[[#This Row],[Total emissions]]=""),"",ProjectWasteTable[[#This Row],[Total emissions]]*(1+ProjectWasteTable[[#This Row],[RSD]]))</f>
        <v/>
      </c>
      <c r="U95" s="354" t="str">
        <f>IF(OR(ProjectWasteTable[[#This Row],[RSD]]="",ProjectWasteTable[[#This Row],[Total emissions]]=""), "",ProjectWasteTable[[#This Row],[Total emissions]]*(1-ProjectWasteTable[[#This Row],[RSD]]))</f>
        <v/>
      </c>
      <c r="V95" s="364" t="str" cm="1">
        <f t="array" ref="V95">IF(OR($B95="",$G95="",ProjectWasteTable[[#This Row],[Converted data]]=""),"",(INDEX('Emission factors'!$K$3:$V$381,MATCH($B95&amp;$C95,'Emission factors'!$K$3:$K$381&amp;'Emission factors'!$L$3:$L$381,0),MATCH(V$52,'Emission factors'!$K$2:$V$2,0)))*$I95)</f>
        <v/>
      </c>
      <c r="W95" s="335"/>
      <c r="X95" s="1" cm="1">
        <f t="array" ref="X95">IF(OR(ISERROR(B95:V95)),1,0)</f>
        <v>0</v>
      </c>
      <c r="Y95" s="1">
        <f t="shared" si="3"/>
        <v>0</v>
      </c>
    </row>
    <row r="96" spans="2:25" ht="15" thickBot="1" x14ac:dyDescent="0.4">
      <c r="B96" s="198"/>
      <c r="C96" s="199"/>
      <c r="D96" s="6"/>
      <c r="E96" s="199"/>
      <c r="F96" s="179" t="str">
        <f>IF(E96="","",INDEX(Methodologytier,MATCH(B$82,Lists!$AZ$4:$AZ$32,0),MATCH(E96,Lists!$BA$3:$BC$3,0)))</f>
        <v/>
      </c>
      <c r="G96" s="148"/>
      <c r="H96" s="199"/>
      <c r="I96" s="38" t="str" cm="1">
        <f t="array" ref="I96">IF(OR($B96="",$C96="",H96=""),"",IF(H96=J96,G96,(INDEX('Emission factors'!$K$3:$V$381,MATCH($B96&amp;$C96,'Emission factors'!$K$3:$K$381&amp;'Emission factors'!$L$3:$L$381,0),MATCH($I$52,'Emission factors'!$K$2:$V$2,0)))*G96))</f>
        <v/>
      </c>
      <c r="J96" s="35" t="str" cm="1">
        <f t="array" ref="J96">IF(OR($B96="",$C96="",ProjectWasteTable[[#Headers],[Units]]=""),"",INDEX('Emission factors'!$K$3:$V$381,MATCH($B96&amp;$C96,'Emission factors'!$K$3:$K$381&amp;'Emission factors'!$L$3:$L$381,0),MATCH($J$83,'Emission factors'!$K$2:$V$2,0)))</f>
        <v/>
      </c>
      <c r="K96" s="35" t="str" cm="1">
        <f t="array" ref="K96">IF(OR(B96="",C96="",ProjectWasteTable[[#This Row],[Data]]=""),"",INDEX('Emission factors'!$K$3:$V$381,MATCH($B96&amp;$C96,'Emission factors'!$K$3:$K$381&amp;'Emission factors'!$L$3:$L$381,0),MATCH($K$52,'Emission factors'!$K$2:$V$2,0)))</f>
        <v/>
      </c>
      <c r="L96" s="38">
        <f>SUM(ProjectWasteTable[[#This Row],[Direct]:[Indirect WTT]])</f>
        <v>0</v>
      </c>
      <c r="M96" s="201"/>
      <c r="N96" s="199"/>
      <c r="O96" s="302" t="str" cm="1">
        <f t="array" ref="O96">IF(OR($B96="",$G96="",ProjectWasteTable[Converted data]=""),"",(INDEX('Emission factors'!$K$3:$V$381,MATCH($B96&amp;$C96,'Emission factors'!$K$3:$K$381&amp;'Emission factors'!$L$3:$L$381,0),MATCH(O$52,'Emission factors'!$K$2:$V$2,0)))*$I96)</f>
        <v/>
      </c>
      <c r="P96" s="302" t="str" cm="1">
        <f t="array" ref="P96">IF(OR($B96="",$G96="",ProjectWasteTable[[#This Row],[Converted data]]=""),"",(INDEX('Emission factors'!$K$3:$V$381,MATCH($B96&amp;$C96,'Emission factors'!$K$3:$K$381&amp;'Emission factors'!$L$3:$L$381,0),MATCH(P$52,'Emission factors'!$K$2:$V$2,0)))*$I96)</f>
        <v/>
      </c>
      <c r="Q96" s="302" t="str" cm="1">
        <f t="array" ref="Q96">IF(OR($B96="",$G96="",ProjectWasteTable[[#This Row],[Converted data]]=""),"",(INDEX('Emission factors'!$K$3:$V$381,MATCH($B96&amp;$C96,'Emission factors'!$K$3:$K$381&amp;'Emission factors'!$L$3:$L$381,0),MATCH(Q$52,'Emission factors'!$K$2:$V$2,0)))*$I96)</f>
        <v/>
      </c>
      <c r="R96" s="302" t="str" cm="1">
        <f t="array" ref="R96">IF(OR($B96="",$G96="",ProjectWasteTable[[#This Row],[Converted data]]=""),"",(INDEX('Emission factors'!$K$3:$V$381,MATCH($B96&amp;$C96,'Emission factors'!$K$3:$K$381&amp;'Emission factors'!$L$3:$L$381,0),MATCH(R$52,'Emission factors'!$K$2:$V$2,0)))*$I96)</f>
        <v/>
      </c>
      <c r="S96" s="302" t="str" cm="1">
        <f t="array" ref="S96">IF(OR($B96="",$G96="",ProjectWasteTable[[#This Row],[Converted data]]=""),"",(INDEX('Emission factors'!$K$3:$V$381,MATCH($B96&amp;$C96,'Emission factors'!$K$3:$K$381&amp;'Emission factors'!$L$3:$L$381,0),MATCH(S$52,'Emission factors'!$K$2:$V$2,0)))*$I96)</f>
        <v/>
      </c>
      <c r="T96" s="340" t="str">
        <f>IF(OR(ProjectWasteTable[[#This Row],[RSD]]="",ProjectWasteTable[[#This Row],[Total emissions]]=""),"",ProjectWasteTable[[#This Row],[Total emissions]]*(1+ProjectWasteTable[[#This Row],[RSD]]))</f>
        <v/>
      </c>
      <c r="U96" s="354" t="str">
        <f>IF(OR(ProjectWasteTable[[#This Row],[RSD]]="",ProjectWasteTable[[#This Row],[Total emissions]]=""), "",ProjectWasteTable[[#This Row],[Total emissions]]*(1-ProjectWasteTable[[#This Row],[RSD]]))</f>
        <v/>
      </c>
      <c r="V96" s="364" t="str" cm="1">
        <f t="array" ref="V96">IF(OR($B96="",$G96="",ProjectWasteTable[[#This Row],[Converted data]]=""),"",(INDEX('Emission factors'!$K$3:$V$381,MATCH($B96&amp;$C96,'Emission factors'!$K$3:$K$381&amp;'Emission factors'!$L$3:$L$381,0),MATCH(V$52,'Emission factors'!$K$2:$V$2,0)))*$I96)</f>
        <v/>
      </c>
      <c r="W96" s="335"/>
      <c r="X96" s="1" cm="1">
        <f t="array" ref="X96">IF(OR(ISERROR(B96:V96)),1,0)</f>
        <v>0</v>
      </c>
      <c r="Y96" s="1">
        <f t="shared" si="3"/>
        <v>0</v>
      </c>
    </row>
    <row r="97" spans="2:25" ht="15" thickBot="1" x14ac:dyDescent="0.4">
      <c r="B97" s="198"/>
      <c r="C97" s="199"/>
      <c r="D97" s="6"/>
      <c r="E97" s="199"/>
      <c r="F97" s="179" t="str">
        <f>IF(E97="","",INDEX(Methodologytier,MATCH(B$82,Lists!$AZ$4:$AZ$32,0),MATCH(E97,Lists!$BA$3:$BC$3,0)))</f>
        <v/>
      </c>
      <c r="G97" s="148"/>
      <c r="H97" s="199"/>
      <c r="I97" s="38" t="str" cm="1">
        <f t="array" ref="I97">IF(OR($B97="",$C97="",H97=""),"",IF(H97=J97,G97,(INDEX('Emission factors'!$K$3:$V$381,MATCH($B97&amp;$C97,'Emission factors'!$K$3:$K$381&amp;'Emission factors'!$L$3:$L$381,0),MATCH($I$52,'Emission factors'!$K$2:$V$2,0)))*G97))</f>
        <v/>
      </c>
      <c r="J97" s="35" t="str" cm="1">
        <f t="array" ref="J97">IF(OR($B97="",$C97="",ProjectWasteTable[[#Headers],[Units]]=""),"",INDEX('Emission factors'!$K$3:$V$381,MATCH($B97&amp;$C97,'Emission factors'!$K$3:$K$381&amp;'Emission factors'!$L$3:$L$381,0),MATCH($J$83,'Emission factors'!$K$2:$V$2,0)))</f>
        <v/>
      </c>
      <c r="K97" s="35" t="str" cm="1">
        <f t="array" ref="K97">IF(OR(B97="",C97="",ProjectWasteTable[[#This Row],[Data]]=""),"",INDEX('Emission factors'!$K$3:$V$381,MATCH($B97&amp;$C97,'Emission factors'!$K$3:$K$381&amp;'Emission factors'!$L$3:$L$381,0),MATCH($K$52,'Emission factors'!$K$2:$V$2,0)))</f>
        <v/>
      </c>
      <c r="L97" s="38">
        <f>SUM(ProjectWasteTable[[#This Row],[Direct]:[Indirect WTT]])</f>
        <v>0</v>
      </c>
      <c r="M97" s="201"/>
      <c r="N97" s="199"/>
      <c r="O97" s="302" t="str" cm="1">
        <f t="array" ref="O97">IF(OR($B97="",$G97="",ProjectWasteTable[Converted data]=""),"",(INDEX('Emission factors'!$K$3:$V$381,MATCH($B97&amp;$C97,'Emission factors'!$K$3:$K$381&amp;'Emission factors'!$L$3:$L$381,0),MATCH(O$52,'Emission factors'!$K$2:$V$2,0)))*$I97)</f>
        <v/>
      </c>
      <c r="P97" s="302" t="str" cm="1">
        <f t="array" ref="P97">IF(OR($B97="",$G97="",ProjectWasteTable[[#This Row],[Converted data]]=""),"",(INDEX('Emission factors'!$K$3:$V$381,MATCH($B97&amp;$C97,'Emission factors'!$K$3:$K$381&amp;'Emission factors'!$L$3:$L$381,0),MATCH(P$52,'Emission factors'!$K$2:$V$2,0)))*$I97)</f>
        <v/>
      </c>
      <c r="Q97" s="302" t="str" cm="1">
        <f t="array" ref="Q97">IF(OR($B97="",$G97="",ProjectWasteTable[[#This Row],[Converted data]]=""),"",(INDEX('Emission factors'!$K$3:$V$381,MATCH($B97&amp;$C97,'Emission factors'!$K$3:$K$381&amp;'Emission factors'!$L$3:$L$381,0),MATCH(Q$52,'Emission factors'!$K$2:$V$2,0)))*$I97)</f>
        <v/>
      </c>
      <c r="R97" s="302" t="str" cm="1">
        <f t="array" ref="R97">IF(OR($B97="",$G97="",ProjectWasteTable[[#This Row],[Converted data]]=""),"",(INDEX('Emission factors'!$K$3:$V$381,MATCH($B97&amp;$C97,'Emission factors'!$K$3:$K$381&amp;'Emission factors'!$L$3:$L$381,0),MATCH(R$52,'Emission factors'!$K$2:$V$2,0)))*$I97)</f>
        <v/>
      </c>
      <c r="S97" s="302" t="str" cm="1">
        <f t="array" ref="S97">IF(OR($B97="",$G97="",ProjectWasteTable[[#This Row],[Converted data]]=""),"",(INDEX('Emission factors'!$K$3:$V$381,MATCH($B97&amp;$C97,'Emission factors'!$K$3:$K$381&amp;'Emission factors'!$L$3:$L$381,0),MATCH(S$52,'Emission factors'!$K$2:$V$2,0)))*$I97)</f>
        <v/>
      </c>
      <c r="T97" s="340" t="str">
        <f>IF(OR(ProjectWasteTable[[#This Row],[RSD]]="",ProjectWasteTable[[#This Row],[Total emissions]]=""),"",ProjectWasteTable[[#This Row],[Total emissions]]*(1+ProjectWasteTable[[#This Row],[RSD]]))</f>
        <v/>
      </c>
      <c r="U97" s="354" t="str">
        <f>IF(OR(ProjectWasteTable[[#This Row],[RSD]]="",ProjectWasteTable[[#This Row],[Total emissions]]=""), "",ProjectWasteTable[[#This Row],[Total emissions]]*(1-ProjectWasteTable[[#This Row],[RSD]]))</f>
        <v/>
      </c>
      <c r="V97" s="364" t="str" cm="1">
        <f t="array" ref="V97">IF(OR($B97="",$G97="",ProjectWasteTable[[#This Row],[Converted data]]=""),"",(INDEX('Emission factors'!$K$3:$V$381,MATCH($B97&amp;$C97,'Emission factors'!$K$3:$K$381&amp;'Emission factors'!$L$3:$L$381,0),MATCH(V$52,'Emission factors'!$K$2:$V$2,0)))*$I97)</f>
        <v/>
      </c>
      <c r="W97" s="335"/>
      <c r="X97" s="1" cm="1">
        <f t="array" ref="X97">IF(OR(ISERROR(B97:V97)),1,0)</f>
        <v>0</v>
      </c>
      <c r="Y97" s="1">
        <f t="shared" si="3"/>
        <v>0</v>
      </c>
    </row>
    <row r="98" spans="2:25" ht="15" thickBot="1" x14ac:dyDescent="0.4">
      <c r="B98" s="198"/>
      <c r="C98" s="199"/>
      <c r="D98" s="6"/>
      <c r="E98" s="199"/>
      <c r="F98" s="179" t="str">
        <f>IF(E98="","",INDEX(Methodologytier,MATCH(B$82,Lists!$AZ$4:$AZ$32,0),MATCH(E98,Lists!$BA$3:$BC$3,0)))</f>
        <v/>
      </c>
      <c r="G98" s="148"/>
      <c r="H98" s="199"/>
      <c r="I98" s="38" t="str" cm="1">
        <f t="array" ref="I98">IF(OR($B98="",$C98="",H98=""),"",IF(H98=J98,G98,(INDEX('Emission factors'!$K$3:$V$381,MATCH($B98&amp;$C98,'Emission factors'!$K$3:$K$381&amp;'Emission factors'!$L$3:$L$381,0),MATCH($I$52,'Emission factors'!$K$2:$V$2,0)))*G98))</f>
        <v/>
      </c>
      <c r="J98" s="35" t="str" cm="1">
        <f t="array" ref="J98">IF(OR($B98="",$C98="",ProjectWasteTable[[#Headers],[Units]]=""),"",INDEX('Emission factors'!$K$3:$V$381,MATCH($B98&amp;$C98,'Emission factors'!$K$3:$K$381&amp;'Emission factors'!$L$3:$L$381,0),MATCH($J$83,'Emission factors'!$K$2:$V$2,0)))</f>
        <v/>
      </c>
      <c r="K98" s="35" t="str" cm="1">
        <f t="array" ref="K98">IF(OR(B98="",C98="",ProjectWasteTable[[#This Row],[Data]]=""),"",INDEX('Emission factors'!$K$3:$V$381,MATCH($B98&amp;$C98,'Emission factors'!$K$3:$K$381&amp;'Emission factors'!$L$3:$L$381,0),MATCH($K$52,'Emission factors'!$K$2:$V$2,0)))</f>
        <v/>
      </c>
      <c r="L98" s="38">
        <f>SUM(ProjectWasteTable[[#This Row],[Direct]:[Indirect WTT]])</f>
        <v>0</v>
      </c>
      <c r="M98" s="201"/>
      <c r="N98" s="199"/>
      <c r="O98" s="302" t="str" cm="1">
        <f t="array" ref="O98">IF(OR($B98="",$G98="",ProjectWasteTable[Converted data]=""),"",(INDEX('Emission factors'!$K$3:$V$381,MATCH($B98&amp;$C98,'Emission factors'!$K$3:$K$381&amp;'Emission factors'!$L$3:$L$381,0),MATCH(O$52,'Emission factors'!$K$2:$V$2,0)))*$I98)</f>
        <v/>
      </c>
      <c r="P98" s="302" t="str" cm="1">
        <f t="array" ref="P98">IF(OR($B98="",$G98="",ProjectWasteTable[[#This Row],[Converted data]]=""),"",(INDEX('Emission factors'!$K$3:$V$381,MATCH($B98&amp;$C98,'Emission factors'!$K$3:$K$381&amp;'Emission factors'!$L$3:$L$381,0),MATCH(P$52,'Emission factors'!$K$2:$V$2,0)))*$I98)</f>
        <v/>
      </c>
      <c r="Q98" s="302" t="str" cm="1">
        <f t="array" ref="Q98">IF(OR($B98="",$G98="",ProjectWasteTable[[#This Row],[Converted data]]=""),"",(INDEX('Emission factors'!$K$3:$V$381,MATCH($B98&amp;$C98,'Emission factors'!$K$3:$K$381&amp;'Emission factors'!$L$3:$L$381,0),MATCH(Q$52,'Emission factors'!$K$2:$V$2,0)))*$I98)</f>
        <v/>
      </c>
      <c r="R98" s="302" t="str" cm="1">
        <f t="array" ref="R98">IF(OR($B98="",$G98="",ProjectWasteTable[[#This Row],[Converted data]]=""),"",(INDEX('Emission factors'!$K$3:$V$381,MATCH($B98&amp;$C98,'Emission factors'!$K$3:$K$381&amp;'Emission factors'!$L$3:$L$381,0),MATCH(R$52,'Emission factors'!$K$2:$V$2,0)))*$I98)</f>
        <v/>
      </c>
      <c r="S98" s="302" t="str" cm="1">
        <f t="array" ref="S98">IF(OR($B98="",$G98="",ProjectWasteTable[[#This Row],[Converted data]]=""),"",(INDEX('Emission factors'!$K$3:$V$381,MATCH($B98&amp;$C98,'Emission factors'!$K$3:$K$381&amp;'Emission factors'!$L$3:$L$381,0),MATCH(S$52,'Emission factors'!$K$2:$V$2,0)))*$I98)</f>
        <v/>
      </c>
      <c r="T98" s="340" t="str">
        <f>IF(OR(ProjectWasteTable[[#This Row],[RSD]]="",ProjectWasteTable[[#This Row],[Total emissions]]=""),"",ProjectWasteTable[[#This Row],[Total emissions]]*(1+ProjectWasteTable[[#This Row],[RSD]]))</f>
        <v/>
      </c>
      <c r="U98" s="354" t="str">
        <f>IF(OR(ProjectWasteTable[[#This Row],[RSD]]="",ProjectWasteTable[[#This Row],[Total emissions]]=""), "",ProjectWasteTable[[#This Row],[Total emissions]]*(1-ProjectWasteTable[[#This Row],[RSD]]))</f>
        <v/>
      </c>
      <c r="V98" s="364" t="str" cm="1">
        <f t="array" ref="V98">IF(OR($B98="",$G98="",ProjectWasteTable[[#This Row],[Converted data]]=""),"",(INDEX('Emission factors'!$K$3:$V$381,MATCH($B98&amp;$C98,'Emission factors'!$K$3:$K$381&amp;'Emission factors'!$L$3:$L$381,0),MATCH(V$52,'Emission factors'!$K$2:$V$2,0)))*$I98)</f>
        <v/>
      </c>
      <c r="W98" s="335"/>
      <c r="X98" s="1" cm="1">
        <f t="array" ref="X98">IF(OR(ISERROR(B98:V98)),1,0)</f>
        <v>0</v>
      </c>
      <c r="Y98" s="1">
        <f t="shared" si="3"/>
        <v>0</v>
      </c>
    </row>
    <row r="99" spans="2:25" ht="15" thickBot="1" x14ac:dyDescent="0.4">
      <c r="B99" s="198"/>
      <c r="C99" s="199"/>
      <c r="D99" s="6"/>
      <c r="E99" s="199"/>
      <c r="F99" s="179" t="str">
        <f>IF(E99="","",INDEX(Methodologytier,MATCH(B$82,Lists!$AZ$4:$AZ$32,0),MATCH(E99,Lists!$BA$3:$BC$3,0)))</f>
        <v/>
      </c>
      <c r="G99" s="148"/>
      <c r="H99" s="199"/>
      <c r="I99" s="38" t="str" cm="1">
        <f t="array" ref="I99">IF(OR($B99="",$C99="",H99=""),"",IF(H99=J99,G99,(INDEX('Emission factors'!$K$3:$V$381,MATCH($B99&amp;$C99,'Emission factors'!$K$3:$K$381&amp;'Emission factors'!$L$3:$L$381,0),MATCH($I$52,'Emission factors'!$K$2:$V$2,0)))*G99))</f>
        <v/>
      </c>
      <c r="J99" s="35" t="str" cm="1">
        <f t="array" ref="J99">IF(OR($B99="",$C99="",ProjectWasteTable[[#Headers],[Units]]=""),"",INDEX('Emission factors'!$K$3:$V$381,MATCH($B99&amp;$C99,'Emission factors'!$K$3:$K$381&amp;'Emission factors'!$L$3:$L$381,0),MATCH($J$83,'Emission factors'!$K$2:$V$2,0)))</f>
        <v/>
      </c>
      <c r="K99" s="35" t="str" cm="1">
        <f t="array" ref="K99">IF(OR(B99="",C99="",ProjectWasteTable[[#This Row],[Data]]=""),"",INDEX('Emission factors'!$K$3:$V$381,MATCH($B99&amp;$C99,'Emission factors'!$K$3:$K$381&amp;'Emission factors'!$L$3:$L$381,0),MATCH($K$52,'Emission factors'!$K$2:$V$2,0)))</f>
        <v/>
      </c>
      <c r="L99" s="38">
        <f>SUM(ProjectWasteTable[[#This Row],[Direct]:[Indirect WTT]])</f>
        <v>0</v>
      </c>
      <c r="M99" s="201"/>
      <c r="N99" s="199"/>
      <c r="O99" s="302" t="str" cm="1">
        <f t="array" ref="O99">IF(OR($B99="",$G99="",ProjectWasteTable[Converted data]=""),"",(INDEX('Emission factors'!$K$3:$V$381,MATCH($B99&amp;$C99,'Emission factors'!$K$3:$K$381&amp;'Emission factors'!$L$3:$L$381,0),MATCH(O$52,'Emission factors'!$K$2:$V$2,0)))*$I99)</f>
        <v/>
      </c>
      <c r="P99" s="302" t="str" cm="1">
        <f t="array" ref="P99">IF(OR($B99="",$G99="",ProjectWasteTable[[#This Row],[Converted data]]=""),"",(INDEX('Emission factors'!$K$3:$V$381,MATCH($B99&amp;$C99,'Emission factors'!$K$3:$K$381&amp;'Emission factors'!$L$3:$L$381,0),MATCH(P$52,'Emission factors'!$K$2:$V$2,0)))*$I99)</f>
        <v/>
      </c>
      <c r="Q99" s="302" t="str" cm="1">
        <f t="array" ref="Q99">IF(OR($B99="",$G99="",ProjectWasteTable[[#This Row],[Converted data]]=""),"",(INDEX('Emission factors'!$K$3:$V$381,MATCH($B99&amp;$C99,'Emission factors'!$K$3:$K$381&amp;'Emission factors'!$L$3:$L$381,0),MATCH(Q$52,'Emission factors'!$K$2:$V$2,0)))*$I99)</f>
        <v/>
      </c>
      <c r="R99" s="302" t="str" cm="1">
        <f t="array" ref="R99">IF(OR($B99="",$G99="",ProjectWasteTable[[#This Row],[Converted data]]=""),"",(INDEX('Emission factors'!$K$3:$V$381,MATCH($B99&amp;$C99,'Emission factors'!$K$3:$K$381&amp;'Emission factors'!$L$3:$L$381,0),MATCH(R$52,'Emission factors'!$K$2:$V$2,0)))*$I99)</f>
        <v/>
      </c>
      <c r="S99" s="302" t="str" cm="1">
        <f t="array" ref="S99">IF(OR($B99="",$G99="",ProjectWasteTable[[#This Row],[Converted data]]=""),"",(INDEX('Emission factors'!$K$3:$V$381,MATCH($B99&amp;$C99,'Emission factors'!$K$3:$K$381&amp;'Emission factors'!$L$3:$L$381,0),MATCH(S$52,'Emission factors'!$K$2:$V$2,0)))*$I99)</f>
        <v/>
      </c>
      <c r="T99" s="340" t="str">
        <f>IF(OR(ProjectWasteTable[[#This Row],[RSD]]="",ProjectWasteTable[[#This Row],[Total emissions]]=""),"",ProjectWasteTable[[#This Row],[Total emissions]]*(1+ProjectWasteTable[[#This Row],[RSD]]))</f>
        <v/>
      </c>
      <c r="U99" s="354" t="str">
        <f>IF(OR(ProjectWasteTable[[#This Row],[RSD]]="",ProjectWasteTable[[#This Row],[Total emissions]]=""), "",ProjectWasteTable[[#This Row],[Total emissions]]*(1-ProjectWasteTable[[#This Row],[RSD]]))</f>
        <v/>
      </c>
      <c r="V99" s="364" t="str" cm="1">
        <f t="array" ref="V99">IF(OR($B99="",$G99="",ProjectWasteTable[[#This Row],[Converted data]]=""),"",(INDEX('Emission factors'!$K$3:$V$381,MATCH($B99&amp;$C99,'Emission factors'!$K$3:$K$381&amp;'Emission factors'!$L$3:$L$381,0),MATCH(V$52,'Emission factors'!$K$2:$V$2,0)))*$I99)</f>
        <v/>
      </c>
      <c r="W99" s="335"/>
      <c r="X99" s="1" cm="1">
        <f t="array" ref="X99">IF(OR(ISERROR(B99:V99)),1,0)</f>
        <v>0</v>
      </c>
      <c r="Y99" s="1">
        <f t="shared" si="3"/>
        <v>0</v>
      </c>
    </row>
    <row r="100" spans="2:25" ht="15" thickBot="1" x14ac:dyDescent="0.4">
      <c r="B100" s="198"/>
      <c r="C100" s="199"/>
      <c r="D100" s="6"/>
      <c r="E100" s="199"/>
      <c r="F100" s="179" t="str">
        <f>IF(E100="","",INDEX(Methodologytier,MATCH(B$82,Lists!$AZ$4:$AZ$32,0),MATCH(E100,Lists!$BA$3:$BC$3,0)))</f>
        <v/>
      </c>
      <c r="G100" s="148"/>
      <c r="H100" s="199"/>
      <c r="I100" s="38" t="str" cm="1">
        <f t="array" ref="I100">IF(OR($B100="",$C100="",H100=""),"",IF(H100=J100,G100,(INDEX('Emission factors'!$K$3:$V$381,MATCH($B100&amp;$C100,'Emission factors'!$K$3:$K$381&amp;'Emission factors'!$L$3:$L$381,0),MATCH($I$52,'Emission factors'!$K$2:$V$2,0)))*G100))</f>
        <v/>
      </c>
      <c r="J100" s="35" t="str" cm="1">
        <f t="array" ref="J100">IF(OR($B100="",$C100="",ProjectWasteTable[[#Headers],[Units]]=""),"",INDEX('Emission factors'!$K$3:$V$381,MATCH($B100&amp;$C100,'Emission factors'!$K$3:$K$381&amp;'Emission factors'!$L$3:$L$381,0),MATCH($J$83,'Emission factors'!$K$2:$V$2,0)))</f>
        <v/>
      </c>
      <c r="K100" s="35" t="str" cm="1">
        <f t="array" ref="K100">IF(OR(B100="",C100="",ProjectWasteTable[[#This Row],[Data]]=""),"",INDEX('Emission factors'!$K$3:$V$381,MATCH($B100&amp;$C100,'Emission factors'!$K$3:$K$381&amp;'Emission factors'!$L$3:$L$381,0),MATCH($K$52,'Emission factors'!$K$2:$V$2,0)))</f>
        <v/>
      </c>
      <c r="L100" s="38">
        <f>SUM(ProjectWasteTable[[#This Row],[Direct]:[Indirect WTT]])</f>
        <v>0</v>
      </c>
      <c r="M100" s="201"/>
      <c r="N100" s="199"/>
      <c r="O100" s="302" t="str" cm="1">
        <f t="array" ref="O100">IF(OR($B100="",$G100="",ProjectWasteTable[Converted data]=""),"",(INDEX('Emission factors'!$K$3:$V$381,MATCH($B100&amp;$C100,'Emission factors'!$K$3:$K$381&amp;'Emission factors'!$L$3:$L$381,0),MATCH(O$52,'Emission factors'!$K$2:$V$2,0)))*$I100)</f>
        <v/>
      </c>
      <c r="P100" s="302" t="str" cm="1">
        <f t="array" ref="P100">IF(OR($B100="",$G100="",ProjectWasteTable[[#This Row],[Converted data]]=""),"",(INDEX('Emission factors'!$K$3:$V$381,MATCH($B100&amp;$C100,'Emission factors'!$K$3:$K$381&amp;'Emission factors'!$L$3:$L$381,0),MATCH(P$52,'Emission factors'!$K$2:$V$2,0)))*$I100)</f>
        <v/>
      </c>
      <c r="Q100" s="302" t="str" cm="1">
        <f t="array" ref="Q100">IF(OR($B100="",$G100="",ProjectWasteTable[[#This Row],[Converted data]]=""),"",(INDEX('Emission factors'!$K$3:$V$381,MATCH($B100&amp;$C100,'Emission factors'!$K$3:$K$381&amp;'Emission factors'!$L$3:$L$381,0),MATCH(Q$52,'Emission factors'!$K$2:$V$2,0)))*$I100)</f>
        <v/>
      </c>
      <c r="R100" s="302" t="str" cm="1">
        <f t="array" ref="R100">IF(OR($B100="",$G100="",ProjectWasteTable[[#This Row],[Converted data]]=""),"",(INDEX('Emission factors'!$K$3:$V$381,MATCH($B100&amp;$C100,'Emission factors'!$K$3:$K$381&amp;'Emission factors'!$L$3:$L$381,0),MATCH(R$52,'Emission factors'!$K$2:$V$2,0)))*$I100)</f>
        <v/>
      </c>
      <c r="S100" s="302" t="str" cm="1">
        <f t="array" ref="S100">IF(OR($B100="",$G100="",ProjectWasteTable[[#This Row],[Converted data]]=""),"",(INDEX('Emission factors'!$K$3:$V$381,MATCH($B100&amp;$C100,'Emission factors'!$K$3:$K$381&amp;'Emission factors'!$L$3:$L$381,0),MATCH(S$52,'Emission factors'!$K$2:$V$2,0)))*$I100)</f>
        <v/>
      </c>
      <c r="T100" s="340" t="str">
        <f>IF(OR(ProjectWasteTable[[#This Row],[RSD]]="",ProjectWasteTable[[#This Row],[Total emissions]]=""),"",ProjectWasteTable[[#This Row],[Total emissions]]*(1+ProjectWasteTable[[#This Row],[RSD]]))</f>
        <v/>
      </c>
      <c r="U100" s="354" t="str">
        <f>IF(OR(ProjectWasteTable[[#This Row],[RSD]]="",ProjectWasteTable[[#This Row],[Total emissions]]=""), "",ProjectWasteTable[[#This Row],[Total emissions]]*(1-ProjectWasteTable[[#This Row],[RSD]]))</f>
        <v/>
      </c>
      <c r="V100" s="364" t="str" cm="1">
        <f t="array" ref="V100">IF(OR($B100="",$G100="",ProjectWasteTable[[#This Row],[Converted data]]=""),"",(INDEX('Emission factors'!$K$3:$V$381,MATCH($B100&amp;$C100,'Emission factors'!$K$3:$K$381&amp;'Emission factors'!$L$3:$L$381,0),MATCH(V$52,'Emission factors'!$K$2:$V$2,0)))*$I100)</f>
        <v/>
      </c>
      <c r="W100" s="335"/>
      <c r="X100" s="1" cm="1">
        <f t="array" ref="X100">IF(OR(ISERROR(B100:V100)),1,0)</f>
        <v>0</v>
      </c>
      <c r="Y100" s="1">
        <f t="shared" si="3"/>
        <v>0</v>
      </c>
    </row>
    <row r="101" spans="2:25" ht="15" thickBot="1" x14ac:dyDescent="0.4">
      <c r="B101" s="198"/>
      <c r="C101" s="199"/>
      <c r="D101" s="6"/>
      <c r="E101" s="199"/>
      <c r="F101" s="179" t="str">
        <f>IF(E101="","",INDEX(Methodologytier,MATCH(B$82,Lists!$AZ$4:$AZ$32,0),MATCH(E101,Lists!$BA$3:$BC$3,0)))</f>
        <v/>
      </c>
      <c r="G101" s="148"/>
      <c r="H101" s="199"/>
      <c r="I101" s="38" t="str" cm="1">
        <f t="array" ref="I101">IF(OR($B101="",$C101="",H101=""),"",IF(H101=J101,G101,(INDEX('Emission factors'!$K$3:$V$381,MATCH($B101&amp;$C101,'Emission factors'!$K$3:$K$381&amp;'Emission factors'!$L$3:$L$381,0),MATCH($I$52,'Emission factors'!$K$2:$V$2,0)))*G101))</f>
        <v/>
      </c>
      <c r="J101" s="35" t="str" cm="1">
        <f t="array" ref="J101">IF(OR($B101="",$C101="",ProjectWasteTable[[#Headers],[Units]]=""),"",INDEX('Emission factors'!$K$3:$V$381,MATCH($B101&amp;$C101,'Emission factors'!$K$3:$K$381&amp;'Emission factors'!$L$3:$L$381,0),MATCH($J$83,'Emission factors'!$K$2:$V$2,0)))</f>
        <v/>
      </c>
      <c r="K101" s="35" t="str" cm="1">
        <f t="array" ref="K101">IF(OR(B101="",C101="",ProjectWasteTable[[#This Row],[Data]]=""),"",INDEX('Emission factors'!$K$3:$V$381,MATCH($B101&amp;$C101,'Emission factors'!$K$3:$K$381&amp;'Emission factors'!$L$3:$L$381,0),MATCH($K$52,'Emission factors'!$K$2:$V$2,0)))</f>
        <v/>
      </c>
      <c r="L101" s="38">
        <f>SUM(ProjectWasteTable[[#This Row],[Direct]:[Indirect WTT]])</f>
        <v>0</v>
      </c>
      <c r="M101" s="201"/>
      <c r="N101" s="199"/>
      <c r="O101" s="302" t="str" cm="1">
        <f t="array" ref="O101">IF(OR($B101="",$G101="",ProjectWasteTable[Converted data]=""),"",(INDEX('Emission factors'!$K$3:$V$381,MATCH($B101&amp;$C101,'Emission factors'!$K$3:$K$381&amp;'Emission factors'!$L$3:$L$381,0),MATCH(O$52,'Emission factors'!$K$2:$V$2,0)))*$I101)</f>
        <v/>
      </c>
      <c r="P101" s="302" t="str" cm="1">
        <f t="array" ref="P101">IF(OR($B101="",$G101="",ProjectWasteTable[[#This Row],[Converted data]]=""),"",(INDEX('Emission factors'!$K$3:$V$381,MATCH($B101&amp;$C101,'Emission factors'!$K$3:$K$381&amp;'Emission factors'!$L$3:$L$381,0),MATCH(P$52,'Emission factors'!$K$2:$V$2,0)))*$I101)</f>
        <v/>
      </c>
      <c r="Q101" s="302" t="str" cm="1">
        <f t="array" ref="Q101">IF(OR($B101="",$G101="",ProjectWasteTable[[#This Row],[Converted data]]=""),"",(INDEX('Emission factors'!$K$3:$V$381,MATCH($B101&amp;$C101,'Emission factors'!$K$3:$K$381&amp;'Emission factors'!$L$3:$L$381,0),MATCH(Q$52,'Emission factors'!$K$2:$V$2,0)))*$I101)</f>
        <v/>
      </c>
      <c r="R101" s="302" t="str" cm="1">
        <f t="array" ref="R101">IF(OR($B101="",$G101="",ProjectWasteTable[[#This Row],[Converted data]]=""),"",(INDEX('Emission factors'!$K$3:$V$381,MATCH($B101&amp;$C101,'Emission factors'!$K$3:$K$381&amp;'Emission factors'!$L$3:$L$381,0),MATCH(R$52,'Emission factors'!$K$2:$V$2,0)))*$I101)</f>
        <v/>
      </c>
      <c r="S101" s="302" t="str" cm="1">
        <f t="array" ref="S101">IF(OR($B101="",$G101="",ProjectWasteTable[[#This Row],[Converted data]]=""),"",(INDEX('Emission factors'!$K$3:$V$381,MATCH($B101&amp;$C101,'Emission factors'!$K$3:$K$381&amp;'Emission factors'!$L$3:$L$381,0),MATCH(S$52,'Emission factors'!$K$2:$V$2,0)))*$I101)</f>
        <v/>
      </c>
      <c r="T101" s="340" t="str">
        <f>IF(OR(ProjectWasteTable[[#This Row],[RSD]]="",ProjectWasteTable[[#This Row],[Total emissions]]=""),"",ProjectWasteTable[[#This Row],[Total emissions]]*(1+ProjectWasteTable[[#This Row],[RSD]]))</f>
        <v/>
      </c>
      <c r="U101" s="354" t="str">
        <f>IF(OR(ProjectWasteTable[[#This Row],[RSD]]="",ProjectWasteTable[[#This Row],[Total emissions]]=""), "",ProjectWasteTable[[#This Row],[Total emissions]]*(1-ProjectWasteTable[[#This Row],[RSD]]))</f>
        <v/>
      </c>
      <c r="V101" s="364" t="str" cm="1">
        <f t="array" ref="V101">IF(OR($B101="",$G101="",ProjectWasteTable[[#This Row],[Converted data]]=""),"",(INDEX('Emission factors'!$K$3:$V$381,MATCH($B101&amp;$C101,'Emission factors'!$K$3:$K$381&amp;'Emission factors'!$L$3:$L$381,0),MATCH(V$52,'Emission factors'!$K$2:$V$2,0)))*$I101)</f>
        <v/>
      </c>
      <c r="W101" s="335"/>
      <c r="X101" s="1" cm="1">
        <f t="array" ref="X101">IF(OR(ISERROR(B101:V101)),1,0)</f>
        <v>0</v>
      </c>
      <c r="Y101" s="1">
        <f t="shared" si="3"/>
        <v>0</v>
      </c>
    </row>
    <row r="102" spans="2:25" ht="15" thickBot="1" x14ac:dyDescent="0.4">
      <c r="B102" s="198"/>
      <c r="C102" s="199"/>
      <c r="D102" s="6"/>
      <c r="E102" s="199"/>
      <c r="F102" s="179" t="str">
        <f>IF(E102="","",INDEX(Methodologytier,MATCH(B$82,Lists!$AZ$4:$AZ$32,0),MATCH(E102,Lists!$BA$3:$BC$3,0)))</f>
        <v/>
      </c>
      <c r="G102" s="148"/>
      <c r="H102" s="199"/>
      <c r="I102" s="38" t="str" cm="1">
        <f t="array" ref="I102">IF(OR($B102="",$C102="",H102=""),"",IF(H102=J102,G102,(INDEX('Emission factors'!$K$3:$V$381,MATCH($B102&amp;$C102,'Emission factors'!$K$3:$K$381&amp;'Emission factors'!$L$3:$L$381,0),MATCH($I$52,'Emission factors'!$K$2:$V$2,0)))*G102))</f>
        <v/>
      </c>
      <c r="J102" s="35" t="str" cm="1">
        <f t="array" ref="J102">IF(OR($B102="",$C102="",ProjectWasteTable[[#Headers],[Units]]=""),"",INDEX('Emission factors'!$K$3:$V$381,MATCH($B102&amp;$C102,'Emission factors'!$K$3:$K$381&amp;'Emission factors'!$L$3:$L$381,0),MATCH($J$83,'Emission factors'!$K$2:$V$2,0)))</f>
        <v/>
      </c>
      <c r="K102" s="35" t="str" cm="1">
        <f t="array" ref="K102">IF(OR(B102="",C102="",ProjectWasteTable[[#This Row],[Data]]=""),"",INDEX('Emission factors'!$K$3:$V$381,MATCH($B102&amp;$C102,'Emission factors'!$K$3:$K$381&amp;'Emission factors'!$L$3:$L$381,0),MATCH($K$52,'Emission factors'!$K$2:$V$2,0)))</f>
        <v/>
      </c>
      <c r="L102" s="38">
        <f>SUM(ProjectWasteTable[[#This Row],[Direct]:[Indirect WTT]])</f>
        <v>0</v>
      </c>
      <c r="M102" s="201"/>
      <c r="N102" s="199"/>
      <c r="O102" s="302" t="str" cm="1">
        <f t="array" ref="O102">IF(OR($B102="",$G102="",ProjectWasteTable[Converted data]=""),"",(INDEX('Emission factors'!$K$3:$V$381,MATCH($B102&amp;$C102,'Emission factors'!$K$3:$K$381&amp;'Emission factors'!$L$3:$L$381,0),MATCH(O$52,'Emission factors'!$K$2:$V$2,0)))*$I102)</f>
        <v/>
      </c>
      <c r="P102" s="302" t="str" cm="1">
        <f t="array" ref="P102">IF(OR($B102="",$G102="",ProjectWasteTable[[#This Row],[Converted data]]=""),"",(INDEX('Emission factors'!$K$3:$V$381,MATCH($B102&amp;$C102,'Emission factors'!$K$3:$K$381&amp;'Emission factors'!$L$3:$L$381,0),MATCH(P$52,'Emission factors'!$K$2:$V$2,0)))*$I102)</f>
        <v/>
      </c>
      <c r="Q102" s="302" t="str" cm="1">
        <f t="array" ref="Q102">IF(OR($B102="",$G102="",ProjectWasteTable[[#This Row],[Converted data]]=""),"",(INDEX('Emission factors'!$K$3:$V$381,MATCH($B102&amp;$C102,'Emission factors'!$K$3:$K$381&amp;'Emission factors'!$L$3:$L$381,0),MATCH(Q$52,'Emission factors'!$K$2:$V$2,0)))*$I102)</f>
        <v/>
      </c>
      <c r="R102" s="302" t="str" cm="1">
        <f t="array" ref="R102">IF(OR($B102="",$G102="",ProjectWasteTable[[#This Row],[Converted data]]=""),"",(INDEX('Emission factors'!$K$3:$V$381,MATCH($B102&amp;$C102,'Emission factors'!$K$3:$K$381&amp;'Emission factors'!$L$3:$L$381,0),MATCH(R$52,'Emission factors'!$K$2:$V$2,0)))*$I102)</f>
        <v/>
      </c>
      <c r="S102" s="302" t="str" cm="1">
        <f t="array" ref="S102">IF(OR($B102="",$G102="",ProjectWasteTable[[#This Row],[Converted data]]=""),"",(INDEX('Emission factors'!$K$3:$V$381,MATCH($B102&amp;$C102,'Emission factors'!$K$3:$K$381&amp;'Emission factors'!$L$3:$L$381,0),MATCH(S$52,'Emission factors'!$K$2:$V$2,0)))*$I102)</f>
        <v/>
      </c>
      <c r="T102" s="340" t="str">
        <f>IF(OR(ProjectWasteTable[[#This Row],[RSD]]="",ProjectWasteTable[[#This Row],[Total emissions]]=""),"",ProjectWasteTable[[#This Row],[Total emissions]]*(1+ProjectWasteTable[[#This Row],[RSD]]))</f>
        <v/>
      </c>
      <c r="U102" s="354" t="str">
        <f>IF(OR(ProjectWasteTable[[#This Row],[RSD]]="",ProjectWasteTable[[#This Row],[Total emissions]]=""), "",ProjectWasteTable[[#This Row],[Total emissions]]*(1-ProjectWasteTable[[#This Row],[RSD]]))</f>
        <v/>
      </c>
      <c r="V102" s="364" t="str" cm="1">
        <f t="array" ref="V102">IF(OR($B102="",$G102="",ProjectWasteTable[[#This Row],[Converted data]]=""),"",(INDEX('Emission factors'!$K$3:$V$381,MATCH($B102&amp;$C102,'Emission factors'!$K$3:$K$381&amp;'Emission factors'!$L$3:$L$381,0),MATCH(V$52,'Emission factors'!$K$2:$V$2,0)))*$I102)</f>
        <v/>
      </c>
      <c r="W102" s="335"/>
      <c r="X102" s="1" cm="1">
        <f t="array" ref="X102">IF(OR(ISERROR(B102:V102)),1,0)</f>
        <v>0</v>
      </c>
      <c r="Y102" s="1">
        <f t="shared" si="3"/>
        <v>0</v>
      </c>
    </row>
    <row r="103" spans="2:25" ht="15" thickBot="1" x14ac:dyDescent="0.4">
      <c r="B103" s="198"/>
      <c r="C103" s="199"/>
      <c r="D103" s="6"/>
      <c r="E103" s="199"/>
      <c r="F103" s="179" t="str">
        <f>IF(E103="","",INDEX(Methodologytier,MATCH(B$82,Lists!$AZ$4:$AZ$32,0),MATCH(E103,Lists!$BA$3:$BC$3,0)))</f>
        <v/>
      </c>
      <c r="G103" s="148"/>
      <c r="H103" s="199"/>
      <c r="I103" s="38" t="str" cm="1">
        <f t="array" ref="I103">IF(OR($B103="",$C103="",H103=""),"",IF(H103=J103,G103,(INDEX('Emission factors'!$K$3:$V$381,MATCH($B103&amp;$C103,'Emission factors'!$K$3:$K$381&amp;'Emission factors'!$L$3:$L$381,0),MATCH($I$52,'Emission factors'!$K$2:$V$2,0)))*G103))</f>
        <v/>
      </c>
      <c r="J103" s="35" t="str" cm="1">
        <f t="array" ref="J103">IF(OR($B103="",$C103="",ProjectWasteTable[[#Headers],[Units]]=""),"",INDEX('Emission factors'!$K$3:$V$381,MATCH($B103&amp;$C103,'Emission factors'!$K$3:$K$381&amp;'Emission factors'!$L$3:$L$381,0),MATCH($J$83,'Emission factors'!$K$2:$V$2,0)))</f>
        <v/>
      </c>
      <c r="K103" s="35" t="str" cm="1">
        <f t="array" ref="K103">IF(OR(B103="",C103="",ProjectWasteTable[[#This Row],[Data]]=""),"",INDEX('Emission factors'!$K$3:$V$381,MATCH($B103&amp;$C103,'Emission factors'!$K$3:$K$381&amp;'Emission factors'!$L$3:$L$381,0),MATCH($K$52,'Emission factors'!$K$2:$V$2,0)))</f>
        <v/>
      </c>
      <c r="L103" s="38">
        <f>SUM(ProjectWasteTable[[#This Row],[Direct]:[Indirect WTT]])</f>
        <v>0</v>
      </c>
      <c r="M103" s="201"/>
      <c r="N103" s="199"/>
      <c r="O103" s="302" t="str" cm="1">
        <f t="array" ref="O103">IF(OR($B103="",$G103="",ProjectWasteTable[Converted data]=""),"",(INDEX('Emission factors'!$K$3:$V$381,MATCH($B103&amp;$C103,'Emission factors'!$K$3:$K$381&amp;'Emission factors'!$L$3:$L$381,0),MATCH(O$52,'Emission factors'!$K$2:$V$2,0)))*$I103)</f>
        <v/>
      </c>
      <c r="P103" s="302" t="str" cm="1">
        <f t="array" ref="P103">IF(OR($B103="",$G103="",ProjectWasteTable[[#This Row],[Converted data]]=""),"",(INDEX('Emission factors'!$K$3:$V$381,MATCH($B103&amp;$C103,'Emission factors'!$K$3:$K$381&amp;'Emission factors'!$L$3:$L$381,0),MATCH(P$52,'Emission factors'!$K$2:$V$2,0)))*$I103)</f>
        <v/>
      </c>
      <c r="Q103" s="302" t="str" cm="1">
        <f t="array" ref="Q103">IF(OR($B103="",$G103="",ProjectWasteTable[[#This Row],[Converted data]]=""),"",(INDEX('Emission factors'!$K$3:$V$381,MATCH($B103&amp;$C103,'Emission factors'!$K$3:$K$381&amp;'Emission factors'!$L$3:$L$381,0),MATCH(Q$52,'Emission factors'!$K$2:$V$2,0)))*$I103)</f>
        <v/>
      </c>
      <c r="R103" s="302" t="str" cm="1">
        <f t="array" ref="R103">IF(OR($B103="",$G103="",ProjectWasteTable[[#This Row],[Converted data]]=""),"",(INDEX('Emission factors'!$K$3:$V$381,MATCH($B103&amp;$C103,'Emission factors'!$K$3:$K$381&amp;'Emission factors'!$L$3:$L$381,0),MATCH(R$52,'Emission factors'!$K$2:$V$2,0)))*$I103)</f>
        <v/>
      </c>
      <c r="S103" s="302" t="str" cm="1">
        <f t="array" ref="S103">IF(OR($B103="",$G103="",ProjectWasteTable[[#This Row],[Converted data]]=""),"",(INDEX('Emission factors'!$K$3:$V$381,MATCH($B103&amp;$C103,'Emission factors'!$K$3:$K$381&amp;'Emission factors'!$L$3:$L$381,0),MATCH(S$52,'Emission factors'!$K$2:$V$2,0)))*$I103)</f>
        <v/>
      </c>
      <c r="T103" s="340" t="str">
        <f>IF(OR(ProjectWasteTable[[#This Row],[RSD]]="",ProjectWasteTable[[#This Row],[Total emissions]]=""),"",ProjectWasteTable[[#This Row],[Total emissions]]*(1+ProjectWasteTable[[#This Row],[RSD]]))</f>
        <v/>
      </c>
      <c r="U103" s="354" t="str">
        <f>IF(OR(ProjectWasteTable[[#This Row],[RSD]]="",ProjectWasteTable[[#This Row],[Total emissions]]=""), "",ProjectWasteTable[[#This Row],[Total emissions]]*(1-ProjectWasteTable[[#This Row],[RSD]]))</f>
        <v/>
      </c>
      <c r="V103" s="364" t="str" cm="1">
        <f t="array" ref="V103">IF(OR($B103="",$G103="",ProjectWasteTable[[#This Row],[Converted data]]=""),"",(INDEX('Emission factors'!$K$3:$V$381,MATCH($B103&amp;$C103,'Emission factors'!$K$3:$K$381&amp;'Emission factors'!$L$3:$L$381,0),MATCH(V$52,'Emission factors'!$K$2:$V$2,0)))*$I103)</f>
        <v/>
      </c>
      <c r="W103" s="335"/>
      <c r="X103" s="1" cm="1">
        <f t="array" ref="X103">IF(OR(ISERROR(B103:V103)),1,0)</f>
        <v>0</v>
      </c>
      <c r="Y103" s="1">
        <f t="shared" si="3"/>
        <v>0</v>
      </c>
    </row>
    <row r="104" spans="2:25" ht="15" thickBot="1" x14ac:dyDescent="0.4">
      <c r="B104" s="198"/>
      <c r="C104" s="199"/>
      <c r="D104" s="6"/>
      <c r="E104" s="199"/>
      <c r="F104" s="179" t="str">
        <f>IF(E104="","",INDEX(Methodologytier,MATCH(B$82,Lists!$AZ$4:$AZ$32,0),MATCH(E104,Lists!$BA$3:$BC$3,0)))</f>
        <v/>
      </c>
      <c r="G104" s="148"/>
      <c r="H104" s="199"/>
      <c r="I104" s="38" t="str" cm="1">
        <f t="array" ref="I104">IF(OR($B104="",$C104="",H104=""),"",IF(H104=J104,G104,(INDEX('Emission factors'!$K$3:$V$381,MATCH($B104&amp;$C104,'Emission factors'!$K$3:$K$381&amp;'Emission factors'!$L$3:$L$381,0),MATCH($I$52,'Emission factors'!$K$2:$V$2,0)))*G104))</f>
        <v/>
      </c>
      <c r="J104" s="35" t="str" cm="1">
        <f t="array" ref="J104">IF(OR($B104="",$C104="",ProjectWasteTable[[#Headers],[Units]]=""),"",INDEX('Emission factors'!$K$3:$V$381,MATCH($B104&amp;$C104,'Emission factors'!$K$3:$K$381&amp;'Emission factors'!$L$3:$L$381,0),MATCH($J$83,'Emission factors'!$K$2:$V$2,0)))</f>
        <v/>
      </c>
      <c r="K104" s="35" t="str" cm="1">
        <f t="array" ref="K104">IF(OR(B104="",C104="",ProjectWasteTable[[#This Row],[Data]]=""),"",INDEX('Emission factors'!$K$3:$V$381,MATCH($B104&amp;$C104,'Emission factors'!$K$3:$K$381&amp;'Emission factors'!$L$3:$L$381,0),MATCH($K$52,'Emission factors'!$K$2:$V$2,0)))</f>
        <v/>
      </c>
      <c r="L104" s="38">
        <f>SUM(ProjectWasteTable[[#This Row],[Direct]:[Indirect WTT]])</f>
        <v>0</v>
      </c>
      <c r="M104" s="201"/>
      <c r="N104" s="199"/>
      <c r="O104" s="302" t="str" cm="1">
        <f t="array" ref="O104">IF(OR($B104="",$G104="",ProjectWasteTable[Converted data]=""),"",(INDEX('Emission factors'!$K$3:$V$381,MATCH($B104&amp;$C104,'Emission factors'!$K$3:$K$381&amp;'Emission factors'!$L$3:$L$381,0),MATCH(O$52,'Emission factors'!$K$2:$V$2,0)))*$I104)</f>
        <v/>
      </c>
      <c r="P104" s="302" t="str" cm="1">
        <f t="array" ref="P104">IF(OR($B104="",$G104="",ProjectWasteTable[[#This Row],[Converted data]]=""),"",(INDEX('Emission factors'!$K$3:$V$381,MATCH($B104&amp;$C104,'Emission factors'!$K$3:$K$381&amp;'Emission factors'!$L$3:$L$381,0),MATCH(P$52,'Emission factors'!$K$2:$V$2,0)))*$I104)</f>
        <v/>
      </c>
      <c r="Q104" s="302" t="str" cm="1">
        <f t="array" ref="Q104">IF(OR($B104="",$G104="",ProjectWasteTable[[#This Row],[Converted data]]=""),"",(INDEX('Emission factors'!$K$3:$V$381,MATCH($B104&amp;$C104,'Emission factors'!$K$3:$K$381&amp;'Emission factors'!$L$3:$L$381,0),MATCH(Q$52,'Emission factors'!$K$2:$V$2,0)))*$I104)</f>
        <v/>
      </c>
      <c r="R104" s="302" t="str" cm="1">
        <f t="array" ref="R104">IF(OR($B104="",$G104="",ProjectWasteTable[[#This Row],[Converted data]]=""),"",(INDEX('Emission factors'!$K$3:$V$381,MATCH($B104&amp;$C104,'Emission factors'!$K$3:$K$381&amp;'Emission factors'!$L$3:$L$381,0),MATCH(R$52,'Emission factors'!$K$2:$V$2,0)))*$I104)</f>
        <v/>
      </c>
      <c r="S104" s="302" t="str" cm="1">
        <f t="array" ref="S104">IF(OR($B104="",$G104="",ProjectWasteTable[[#This Row],[Converted data]]=""),"",(INDEX('Emission factors'!$K$3:$V$381,MATCH($B104&amp;$C104,'Emission factors'!$K$3:$K$381&amp;'Emission factors'!$L$3:$L$381,0),MATCH(S$52,'Emission factors'!$K$2:$V$2,0)))*$I104)</f>
        <v/>
      </c>
      <c r="T104" s="340" t="str">
        <f>IF(OR(ProjectWasteTable[[#This Row],[RSD]]="",ProjectWasteTable[[#This Row],[Total emissions]]=""),"",ProjectWasteTable[[#This Row],[Total emissions]]*(1+ProjectWasteTable[[#This Row],[RSD]]))</f>
        <v/>
      </c>
      <c r="U104" s="354" t="str">
        <f>IF(OR(ProjectWasteTable[[#This Row],[RSD]]="",ProjectWasteTable[[#This Row],[Total emissions]]=""), "",ProjectWasteTable[[#This Row],[Total emissions]]*(1-ProjectWasteTable[[#This Row],[RSD]]))</f>
        <v/>
      </c>
      <c r="V104" s="364" t="str" cm="1">
        <f t="array" ref="V104">IF(OR($B104="",$G104="",ProjectWasteTable[[#This Row],[Converted data]]=""),"",(INDEX('Emission factors'!$K$3:$V$381,MATCH($B104&amp;$C104,'Emission factors'!$K$3:$K$381&amp;'Emission factors'!$L$3:$L$381,0),MATCH(V$52,'Emission factors'!$K$2:$V$2,0)))*$I104)</f>
        <v/>
      </c>
      <c r="W104" s="335"/>
      <c r="X104" s="1" cm="1">
        <f t="array" ref="X104">IF(OR(ISERROR(B104:V104)),1,0)</f>
        <v>0</v>
      </c>
      <c r="Y104" s="1">
        <f t="shared" si="3"/>
        <v>0</v>
      </c>
    </row>
    <row r="105" spans="2:25" ht="15" thickBot="1" x14ac:dyDescent="0.4">
      <c r="B105" s="198"/>
      <c r="C105" s="199"/>
      <c r="D105" s="6"/>
      <c r="E105" s="200"/>
      <c r="F105" s="179" t="str">
        <f>IF(E105="","",INDEX(Methodologytier,MATCH(B$82,Lists!$AZ$4:$AZ$32,0),MATCH(E105,Lists!$BA$3:$BC$3,0)))</f>
        <v/>
      </c>
      <c r="G105" s="148"/>
      <c r="H105" s="200"/>
      <c r="I105" s="38" t="str" cm="1">
        <f t="array" ref="I105">IF(OR($B105="",$C105="",H105=""),"",IF(H105=J105,G105,(INDEX('Emission factors'!$K$3:$V$381,MATCH($B105&amp;$C105,'Emission factors'!$K$3:$K$381&amp;'Emission factors'!$L$3:$L$381,0),MATCH($I$52,'Emission factors'!$K$2:$V$2,0)))*G105))</f>
        <v/>
      </c>
      <c r="J105" s="35" t="str" cm="1">
        <f t="array" ref="J105">IF(OR($B105="",$C105="",ProjectWasteTable[[#Headers],[Units]]=""),"",INDEX('Emission factors'!$K$3:$V$381,MATCH($B105&amp;$C105,'Emission factors'!$K$3:$K$381&amp;'Emission factors'!$L$3:$L$381,0),MATCH($J$83,'Emission factors'!$K$2:$V$2,0)))</f>
        <v/>
      </c>
      <c r="K105" s="35" t="str" cm="1">
        <f t="array" ref="K105">IF(OR(B105="",C105="",ProjectWasteTable[[#This Row],[Data]]=""),"",INDEX('Emission factors'!$K$3:$V$381,MATCH($B105&amp;$C105,'Emission factors'!$K$3:$K$381&amp;'Emission factors'!$L$3:$L$381,0),MATCH($K$52,'Emission factors'!$K$2:$V$2,0)))</f>
        <v/>
      </c>
      <c r="L105" s="38">
        <f>SUM(ProjectWasteTable[[#This Row],[Direct]:[Indirect WTT]])</f>
        <v>0</v>
      </c>
      <c r="M105" s="202"/>
      <c r="N105" s="200"/>
      <c r="O105" s="302" t="str" cm="1">
        <f t="array" ref="O105">IF(OR($B105="",$G105="",ProjectWasteTable[Converted data]=""),"",(INDEX('Emission factors'!$K$3:$V$381,MATCH($B105&amp;$C105,'Emission factors'!$K$3:$K$381&amp;'Emission factors'!$L$3:$L$381,0),MATCH(O$52,'Emission factors'!$K$2:$V$2,0)))*$I105)</f>
        <v/>
      </c>
      <c r="P105" s="302" t="str" cm="1">
        <f t="array" ref="P105">IF(OR($B105="",$G105="",ProjectWasteTable[[#This Row],[Converted data]]=""),"",(INDEX('Emission factors'!$K$3:$V$381,MATCH($B105&amp;$C105,'Emission factors'!$K$3:$K$381&amp;'Emission factors'!$L$3:$L$381,0),MATCH(P$52,'Emission factors'!$K$2:$V$2,0)))*$I105)</f>
        <v/>
      </c>
      <c r="Q105" s="302" t="str" cm="1">
        <f t="array" ref="Q105">IF(OR($B105="",$G105="",ProjectWasteTable[[#This Row],[Converted data]]=""),"",(INDEX('Emission factors'!$K$3:$V$381,MATCH($B105&amp;$C105,'Emission factors'!$K$3:$K$381&amp;'Emission factors'!$L$3:$L$381,0),MATCH(Q$52,'Emission factors'!$K$2:$V$2,0)))*$I105)</f>
        <v/>
      </c>
      <c r="R105" s="302" t="str" cm="1">
        <f t="array" ref="R105">IF(OR($B105="",$G105="",ProjectWasteTable[[#This Row],[Converted data]]=""),"",(INDEX('Emission factors'!$K$3:$V$381,MATCH($B105&amp;$C105,'Emission factors'!$K$3:$K$381&amp;'Emission factors'!$L$3:$L$381,0),MATCH(R$52,'Emission factors'!$K$2:$V$2,0)))*$I105)</f>
        <v/>
      </c>
      <c r="S105" s="302" t="str" cm="1">
        <f t="array" ref="S105">IF(OR($B105="",$G105="",ProjectWasteTable[[#This Row],[Converted data]]=""),"",(INDEX('Emission factors'!$K$3:$V$381,MATCH($B105&amp;$C105,'Emission factors'!$K$3:$K$381&amp;'Emission factors'!$L$3:$L$381,0),MATCH(S$52,'Emission factors'!$K$2:$V$2,0)))*$I105)</f>
        <v/>
      </c>
      <c r="T105" s="340" t="str">
        <f>IF(OR(ProjectWasteTable[[#This Row],[RSD]]="",ProjectWasteTable[[#This Row],[Total emissions]]=""),"",ProjectWasteTable[[#This Row],[Total emissions]]*(1+ProjectWasteTable[[#This Row],[RSD]]))</f>
        <v/>
      </c>
      <c r="U105" s="355" t="str">
        <f>IF(OR(ProjectWasteTable[[#This Row],[RSD]]="",ProjectWasteTable[[#This Row],[Total emissions]]=""), "",ProjectWasteTable[[#This Row],[Total emissions]]*(1-ProjectWasteTable[[#This Row],[RSD]]))</f>
        <v/>
      </c>
      <c r="V105" s="365" t="str" cm="1">
        <f t="array" ref="V105">IF(OR($B105="",$G105="",ProjectWasteTable[[#This Row],[Converted data]]=""),"",(INDEX('Emission factors'!$K$3:$V$381,MATCH($B105&amp;$C105,'Emission factors'!$K$3:$K$381&amp;'Emission factors'!$L$3:$L$381,0),MATCH(V$52,'Emission factors'!$K$2:$V$2,0)))*$I105)</f>
        <v/>
      </c>
      <c r="W105" s="335"/>
      <c r="X105" s="1" cm="1">
        <f t="array" ref="X105">IF(OR(ISERROR(B105:V105)),1,0)</f>
        <v>0</v>
      </c>
      <c r="Y105" s="1">
        <f t="shared" si="3"/>
        <v>0</v>
      </c>
    </row>
    <row r="106" spans="2:25" x14ac:dyDescent="0.35">
      <c r="T106" s="33"/>
      <c r="U106" s="276"/>
    </row>
    <row r="107" spans="2:25" x14ac:dyDescent="0.35">
      <c r="B107" s="18"/>
    </row>
  </sheetData>
  <sheetProtection algorithmName="SHA-512" hashValue="GJEbme7s5TLpAEenFQ6GggOn28A/ukNs9k43SDs3OdC7ySQd5F/n5JiIS8h1PzK90rmaBVwyaILez3mGf1OB4w==" saltValue="zn8ur6I20H9XQeor4+vowQ==" spinCount="100000" sheet="1" objects="1" scenarios="1"/>
  <mergeCells count="8">
    <mergeCell ref="B4:L4"/>
    <mergeCell ref="B3:L3"/>
    <mergeCell ref="Q1:R1"/>
    <mergeCell ref="Q2:R2"/>
    <mergeCell ref="N2:P2"/>
    <mergeCell ref="N1:P1"/>
    <mergeCell ref="B2:F2"/>
    <mergeCell ref="G2:K2"/>
  </mergeCells>
  <conditionalFormatting sqref="B8:V48 B53:V80 B84:V105">
    <cfRule type="expression" dxfId="28" priority="2">
      <formula>IF($X8=1,1,0)</formula>
    </cfRule>
  </conditionalFormatting>
  <conditionalFormatting sqref="C51">
    <cfRule type="expression" dxfId="27" priority="1">
      <formula>IF(AND($C$51="",$Y$52&gt;0),1,0)</formula>
    </cfRule>
  </conditionalFormatting>
  <conditionalFormatting sqref="H6">
    <cfRule type="containsText" dxfId="26" priority="7" operator="containsText" text="There are errors">
      <formula>NOT(ISERROR(SEARCH("There are errors",H6)))</formula>
    </cfRule>
    <cfRule type="containsText" dxfId="25" priority="8" operator="containsText" text="No errors in this table">
      <formula>NOT(ISERROR(SEARCH("No errors in this table",H6)))</formula>
    </cfRule>
  </conditionalFormatting>
  <conditionalFormatting sqref="H51">
    <cfRule type="containsText" dxfId="24" priority="5" operator="containsText" text="There are errors">
      <formula>NOT(ISERROR(SEARCH("There are errors",H51)))</formula>
    </cfRule>
    <cfRule type="containsText" dxfId="23" priority="6" operator="containsText" text="No errors in this table">
      <formula>NOT(ISERROR(SEARCH("No errors in this table",H51)))</formula>
    </cfRule>
  </conditionalFormatting>
  <conditionalFormatting sqref="H82">
    <cfRule type="containsText" dxfId="22" priority="3" operator="containsText" text="There are errors">
      <formula>NOT(ISERROR(SEARCH("There are errors",H82)))</formula>
    </cfRule>
    <cfRule type="containsText" dxfId="21" priority="4" operator="containsText" text="No errors in this table">
      <formula>NOT(ISERROR(SEARCH("No errors in this table",H82)))</formula>
    </cfRule>
  </conditionalFormatting>
  <dataValidations count="10">
    <dataValidation type="list" allowBlank="1" showInputMessage="1" showErrorMessage="1" sqref="B53:B80" xr:uid="{00000000-0002-0000-0500-000000000000}">
      <formula1>INDIRECT(SUBSTITUTE($B$50," ",""))</formula1>
    </dataValidation>
    <dataValidation type="list" allowBlank="1" showInputMessage="1" showErrorMessage="1" sqref="E8:E48 E96:E105" xr:uid="{00000000-0002-0000-0500-000001000000}">
      <formula1>Methodologyall</formula1>
    </dataValidation>
    <dataValidation type="list" allowBlank="1" showInputMessage="1" showErrorMessage="1" sqref="N8:N48 N53:N80 N84:N105" xr:uid="{00000000-0002-0000-0500-000002000000}">
      <formula1>Ease</formula1>
    </dataValidation>
    <dataValidation type="list" allowBlank="1" showInputMessage="1" showErrorMessage="1" sqref="H8:H48 H84:H105 H53:H80" xr:uid="{00000000-0002-0000-0500-000003000000}">
      <formula1>Wasteunits</formula1>
    </dataValidation>
    <dataValidation type="list" allowBlank="1" showInputMessage="1" showErrorMessage="1" sqref="C8:C48 C53:C80 C84:C105" xr:uid="{00000000-0002-0000-0500-000004000000}">
      <formula1>INDIRECT(SUBSTITUTE(B8," ",""))</formula1>
    </dataValidation>
    <dataValidation type="decimal" operator="greaterThan" allowBlank="1" showInputMessage="1" showErrorMessage="1" errorTitle="Numeric data" error="Please enter a number greater than zero" sqref="G8:G48 G53:G80 G84:G105" xr:uid="{00000000-0002-0000-0500-000005000000}">
      <formula1>0</formula1>
    </dataValidation>
    <dataValidation type="list" allowBlank="1" showInputMessage="1" showErrorMessage="1" sqref="B8:B48" xr:uid="{00000000-0002-0000-0500-000006000000}">
      <formula1>INDIRECT(SUBSTITUTE($B$6," ",""))</formula1>
    </dataValidation>
    <dataValidation type="list" allowBlank="1" showInputMessage="1" showErrorMessage="1" sqref="B84:B105" xr:uid="{00000000-0002-0000-0500-000007000000}">
      <formula1>INDIRECT(SUBSTITUTE($B$82," ",""))</formula1>
    </dataValidation>
    <dataValidation type="list" allowBlank="1" showInputMessage="1" showErrorMessage="1" sqref="C51" xr:uid="{04FB5FCC-EAC6-487C-819F-F35D18128655}">
      <formula1>Yesno</formula1>
    </dataValidation>
    <dataValidation type="list" allowBlank="1" showInputMessage="1" showErrorMessage="1" sqref="E53:E80 E84:E95" xr:uid="{3A84C8F8-E101-4045-9F47-F5F050335718}">
      <formula1>"Tier 3"</formula1>
    </dataValidation>
  </dataValidations>
  <pageMargins left="0.7" right="0.7" top="0.75" bottom="0.75" header="0.3" footer="0.3"/>
  <pageSetup paperSize="9" orientation="portrait" r:id="rId1"/>
  <tableParts count="3">
    <tablePart r:id="rId2"/>
    <tablePart r:id="rId3"/>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27CCF9"/>
  </sheetPr>
  <dimension ref="A1:Y82"/>
  <sheetViews>
    <sheetView workbookViewId="0">
      <selection activeCell="B1" sqref="B1"/>
    </sheetView>
  </sheetViews>
  <sheetFormatPr defaultColWidth="8.54296875" defaultRowHeight="14.5" x14ac:dyDescent="0.35"/>
  <cols>
    <col min="1" max="1" width="2.90625" style="1" customWidth="1"/>
    <col min="2" max="2" width="37.453125" style="1" customWidth="1"/>
    <col min="3" max="3" width="11.54296875" style="1" customWidth="1"/>
    <col min="4" max="4" width="16.6328125" style="1" customWidth="1"/>
    <col min="5" max="5" width="18.6328125" style="1" customWidth="1"/>
    <col min="6" max="6" width="26.81640625" style="1" customWidth="1"/>
    <col min="7" max="7" width="16" style="1" customWidth="1"/>
    <col min="8" max="8" width="7.6328125" style="1" customWidth="1"/>
    <col min="9" max="9" width="15.1796875" style="1" customWidth="1"/>
    <col min="10" max="10" width="10.90625" style="1" customWidth="1"/>
    <col min="11" max="11" width="25.81640625" style="1" customWidth="1"/>
    <col min="12" max="12" width="26.453125" style="1" customWidth="1"/>
    <col min="13" max="13" width="18.453125" style="1" customWidth="1"/>
    <col min="14" max="14" width="16.36328125" style="1" customWidth="1"/>
    <col min="15" max="15" width="8.54296875" style="1"/>
    <col min="16" max="16" width="9.81640625" style="1" customWidth="1"/>
    <col min="17" max="23" width="8.54296875" style="1"/>
    <col min="24" max="25" width="8.54296875" style="1" hidden="1" customWidth="1"/>
    <col min="26" max="16384" width="8.54296875" style="1"/>
  </cols>
  <sheetData>
    <row r="1" spans="1:25" ht="15" thickBot="1" x14ac:dyDescent="0.4">
      <c r="G1" s="161" t="s">
        <v>108</v>
      </c>
      <c r="K1" s="164" t="s">
        <v>8</v>
      </c>
      <c r="L1" s="165" t="s">
        <v>12</v>
      </c>
    </row>
    <row r="2" spans="1:25" ht="16" customHeight="1" thickBot="1" x14ac:dyDescent="0.4">
      <c r="B2" s="553" t="s">
        <v>1149</v>
      </c>
      <c r="C2" s="554"/>
      <c r="D2" s="554"/>
      <c r="E2" s="554"/>
      <c r="F2" s="555"/>
      <c r="G2" s="162"/>
      <c r="K2" s="163" t="s">
        <v>10</v>
      </c>
      <c r="L2" s="166" t="s">
        <v>13</v>
      </c>
    </row>
    <row r="3" spans="1:25" ht="76.25" customHeight="1" x14ac:dyDescent="0.35">
      <c r="B3" s="485" t="s">
        <v>1150</v>
      </c>
      <c r="C3" s="486"/>
      <c r="D3" s="486"/>
      <c r="E3" s="486"/>
      <c r="F3" s="486"/>
      <c r="G3" s="486"/>
      <c r="H3" s="486"/>
      <c r="I3" s="486"/>
      <c r="J3" s="486"/>
      <c r="K3" s="486"/>
      <c r="L3" s="536"/>
    </row>
    <row r="4" spans="1:25" ht="121.75" customHeight="1" x14ac:dyDescent="0.35">
      <c r="B4" s="485" t="s">
        <v>1060</v>
      </c>
      <c r="C4" s="486"/>
      <c r="D4" s="486"/>
      <c r="E4" s="486"/>
      <c r="F4" s="486"/>
      <c r="G4" s="486"/>
      <c r="H4" s="486"/>
      <c r="I4" s="486"/>
      <c r="J4" s="486"/>
      <c r="K4" s="486"/>
      <c r="L4" s="536"/>
    </row>
    <row r="5" spans="1:25" ht="19" customHeight="1" thickBot="1" x14ac:dyDescent="0.5">
      <c r="A5" s="32"/>
      <c r="B5" s="103" t="s">
        <v>175</v>
      </c>
      <c r="C5" s="66"/>
    </row>
    <row r="6" spans="1:25" ht="33.65" customHeight="1" thickBot="1" x14ac:dyDescent="0.4">
      <c r="B6" s="495" t="s">
        <v>176</v>
      </c>
      <c r="C6" s="556"/>
      <c r="D6" s="3" t="s">
        <v>177</v>
      </c>
    </row>
    <row r="7" spans="1:25" ht="26.5" customHeight="1" thickBot="1" x14ac:dyDescent="0.4">
      <c r="B7" s="557" t="s">
        <v>178</v>
      </c>
      <c r="C7" s="558"/>
      <c r="D7" s="204"/>
    </row>
    <row r="8" spans="1:25" ht="39.65" customHeight="1" thickBot="1" x14ac:dyDescent="0.4">
      <c r="B8" s="559" t="s">
        <v>179</v>
      </c>
      <c r="C8" s="560"/>
      <c r="D8" s="204"/>
    </row>
    <row r="9" spans="1:25" ht="52.5" customHeight="1" thickBot="1" x14ac:dyDescent="0.4">
      <c r="B9" s="561" t="s">
        <v>180</v>
      </c>
      <c r="C9" s="562"/>
      <c r="D9" s="204"/>
    </row>
    <row r="10" spans="1:25" ht="39.65" customHeight="1" thickBot="1" x14ac:dyDescent="0.4">
      <c r="B10" s="563" t="s">
        <v>181</v>
      </c>
      <c r="C10" s="564"/>
      <c r="D10" s="204"/>
    </row>
    <row r="11" spans="1:25" ht="39.65" customHeight="1" thickBot="1" x14ac:dyDescent="0.4">
      <c r="B11" s="565" t="s">
        <v>182</v>
      </c>
      <c r="C11" s="566"/>
      <c r="D11" s="205"/>
      <c r="F11" s="104" t="s">
        <v>183</v>
      </c>
    </row>
    <row r="12" spans="1:25" ht="39.65" customHeight="1" thickBot="1" x14ac:dyDescent="0.4">
      <c r="B12" s="567" t="s">
        <v>61</v>
      </c>
      <c r="C12" s="568"/>
      <c r="D12" s="101" t="str">
        <f>IF(SUM(D7:D11)=0,"",SUM(D7:D11))</f>
        <v/>
      </c>
      <c r="F12" s="105" t="str">
        <f>IF(D12="","",IF(D12=0,"No land assets within boundary, no further action required",IF(D12&lt;10,"Minimal land assets within boundary - manage for biodiversity and recreation",IF(D12&gt;=10,"Complete table below"))))</f>
        <v/>
      </c>
    </row>
    <row r="13" spans="1:25" ht="18.649999999999999" customHeight="1" x14ac:dyDescent="0.35"/>
    <row r="14" spans="1:25" ht="19" thickBot="1" x14ac:dyDescent="0.5">
      <c r="B14" s="103" t="s">
        <v>184</v>
      </c>
      <c r="C14" s="9"/>
      <c r="F14"/>
      <c r="G14" s="441" t="str">
        <f>IF($Y$15=0,"No data entered",IF($X$15=0,"No errors in this table","There are errors in this table see highlighted row(s)"))</f>
        <v>No data entered</v>
      </c>
      <c r="X14" s="15" t="s">
        <v>1188</v>
      </c>
      <c r="Y14" s="15" t="s">
        <v>1189</v>
      </c>
    </row>
    <row r="15" spans="1:25" s="397" customFormat="1" ht="65.5" thickBot="1" x14ac:dyDescent="0.4">
      <c r="B15" s="3" t="s">
        <v>185</v>
      </c>
      <c r="C15" s="3" t="s">
        <v>186</v>
      </c>
      <c r="D15" s="3" t="s">
        <v>187</v>
      </c>
      <c r="E15" s="3" t="s">
        <v>115</v>
      </c>
      <c r="F15" s="3" t="s">
        <v>190</v>
      </c>
      <c r="G15" s="3" t="s">
        <v>177</v>
      </c>
      <c r="H15" s="3" t="s">
        <v>1098</v>
      </c>
      <c r="I15" s="3" t="s">
        <v>119</v>
      </c>
      <c r="J15" s="3" t="s">
        <v>120</v>
      </c>
      <c r="K15" s="8" t="s">
        <v>188</v>
      </c>
      <c r="L15" s="7" t="s">
        <v>189</v>
      </c>
      <c r="M15" s="3" t="s">
        <v>191</v>
      </c>
      <c r="N15" s="3" t="s">
        <v>123</v>
      </c>
      <c r="O15" s="3" t="s">
        <v>59</v>
      </c>
      <c r="P15" s="3" t="s">
        <v>124</v>
      </c>
      <c r="Q15" s="3" t="s">
        <v>125</v>
      </c>
      <c r="R15" s="3" t="s">
        <v>126</v>
      </c>
      <c r="S15" s="3" t="s">
        <v>127</v>
      </c>
      <c r="T15" s="3" t="s">
        <v>67</v>
      </c>
      <c r="U15" s="3" t="s">
        <v>68</v>
      </c>
      <c r="V15" s="3" t="s">
        <v>63</v>
      </c>
      <c r="X15" s="15">
        <f>SUM(X16:X36)</f>
        <v>0</v>
      </c>
      <c r="Y15" s="15">
        <f>SUM(Y16:Y36)</f>
        <v>0</v>
      </c>
    </row>
    <row r="16" spans="1:25" ht="15" thickBot="1" x14ac:dyDescent="0.4">
      <c r="B16" s="206"/>
      <c r="C16" s="206"/>
      <c r="D16" s="206"/>
      <c r="E16" s="436" t="s">
        <v>134</v>
      </c>
      <c r="F16" s="251" t="str">
        <f>IF(LandTier1Table[[#This Row],[Total  kg CO2e]]="", " ", 0.25)</f>
        <v xml:space="preserve"> </v>
      </c>
      <c r="G16" s="148"/>
      <c r="H16" s="425" t="s">
        <v>1100</v>
      </c>
      <c r="I16" s="425">
        <f>LandTier1Table[[#This Row],[Land area in hectares (ha)]]</f>
        <v>0</v>
      </c>
      <c r="J16" s="425" t="s">
        <v>1100</v>
      </c>
      <c r="K16" s="426" t="str" cm="1">
        <f t="array" ref="K16">IF(OR(B16="",C16="",D16="",G16=""),"",INDEX('Land Emission Factors'!$E$9:$J$20,MATCH(B16&amp;C16,'Land Emission Factors'!$C$9:$C$20&amp;'Land Emission Factors'!$D$9:$D$20,0),MATCH('Land use &amp; agriculture'!D16,'Land Emission Factors'!$E$8:$J$8,0)))</f>
        <v/>
      </c>
      <c r="L16" s="415" t="str">
        <f t="shared" ref="L16:L36" si="0">IF(OR(B16="",C16="",D16="",G16="",K16="No emission factor available"),"",G16*K16*1000)</f>
        <v/>
      </c>
      <c r="M16" s="479"/>
      <c r="N16" s="477"/>
      <c r="O16" s="47">
        <v>0</v>
      </c>
      <c r="P16" s="47">
        <v>0</v>
      </c>
      <c r="Q16" s="47">
        <v>0</v>
      </c>
      <c r="R16" s="47">
        <v>0</v>
      </c>
      <c r="S16" s="47">
        <v>0</v>
      </c>
      <c r="T16" s="47" t="str">
        <f>IF(LandTier1Table[[#This Row],[Total  kg CO2e]]="", "",(LandTier1Table[[#This Row],[Total  kg CO2e]]*(1+LandTier1Table[[#This Row],[RSD estimate (+/-%)]])))</f>
        <v/>
      </c>
      <c r="U16" s="47" t="str">
        <f>IF(LandTier1Table[[#This Row],[Total  kg CO2e]]="", "",(LandTier1Table[[#This Row],[Total  kg CO2e]]*(1-LandTier1Table[[#This Row],[RSD estimate (+/-%)]])))</f>
        <v/>
      </c>
      <c r="V16" s="47" t="str">
        <f>LandTier1Table[[#This Row],[Total  kg CO2e]]</f>
        <v/>
      </c>
      <c r="X16" s="1" cm="1">
        <f t="array" ref="X16">IF(OR(ISERROR(B16:V16)),1,0)</f>
        <v>0</v>
      </c>
      <c r="Y16" s="1">
        <f>IF(AND(D16="",G16="",B16=""),0,1)</f>
        <v>0</v>
      </c>
    </row>
    <row r="17" spans="2:25" ht="15" thickBot="1" x14ac:dyDescent="0.4">
      <c r="B17" s="206"/>
      <c r="C17" s="206"/>
      <c r="D17" s="206"/>
      <c r="E17" s="436" t="s">
        <v>134</v>
      </c>
      <c r="F17" s="251" t="str">
        <f>IF(LandTier1Table[[#This Row],[Total  kg CO2e]]="", " ", 0.25)</f>
        <v xml:space="preserve"> </v>
      </c>
      <c r="G17" s="148"/>
      <c r="H17" s="425" t="s">
        <v>1100</v>
      </c>
      <c r="I17" s="425">
        <f>LandTier1Table[[#This Row],[Land area in hectares (ha)]]</f>
        <v>0</v>
      </c>
      <c r="J17" s="425" t="s">
        <v>1100</v>
      </c>
      <c r="K17" s="426" t="str" cm="1">
        <f t="array" ref="K17">IF(OR(B17="",C17="",D17="",G17=""),"",INDEX('Land Emission Factors'!$E$9:$J$20,MATCH(B17&amp;C17,'Land Emission Factors'!$C$9:$C$20&amp;'Land Emission Factors'!$D$9:$D$20,0),MATCH('Land use &amp; agriculture'!D17,'Land Emission Factors'!$E$8:$J$8,0)))</f>
        <v/>
      </c>
      <c r="L17" s="415" t="str">
        <f t="shared" si="0"/>
        <v/>
      </c>
      <c r="M17" s="479"/>
      <c r="N17" s="477"/>
      <c r="O17" s="47">
        <v>0</v>
      </c>
      <c r="P17" s="47">
        <v>0</v>
      </c>
      <c r="Q17" s="47">
        <v>0</v>
      </c>
      <c r="R17" s="47">
        <v>0</v>
      </c>
      <c r="S17" s="47">
        <v>0</v>
      </c>
      <c r="T17" s="47" t="str">
        <f>IF(LandTier1Table[[#This Row],[Total  kg CO2e]]="", "",(LandTier1Table[[#This Row],[Total  kg CO2e]]*(1+LandTier1Table[[#This Row],[RSD estimate (+/-%)]])))</f>
        <v/>
      </c>
      <c r="U17" s="47" t="str">
        <f>IF(LandTier1Table[[#This Row],[Total  kg CO2e]]="", "",(LandTier1Table[[#This Row],[Total  kg CO2e]]*(1-LandTier1Table[[#This Row],[RSD estimate (+/-%)]])))</f>
        <v/>
      </c>
      <c r="V17" s="47" t="str">
        <f>LandTier1Table[[#This Row],[Total  kg CO2e]]</f>
        <v/>
      </c>
      <c r="X17" s="1" cm="1">
        <f t="array" ref="X17">IF(OR(ISERROR(B17:V17)),1,0)</f>
        <v>0</v>
      </c>
      <c r="Y17" s="1">
        <f t="shared" ref="Y17:Y36" si="1">IF(AND(D17="",G17="",B17=""),0,1)</f>
        <v>0</v>
      </c>
    </row>
    <row r="18" spans="2:25" ht="15" thickBot="1" x14ac:dyDescent="0.4">
      <c r="B18" s="206"/>
      <c r="C18" s="206"/>
      <c r="D18" s="206"/>
      <c r="E18" s="436" t="s">
        <v>134</v>
      </c>
      <c r="F18" s="251" t="str">
        <f>IF(LandTier1Table[[#This Row],[Total  kg CO2e]]="", " ", 0.25)</f>
        <v xml:space="preserve"> </v>
      </c>
      <c r="G18" s="207"/>
      <c r="H18" s="425" t="s">
        <v>1100</v>
      </c>
      <c r="I18" s="425">
        <f>LandTier1Table[[#This Row],[Land area in hectares (ha)]]</f>
        <v>0</v>
      </c>
      <c r="J18" s="425" t="s">
        <v>1100</v>
      </c>
      <c r="K18" s="426" t="str" cm="1">
        <f t="array" ref="K18">IF(OR(B18="",C18="",D18="",G18=""),"",INDEX('Land Emission Factors'!$E$9:$J$20,MATCH(B18&amp;C18,'Land Emission Factors'!$C$9:$C$20&amp;'Land Emission Factors'!$D$9:$D$20,0),MATCH('Land use &amp; agriculture'!D18,'Land Emission Factors'!$E$8:$J$8,0)))</f>
        <v/>
      </c>
      <c r="L18" s="415" t="str">
        <f t="shared" si="0"/>
        <v/>
      </c>
      <c r="M18" s="479"/>
      <c r="N18" s="477"/>
      <c r="O18" s="47">
        <v>0</v>
      </c>
      <c r="P18" s="47">
        <v>0</v>
      </c>
      <c r="Q18" s="47">
        <v>0</v>
      </c>
      <c r="R18" s="47">
        <v>0</v>
      </c>
      <c r="S18" s="47">
        <v>0</v>
      </c>
      <c r="T18" s="47" t="str">
        <f>IF(LandTier1Table[[#This Row],[Total  kg CO2e]]="", "",(LandTier1Table[[#This Row],[Total  kg CO2e]]*(1+LandTier1Table[[#This Row],[RSD estimate (+/-%)]])))</f>
        <v/>
      </c>
      <c r="U18" s="47" t="str">
        <f>IF(LandTier1Table[[#This Row],[Total  kg CO2e]]="", "",(LandTier1Table[[#This Row],[Total  kg CO2e]]*(1-LandTier1Table[[#This Row],[RSD estimate (+/-%)]])))</f>
        <v/>
      </c>
      <c r="V18" s="47" t="str">
        <f>LandTier1Table[[#This Row],[Total  kg CO2e]]</f>
        <v/>
      </c>
      <c r="X18" s="1" cm="1">
        <f t="array" ref="X18">IF(OR(ISERROR(B18:V18)),1,0)</f>
        <v>0</v>
      </c>
      <c r="Y18" s="1">
        <f t="shared" si="1"/>
        <v>0</v>
      </c>
    </row>
    <row r="19" spans="2:25" ht="15" thickBot="1" x14ac:dyDescent="0.4">
      <c r="B19" s="206"/>
      <c r="C19" s="206"/>
      <c r="D19" s="206"/>
      <c r="E19" s="436" t="s">
        <v>134</v>
      </c>
      <c r="F19" s="251" t="str">
        <f>IF(LandTier1Table[[#This Row],[Total  kg CO2e]]="", " ", 0.25)</f>
        <v xml:space="preserve"> </v>
      </c>
      <c r="G19" s="207"/>
      <c r="H19" s="425" t="s">
        <v>1100</v>
      </c>
      <c r="I19" s="425">
        <f>LandTier1Table[[#This Row],[Land area in hectares (ha)]]</f>
        <v>0</v>
      </c>
      <c r="J19" s="425" t="s">
        <v>1100</v>
      </c>
      <c r="K19" s="426" t="str" cm="1">
        <f t="array" ref="K19">IF(OR(B19="",C19="",D19="",G19=""),"",INDEX('Land Emission Factors'!$E$9:$J$20,MATCH(B19&amp;C19,'Land Emission Factors'!$C$9:$C$20&amp;'Land Emission Factors'!$D$9:$D$20,0),MATCH('Land use &amp; agriculture'!D19,'Land Emission Factors'!$E$8:$J$8,0)))</f>
        <v/>
      </c>
      <c r="L19" s="415" t="str">
        <f t="shared" si="0"/>
        <v/>
      </c>
      <c r="M19" s="479"/>
      <c r="N19" s="477"/>
      <c r="O19" s="47">
        <v>0</v>
      </c>
      <c r="P19" s="47">
        <v>0</v>
      </c>
      <c r="Q19" s="47">
        <v>0</v>
      </c>
      <c r="R19" s="47">
        <v>0</v>
      </c>
      <c r="S19" s="47">
        <v>0</v>
      </c>
      <c r="T19" s="47" t="str">
        <f>IF(LandTier1Table[[#This Row],[Total  kg CO2e]]="", "",(LandTier1Table[[#This Row],[Total  kg CO2e]]*(1+LandTier1Table[[#This Row],[RSD estimate (+/-%)]])))</f>
        <v/>
      </c>
      <c r="U19" s="47" t="str">
        <f>IF(LandTier1Table[[#This Row],[Total  kg CO2e]]="", "",(LandTier1Table[[#This Row],[Total  kg CO2e]]*(1-LandTier1Table[[#This Row],[RSD estimate (+/-%)]])))</f>
        <v/>
      </c>
      <c r="V19" s="47" t="str">
        <f>LandTier1Table[[#This Row],[Total  kg CO2e]]</f>
        <v/>
      </c>
      <c r="X19" s="1" cm="1">
        <f t="array" ref="X19">IF(OR(ISERROR(B19:V19)),1,0)</f>
        <v>0</v>
      </c>
      <c r="Y19" s="1">
        <f t="shared" si="1"/>
        <v>0</v>
      </c>
    </row>
    <row r="20" spans="2:25" ht="15" thickBot="1" x14ac:dyDescent="0.4">
      <c r="B20" s="206"/>
      <c r="C20" s="206"/>
      <c r="D20" s="206"/>
      <c r="E20" s="436" t="s">
        <v>134</v>
      </c>
      <c r="F20" s="251" t="str">
        <f>IF(LandTier1Table[[#This Row],[Total  kg CO2e]]="", " ", 0.25)</f>
        <v xml:space="preserve"> </v>
      </c>
      <c r="G20" s="207"/>
      <c r="H20" s="425" t="s">
        <v>1100</v>
      </c>
      <c r="I20" s="425">
        <f>LandTier1Table[[#This Row],[Land area in hectares (ha)]]</f>
        <v>0</v>
      </c>
      <c r="J20" s="425" t="s">
        <v>1100</v>
      </c>
      <c r="K20" s="426" t="str" cm="1">
        <f t="array" ref="K20">IF(OR(B20="",C20="",D20="",G20=""),"",INDEX('Land Emission Factors'!$E$9:$J$20,MATCH(B20&amp;C20,'Land Emission Factors'!$C$9:$C$20&amp;'Land Emission Factors'!$D$9:$D$20,0),MATCH('Land use &amp; agriculture'!D20,'Land Emission Factors'!$E$8:$J$8,0)))</f>
        <v/>
      </c>
      <c r="L20" s="415" t="str">
        <f t="shared" si="0"/>
        <v/>
      </c>
      <c r="M20" s="479"/>
      <c r="N20" s="477"/>
      <c r="O20" s="47">
        <v>0</v>
      </c>
      <c r="P20" s="47">
        <v>0</v>
      </c>
      <c r="Q20" s="47">
        <v>0</v>
      </c>
      <c r="R20" s="47">
        <v>0</v>
      </c>
      <c r="S20" s="47">
        <v>0</v>
      </c>
      <c r="T20" s="47" t="str">
        <f>IF(LandTier1Table[[#This Row],[Total  kg CO2e]]="", "",(LandTier1Table[[#This Row],[Total  kg CO2e]]*(1+LandTier1Table[[#This Row],[RSD estimate (+/-%)]])))</f>
        <v/>
      </c>
      <c r="U20" s="47" t="str">
        <f>IF(LandTier1Table[[#This Row],[Total  kg CO2e]]="", "",(LandTier1Table[[#This Row],[Total  kg CO2e]]*(1-LandTier1Table[[#This Row],[RSD estimate (+/-%)]])))</f>
        <v/>
      </c>
      <c r="V20" s="47" t="str">
        <f>LandTier1Table[[#This Row],[Total  kg CO2e]]</f>
        <v/>
      </c>
      <c r="X20" s="1" cm="1">
        <f t="array" ref="X20">IF(OR(ISERROR(B20:V20)),1,0)</f>
        <v>0</v>
      </c>
      <c r="Y20" s="1">
        <f t="shared" si="1"/>
        <v>0</v>
      </c>
    </row>
    <row r="21" spans="2:25" ht="15" thickBot="1" x14ac:dyDescent="0.4">
      <c r="B21" s="206"/>
      <c r="C21" s="206"/>
      <c r="D21" s="206"/>
      <c r="E21" s="436" t="s">
        <v>134</v>
      </c>
      <c r="F21" s="251" t="str">
        <f>IF(LandTier1Table[[#This Row],[Total  kg CO2e]]="", " ", 0.25)</f>
        <v xml:space="preserve"> </v>
      </c>
      <c r="G21" s="207"/>
      <c r="H21" s="425" t="s">
        <v>1100</v>
      </c>
      <c r="I21" s="425">
        <f>LandTier1Table[[#This Row],[Land area in hectares (ha)]]</f>
        <v>0</v>
      </c>
      <c r="J21" s="425" t="s">
        <v>1100</v>
      </c>
      <c r="K21" s="426" t="str" cm="1">
        <f t="array" ref="K21">IF(OR(B21="",C21="",D21="",G21=""),"",INDEX('Land Emission Factors'!$E$9:$J$20,MATCH(B21&amp;C21,'Land Emission Factors'!$C$9:$C$20&amp;'Land Emission Factors'!$D$9:$D$20,0),MATCH('Land use &amp; agriculture'!D21,'Land Emission Factors'!$E$8:$J$8,0)))</f>
        <v/>
      </c>
      <c r="L21" s="415" t="str">
        <f t="shared" si="0"/>
        <v/>
      </c>
      <c r="M21" s="479"/>
      <c r="N21" s="477"/>
      <c r="O21" s="47">
        <v>0</v>
      </c>
      <c r="P21" s="47">
        <v>0</v>
      </c>
      <c r="Q21" s="47">
        <v>0</v>
      </c>
      <c r="R21" s="47">
        <v>0</v>
      </c>
      <c r="S21" s="47">
        <v>0</v>
      </c>
      <c r="T21" s="47" t="str">
        <f>IF(LandTier1Table[[#This Row],[Total  kg CO2e]]="", "",(LandTier1Table[[#This Row],[Total  kg CO2e]]*(1+LandTier1Table[[#This Row],[RSD estimate (+/-%)]])))</f>
        <v/>
      </c>
      <c r="U21" s="47" t="str">
        <f>IF(LandTier1Table[[#This Row],[Total  kg CO2e]]="", "",(LandTier1Table[[#This Row],[Total  kg CO2e]]*(1-LandTier1Table[[#This Row],[RSD estimate (+/-%)]])))</f>
        <v/>
      </c>
      <c r="V21" s="47" t="str">
        <f>LandTier1Table[[#This Row],[Total  kg CO2e]]</f>
        <v/>
      </c>
      <c r="X21" s="1" cm="1">
        <f t="array" ref="X21">IF(OR(ISERROR(B21:V21)),1,0)</f>
        <v>0</v>
      </c>
      <c r="Y21" s="1">
        <f t="shared" si="1"/>
        <v>0</v>
      </c>
    </row>
    <row r="22" spans="2:25" ht="15" thickBot="1" x14ac:dyDescent="0.4">
      <c r="B22" s="206"/>
      <c r="C22" s="206"/>
      <c r="D22" s="206"/>
      <c r="E22" s="436" t="s">
        <v>134</v>
      </c>
      <c r="F22" s="251" t="str">
        <f>IF(LandTier1Table[[#This Row],[Total  kg CO2e]]="", " ", 0.25)</f>
        <v xml:space="preserve"> </v>
      </c>
      <c r="G22" s="207"/>
      <c r="H22" s="425" t="s">
        <v>1100</v>
      </c>
      <c r="I22" s="425">
        <f>LandTier1Table[[#This Row],[Land area in hectares (ha)]]</f>
        <v>0</v>
      </c>
      <c r="J22" s="425" t="s">
        <v>1100</v>
      </c>
      <c r="K22" s="426" t="str" cm="1">
        <f t="array" ref="K22">IF(OR(B22="",C22="",D22="",G22=""),"",INDEX('Land Emission Factors'!$E$9:$J$20,MATCH(B22&amp;C22,'Land Emission Factors'!$C$9:$C$20&amp;'Land Emission Factors'!$D$9:$D$20,0),MATCH('Land use &amp; agriculture'!D22,'Land Emission Factors'!$E$8:$J$8,0)))</f>
        <v/>
      </c>
      <c r="L22" s="415" t="str">
        <f t="shared" si="0"/>
        <v/>
      </c>
      <c r="M22" s="479"/>
      <c r="N22" s="477"/>
      <c r="O22" s="47">
        <v>0</v>
      </c>
      <c r="P22" s="47">
        <v>0</v>
      </c>
      <c r="Q22" s="47">
        <v>0</v>
      </c>
      <c r="R22" s="47">
        <v>0</v>
      </c>
      <c r="S22" s="47">
        <v>0</v>
      </c>
      <c r="T22" s="47" t="str">
        <f>IF(LandTier1Table[[#This Row],[Total  kg CO2e]]="", "",(LandTier1Table[[#This Row],[Total  kg CO2e]]*(1+LandTier1Table[[#This Row],[RSD estimate (+/-%)]])))</f>
        <v/>
      </c>
      <c r="U22" s="47" t="str">
        <f>IF(LandTier1Table[[#This Row],[Total  kg CO2e]]="", "",(LandTier1Table[[#This Row],[Total  kg CO2e]]*(1-LandTier1Table[[#This Row],[RSD estimate (+/-%)]])))</f>
        <v/>
      </c>
      <c r="V22" s="47" t="str">
        <f>LandTier1Table[[#This Row],[Total  kg CO2e]]</f>
        <v/>
      </c>
      <c r="X22" s="1" cm="1">
        <f t="array" ref="X22">IF(OR(ISERROR(B22:V22)),1,0)</f>
        <v>0</v>
      </c>
      <c r="Y22" s="1">
        <f t="shared" si="1"/>
        <v>0</v>
      </c>
    </row>
    <row r="23" spans="2:25" ht="15" thickBot="1" x14ac:dyDescent="0.4">
      <c r="B23" s="206"/>
      <c r="C23" s="206"/>
      <c r="D23" s="206"/>
      <c r="E23" s="436" t="s">
        <v>134</v>
      </c>
      <c r="F23" s="251" t="str">
        <f>IF(LandTier1Table[[#This Row],[Total  kg CO2e]]="", " ", 0.25)</f>
        <v xml:space="preserve"> </v>
      </c>
      <c r="G23" s="207"/>
      <c r="H23" s="425" t="s">
        <v>1100</v>
      </c>
      <c r="I23" s="425">
        <f>LandTier1Table[[#This Row],[Land area in hectares (ha)]]</f>
        <v>0</v>
      </c>
      <c r="J23" s="425" t="s">
        <v>1100</v>
      </c>
      <c r="K23" s="426" t="str" cm="1">
        <f t="array" ref="K23">IF(OR(B23="",C23="",D23="",G23=""),"",INDEX('Land Emission Factors'!$E$9:$J$20,MATCH(B23&amp;C23,'Land Emission Factors'!$C$9:$C$20&amp;'Land Emission Factors'!$D$9:$D$20,0),MATCH('Land use &amp; agriculture'!D23,'Land Emission Factors'!$E$8:$J$8,0)))</f>
        <v/>
      </c>
      <c r="L23" s="415" t="str">
        <f t="shared" si="0"/>
        <v/>
      </c>
      <c r="M23" s="479"/>
      <c r="N23" s="477"/>
      <c r="O23" s="47">
        <v>0</v>
      </c>
      <c r="P23" s="47">
        <v>0</v>
      </c>
      <c r="Q23" s="47">
        <v>0</v>
      </c>
      <c r="R23" s="47">
        <v>0</v>
      </c>
      <c r="S23" s="47">
        <v>0</v>
      </c>
      <c r="T23" s="47" t="str">
        <f>IF(LandTier1Table[[#This Row],[Total  kg CO2e]]="", "",(LandTier1Table[[#This Row],[Total  kg CO2e]]*(1+LandTier1Table[[#This Row],[RSD estimate (+/-%)]])))</f>
        <v/>
      </c>
      <c r="U23" s="47" t="str">
        <f>IF(LandTier1Table[[#This Row],[Total  kg CO2e]]="", "",(LandTier1Table[[#This Row],[Total  kg CO2e]]*(1-LandTier1Table[[#This Row],[RSD estimate (+/-%)]])))</f>
        <v/>
      </c>
      <c r="V23" s="47" t="str">
        <f>LandTier1Table[[#This Row],[Total  kg CO2e]]</f>
        <v/>
      </c>
      <c r="X23" s="1" cm="1">
        <f t="array" ref="X23">IF(OR(ISERROR(B23:V23)),1,0)</f>
        <v>0</v>
      </c>
      <c r="Y23" s="1">
        <f t="shared" si="1"/>
        <v>0</v>
      </c>
    </row>
    <row r="24" spans="2:25" ht="15" thickBot="1" x14ac:dyDescent="0.4">
      <c r="B24" s="206"/>
      <c r="C24" s="206"/>
      <c r="D24" s="206"/>
      <c r="E24" s="436" t="s">
        <v>134</v>
      </c>
      <c r="F24" s="251" t="str">
        <f>IF(LandTier1Table[[#This Row],[Total  kg CO2e]]="", " ", 0.25)</f>
        <v xml:space="preserve"> </v>
      </c>
      <c r="G24" s="207"/>
      <c r="H24" s="425" t="s">
        <v>1100</v>
      </c>
      <c r="I24" s="425">
        <f>LandTier1Table[[#This Row],[Land area in hectares (ha)]]</f>
        <v>0</v>
      </c>
      <c r="J24" s="425" t="s">
        <v>1100</v>
      </c>
      <c r="K24" s="426" t="str" cm="1">
        <f t="array" ref="K24">IF(OR(B24="",C24="",D24="",G24=""),"",INDEX('Land Emission Factors'!$E$9:$J$20,MATCH(B24&amp;C24,'Land Emission Factors'!$C$9:$C$20&amp;'Land Emission Factors'!$D$9:$D$20,0),MATCH('Land use &amp; agriculture'!D24,'Land Emission Factors'!$E$8:$J$8,0)))</f>
        <v/>
      </c>
      <c r="L24" s="415" t="str">
        <f t="shared" si="0"/>
        <v/>
      </c>
      <c r="M24" s="479"/>
      <c r="N24" s="477"/>
      <c r="O24" s="47">
        <v>0</v>
      </c>
      <c r="P24" s="47">
        <v>0</v>
      </c>
      <c r="Q24" s="47">
        <v>0</v>
      </c>
      <c r="R24" s="47">
        <v>0</v>
      </c>
      <c r="S24" s="47">
        <v>0</v>
      </c>
      <c r="T24" s="47" t="str">
        <f>IF(LandTier1Table[[#This Row],[Total  kg CO2e]]="", "",(LandTier1Table[[#This Row],[Total  kg CO2e]]*(1+LandTier1Table[[#This Row],[RSD estimate (+/-%)]])))</f>
        <v/>
      </c>
      <c r="U24" s="47" t="str">
        <f>IF(LandTier1Table[[#This Row],[Total  kg CO2e]]="", "",(LandTier1Table[[#This Row],[Total  kg CO2e]]*(1-LandTier1Table[[#This Row],[RSD estimate (+/-%)]])))</f>
        <v/>
      </c>
      <c r="V24" s="47" t="str">
        <f>LandTier1Table[[#This Row],[Total  kg CO2e]]</f>
        <v/>
      </c>
      <c r="X24" s="1" cm="1">
        <f t="array" ref="X24">IF(OR(ISERROR(B24:V24)),1,0)</f>
        <v>0</v>
      </c>
      <c r="Y24" s="1">
        <f t="shared" si="1"/>
        <v>0</v>
      </c>
    </row>
    <row r="25" spans="2:25" ht="15" thickBot="1" x14ac:dyDescent="0.4">
      <c r="B25" s="206"/>
      <c r="C25" s="206"/>
      <c r="D25" s="206"/>
      <c r="E25" s="436" t="s">
        <v>134</v>
      </c>
      <c r="F25" s="251" t="str">
        <f>IF(LandTier1Table[[#This Row],[Total  kg CO2e]]="", " ", 0.25)</f>
        <v xml:space="preserve"> </v>
      </c>
      <c r="G25" s="207"/>
      <c r="H25" s="425" t="s">
        <v>1100</v>
      </c>
      <c r="I25" s="425">
        <f>LandTier1Table[[#This Row],[Land area in hectares (ha)]]</f>
        <v>0</v>
      </c>
      <c r="J25" s="425" t="s">
        <v>1100</v>
      </c>
      <c r="K25" s="426" t="str" cm="1">
        <f t="array" ref="K25">IF(OR(B25="",C25="",D25="",G25=""),"",INDEX('Land Emission Factors'!$E$9:$J$20,MATCH(B25&amp;C25,'Land Emission Factors'!$C$9:$C$20&amp;'Land Emission Factors'!$D$9:$D$20,0),MATCH('Land use &amp; agriculture'!D25,'Land Emission Factors'!$E$8:$J$8,0)))</f>
        <v/>
      </c>
      <c r="L25" s="415" t="str">
        <f t="shared" si="0"/>
        <v/>
      </c>
      <c r="M25" s="479"/>
      <c r="N25" s="477"/>
      <c r="O25" s="47">
        <v>0</v>
      </c>
      <c r="P25" s="47">
        <v>0</v>
      </c>
      <c r="Q25" s="47">
        <v>0</v>
      </c>
      <c r="R25" s="47">
        <v>0</v>
      </c>
      <c r="S25" s="47">
        <v>0</v>
      </c>
      <c r="T25" s="47" t="str">
        <f>IF(LandTier1Table[[#This Row],[Total  kg CO2e]]="", "",(LandTier1Table[[#This Row],[Total  kg CO2e]]*(1+LandTier1Table[[#This Row],[RSD estimate (+/-%)]])))</f>
        <v/>
      </c>
      <c r="U25" s="47" t="str">
        <f>IF(LandTier1Table[[#This Row],[Total  kg CO2e]]="", "",(LandTier1Table[[#This Row],[Total  kg CO2e]]*(1-LandTier1Table[[#This Row],[RSD estimate (+/-%)]])))</f>
        <v/>
      </c>
      <c r="V25" s="47" t="str">
        <f>LandTier1Table[[#This Row],[Total  kg CO2e]]</f>
        <v/>
      </c>
      <c r="X25" s="1" cm="1">
        <f t="array" ref="X25">IF(OR(ISERROR(B25:V25)),1,0)</f>
        <v>0</v>
      </c>
      <c r="Y25" s="1">
        <f t="shared" si="1"/>
        <v>0</v>
      </c>
    </row>
    <row r="26" spans="2:25" ht="15" thickBot="1" x14ac:dyDescent="0.4">
      <c r="B26" s="206"/>
      <c r="C26" s="206"/>
      <c r="D26" s="206"/>
      <c r="E26" s="436" t="s">
        <v>134</v>
      </c>
      <c r="F26" s="251" t="str">
        <f>IF(LandTier1Table[[#This Row],[Total  kg CO2e]]="", " ", 0.25)</f>
        <v xml:space="preserve"> </v>
      </c>
      <c r="G26" s="207"/>
      <c r="H26" s="425" t="s">
        <v>1100</v>
      </c>
      <c r="I26" s="425">
        <f>LandTier1Table[[#This Row],[Land area in hectares (ha)]]</f>
        <v>0</v>
      </c>
      <c r="J26" s="425" t="s">
        <v>1100</v>
      </c>
      <c r="K26" s="426" t="str" cm="1">
        <f t="array" ref="K26">IF(OR(B26="",C26="",D26="",G26=""),"",INDEX('Land Emission Factors'!$E$9:$J$20,MATCH(B26&amp;C26,'Land Emission Factors'!$C$9:$C$20&amp;'Land Emission Factors'!$D$9:$D$20,0),MATCH('Land use &amp; agriculture'!D26,'Land Emission Factors'!$E$8:$J$8,0)))</f>
        <v/>
      </c>
      <c r="L26" s="415" t="str">
        <f t="shared" si="0"/>
        <v/>
      </c>
      <c r="M26" s="479"/>
      <c r="N26" s="477"/>
      <c r="O26" s="47">
        <v>0</v>
      </c>
      <c r="P26" s="47">
        <v>0</v>
      </c>
      <c r="Q26" s="47">
        <v>0</v>
      </c>
      <c r="R26" s="47">
        <v>0</v>
      </c>
      <c r="S26" s="47">
        <v>0</v>
      </c>
      <c r="T26" s="47" t="str">
        <f>IF(LandTier1Table[[#This Row],[Total  kg CO2e]]="", "",(LandTier1Table[[#This Row],[Total  kg CO2e]]*(1+LandTier1Table[[#This Row],[RSD estimate (+/-%)]])))</f>
        <v/>
      </c>
      <c r="U26" s="47" t="str">
        <f>IF(LandTier1Table[[#This Row],[Total  kg CO2e]]="", "",(LandTier1Table[[#This Row],[Total  kg CO2e]]*(1-LandTier1Table[[#This Row],[RSD estimate (+/-%)]])))</f>
        <v/>
      </c>
      <c r="V26" s="47" t="str">
        <f>LandTier1Table[[#This Row],[Total  kg CO2e]]</f>
        <v/>
      </c>
      <c r="X26" s="1" cm="1">
        <f t="array" ref="X26">IF(OR(ISERROR(B26:V26)),1,0)</f>
        <v>0</v>
      </c>
      <c r="Y26" s="1">
        <f t="shared" si="1"/>
        <v>0</v>
      </c>
    </row>
    <row r="27" spans="2:25" ht="15" thickBot="1" x14ac:dyDescent="0.4">
      <c r="B27" s="206"/>
      <c r="C27" s="206"/>
      <c r="D27" s="206"/>
      <c r="E27" s="436" t="s">
        <v>134</v>
      </c>
      <c r="F27" s="251" t="str">
        <f>IF(LandTier1Table[[#This Row],[Total  kg CO2e]]="", " ", 0.25)</f>
        <v xml:space="preserve"> </v>
      </c>
      <c r="G27" s="207"/>
      <c r="H27" s="425" t="s">
        <v>1100</v>
      </c>
      <c r="I27" s="425">
        <f>LandTier1Table[[#This Row],[Land area in hectares (ha)]]</f>
        <v>0</v>
      </c>
      <c r="J27" s="425" t="s">
        <v>1100</v>
      </c>
      <c r="K27" s="426" t="str" cm="1">
        <f t="array" ref="K27">IF(OR(B27="",C27="",D27="",G27=""),"",INDEX('Land Emission Factors'!$E$9:$J$20,MATCH(B27&amp;C27,'Land Emission Factors'!$C$9:$C$20&amp;'Land Emission Factors'!$D$9:$D$20,0),MATCH('Land use &amp; agriculture'!D27,'Land Emission Factors'!$E$8:$J$8,0)))</f>
        <v/>
      </c>
      <c r="L27" s="415" t="str">
        <f t="shared" si="0"/>
        <v/>
      </c>
      <c r="M27" s="479"/>
      <c r="N27" s="477"/>
      <c r="O27" s="47">
        <v>0</v>
      </c>
      <c r="P27" s="47">
        <v>0</v>
      </c>
      <c r="Q27" s="47">
        <v>0</v>
      </c>
      <c r="R27" s="47">
        <v>0</v>
      </c>
      <c r="S27" s="47">
        <v>0</v>
      </c>
      <c r="T27" s="47" t="str">
        <f>IF(LandTier1Table[[#This Row],[Total  kg CO2e]]="", "",(LandTier1Table[[#This Row],[Total  kg CO2e]]*(1+LandTier1Table[[#This Row],[RSD estimate (+/-%)]])))</f>
        <v/>
      </c>
      <c r="U27" s="47" t="str">
        <f>IF(LandTier1Table[[#This Row],[Total  kg CO2e]]="", "",(LandTier1Table[[#This Row],[Total  kg CO2e]]*(1-LandTier1Table[[#This Row],[RSD estimate (+/-%)]])))</f>
        <v/>
      </c>
      <c r="V27" s="47" t="str">
        <f>LandTier1Table[[#This Row],[Total  kg CO2e]]</f>
        <v/>
      </c>
      <c r="X27" s="1" cm="1">
        <f t="array" ref="X27">IF(OR(ISERROR(B27:V27)),1,0)</f>
        <v>0</v>
      </c>
      <c r="Y27" s="1">
        <f t="shared" si="1"/>
        <v>0</v>
      </c>
    </row>
    <row r="28" spans="2:25" ht="15" thickBot="1" x14ac:dyDescent="0.4">
      <c r="B28" s="206"/>
      <c r="C28" s="206"/>
      <c r="D28" s="206"/>
      <c r="E28" s="436" t="s">
        <v>134</v>
      </c>
      <c r="F28" s="251" t="str">
        <f>IF(LandTier1Table[[#This Row],[Total  kg CO2e]]="", " ", 0.25)</f>
        <v xml:space="preserve"> </v>
      </c>
      <c r="G28" s="207"/>
      <c r="H28" s="425" t="s">
        <v>1100</v>
      </c>
      <c r="I28" s="425">
        <f>LandTier1Table[[#This Row],[Land area in hectares (ha)]]</f>
        <v>0</v>
      </c>
      <c r="J28" s="425" t="s">
        <v>1100</v>
      </c>
      <c r="K28" s="426" t="str" cm="1">
        <f t="array" ref="K28">IF(OR(B28="",C28="",D28="",G28=""),"",INDEX('Land Emission Factors'!$E$9:$J$20,MATCH(B28&amp;C28,'Land Emission Factors'!$C$9:$C$20&amp;'Land Emission Factors'!$D$9:$D$20,0),MATCH('Land use &amp; agriculture'!D28,'Land Emission Factors'!$E$8:$J$8,0)))</f>
        <v/>
      </c>
      <c r="L28" s="415" t="str">
        <f t="shared" si="0"/>
        <v/>
      </c>
      <c r="M28" s="479"/>
      <c r="N28" s="477"/>
      <c r="O28" s="47">
        <v>0</v>
      </c>
      <c r="P28" s="47">
        <v>0</v>
      </c>
      <c r="Q28" s="47">
        <v>0</v>
      </c>
      <c r="R28" s="47">
        <v>0</v>
      </c>
      <c r="S28" s="47">
        <v>0</v>
      </c>
      <c r="T28" s="47" t="str">
        <f>IF(LandTier1Table[[#This Row],[Total  kg CO2e]]="", "",(LandTier1Table[[#This Row],[Total  kg CO2e]]*(1+LandTier1Table[[#This Row],[RSD estimate (+/-%)]])))</f>
        <v/>
      </c>
      <c r="U28" s="47" t="str">
        <f>IF(LandTier1Table[[#This Row],[Total  kg CO2e]]="", "",(LandTier1Table[[#This Row],[Total  kg CO2e]]*(1-LandTier1Table[[#This Row],[RSD estimate (+/-%)]])))</f>
        <v/>
      </c>
      <c r="V28" s="47" t="str">
        <f>LandTier1Table[[#This Row],[Total  kg CO2e]]</f>
        <v/>
      </c>
      <c r="X28" s="1" cm="1">
        <f t="array" ref="X28">IF(OR(ISERROR(B28:V28)),1,0)</f>
        <v>0</v>
      </c>
      <c r="Y28" s="1">
        <f t="shared" si="1"/>
        <v>0</v>
      </c>
    </row>
    <row r="29" spans="2:25" ht="15" thickBot="1" x14ac:dyDescent="0.4">
      <c r="B29" s="206"/>
      <c r="C29" s="206"/>
      <c r="D29" s="206"/>
      <c r="E29" s="436" t="s">
        <v>134</v>
      </c>
      <c r="F29" s="251" t="str">
        <f>IF(LandTier1Table[[#This Row],[Total  kg CO2e]]="", " ", 0.25)</f>
        <v xml:space="preserve"> </v>
      </c>
      <c r="G29" s="207"/>
      <c r="H29" s="425" t="s">
        <v>1100</v>
      </c>
      <c r="I29" s="425">
        <f>LandTier1Table[[#This Row],[Land area in hectares (ha)]]</f>
        <v>0</v>
      </c>
      <c r="J29" s="425" t="s">
        <v>1100</v>
      </c>
      <c r="K29" s="426" t="str" cm="1">
        <f t="array" ref="K29">IF(OR(B29="",C29="",D29="",G29=""),"",INDEX('Land Emission Factors'!$E$9:$J$20,MATCH(B29&amp;C29,'Land Emission Factors'!$C$9:$C$20&amp;'Land Emission Factors'!$D$9:$D$20,0),MATCH('Land use &amp; agriculture'!D29,'Land Emission Factors'!$E$8:$J$8,0)))</f>
        <v/>
      </c>
      <c r="L29" s="415" t="str">
        <f t="shared" si="0"/>
        <v/>
      </c>
      <c r="M29" s="479"/>
      <c r="N29" s="477"/>
      <c r="O29" s="47">
        <v>0</v>
      </c>
      <c r="P29" s="47">
        <v>0</v>
      </c>
      <c r="Q29" s="47">
        <v>0</v>
      </c>
      <c r="R29" s="47">
        <v>0</v>
      </c>
      <c r="S29" s="47">
        <v>0</v>
      </c>
      <c r="T29" s="47" t="str">
        <f>IF(LandTier1Table[[#This Row],[Total  kg CO2e]]="", "",(LandTier1Table[[#This Row],[Total  kg CO2e]]*(1+LandTier1Table[[#This Row],[RSD estimate (+/-%)]])))</f>
        <v/>
      </c>
      <c r="U29" s="47" t="str">
        <f>IF(LandTier1Table[[#This Row],[Total  kg CO2e]]="", "",(LandTier1Table[[#This Row],[Total  kg CO2e]]*(1-LandTier1Table[[#This Row],[RSD estimate (+/-%)]])))</f>
        <v/>
      </c>
      <c r="V29" s="47" t="str">
        <f>LandTier1Table[[#This Row],[Total  kg CO2e]]</f>
        <v/>
      </c>
      <c r="X29" s="1" cm="1">
        <f t="array" ref="X29">IF(OR(ISERROR(B29:V29)),1,0)</f>
        <v>0</v>
      </c>
      <c r="Y29" s="1">
        <f t="shared" si="1"/>
        <v>0</v>
      </c>
    </row>
    <row r="30" spans="2:25" ht="15" thickBot="1" x14ac:dyDescent="0.4">
      <c r="B30" s="206"/>
      <c r="C30" s="206"/>
      <c r="D30" s="206"/>
      <c r="E30" s="436" t="s">
        <v>134</v>
      </c>
      <c r="F30" s="251" t="str">
        <f>IF(LandTier1Table[[#This Row],[Total  kg CO2e]]="", " ", 0.25)</f>
        <v xml:space="preserve"> </v>
      </c>
      <c r="G30" s="207"/>
      <c r="H30" s="425" t="s">
        <v>1100</v>
      </c>
      <c r="I30" s="425">
        <f>LandTier1Table[[#This Row],[Land area in hectares (ha)]]</f>
        <v>0</v>
      </c>
      <c r="J30" s="425" t="s">
        <v>1100</v>
      </c>
      <c r="K30" s="426" t="str" cm="1">
        <f t="array" ref="K30">IF(OR(B30="",C30="",D30="",G30=""),"",INDEX('Land Emission Factors'!$E$9:$J$20,MATCH(B30&amp;C30,'Land Emission Factors'!$C$9:$C$20&amp;'Land Emission Factors'!$D$9:$D$20,0),MATCH('Land use &amp; agriculture'!D30,'Land Emission Factors'!$E$8:$J$8,0)))</f>
        <v/>
      </c>
      <c r="L30" s="415" t="str">
        <f t="shared" si="0"/>
        <v/>
      </c>
      <c r="M30" s="479"/>
      <c r="N30" s="477"/>
      <c r="O30" s="47">
        <v>0</v>
      </c>
      <c r="P30" s="47">
        <v>0</v>
      </c>
      <c r="Q30" s="47">
        <v>0</v>
      </c>
      <c r="R30" s="47">
        <v>0</v>
      </c>
      <c r="S30" s="47">
        <v>0</v>
      </c>
      <c r="T30" s="47" t="str">
        <f>IF(LandTier1Table[[#This Row],[Total  kg CO2e]]="", "",(LandTier1Table[[#This Row],[Total  kg CO2e]]*(1+LandTier1Table[[#This Row],[RSD estimate (+/-%)]])))</f>
        <v/>
      </c>
      <c r="U30" s="47" t="str">
        <f>IF(LandTier1Table[[#This Row],[Total  kg CO2e]]="", "",(LandTier1Table[[#This Row],[Total  kg CO2e]]*(1-LandTier1Table[[#This Row],[RSD estimate (+/-%)]])))</f>
        <v/>
      </c>
      <c r="V30" s="47" t="str">
        <f>LandTier1Table[[#This Row],[Total  kg CO2e]]</f>
        <v/>
      </c>
      <c r="X30" s="1" cm="1">
        <f t="array" ref="X30">IF(OR(ISERROR(B30:V30)),1,0)</f>
        <v>0</v>
      </c>
      <c r="Y30" s="1">
        <f t="shared" si="1"/>
        <v>0</v>
      </c>
    </row>
    <row r="31" spans="2:25" ht="15" thickBot="1" x14ac:dyDescent="0.4">
      <c r="B31" s="206"/>
      <c r="C31" s="206"/>
      <c r="D31" s="206"/>
      <c r="E31" s="436" t="s">
        <v>134</v>
      </c>
      <c r="F31" s="251" t="str">
        <f>IF(LandTier1Table[[#This Row],[Total  kg CO2e]]="", " ", 0.25)</f>
        <v xml:space="preserve"> </v>
      </c>
      <c r="G31" s="148"/>
      <c r="H31" s="425" t="s">
        <v>1100</v>
      </c>
      <c r="I31" s="425">
        <f>LandTier1Table[[#This Row],[Land area in hectares (ha)]]</f>
        <v>0</v>
      </c>
      <c r="J31" s="425" t="s">
        <v>1100</v>
      </c>
      <c r="K31" s="426" t="str" cm="1">
        <f t="array" ref="K31">IF(OR(B31="",C31="",D31="",G31=""),"",INDEX('Land Emission Factors'!$E$9:$J$20,MATCH(B31&amp;C31,'Land Emission Factors'!$C$9:$C$20&amp;'Land Emission Factors'!$D$9:$D$20,0),MATCH('Land use &amp; agriculture'!D31,'Land Emission Factors'!$E$8:$J$8,0)))</f>
        <v/>
      </c>
      <c r="L31" s="415" t="str">
        <f t="shared" si="0"/>
        <v/>
      </c>
      <c r="M31" s="479"/>
      <c r="N31" s="477"/>
      <c r="O31" s="47">
        <v>0</v>
      </c>
      <c r="P31" s="47">
        <v>0</v>
      </c>
      <c r="Q31" s="47">
        <v>0</v>
      </c>
      <c r="R31" s="47">
        <v>0</v>
      </c>
      <c r="S31" s="47">
        <v>0</v>
      </c>
      <c r="T31" s="47" t="str">
        <f>IF(LandTier1Table[[#This Row],[Total  kg CO2e]]="", "",(LandTier1Table[[#This Row],[Total  kg CO2e]]*(1+LandTier1Table[[#This Row],[RSD estimate (+/-%)]])))</f>
        <v/>
      </c>
      <c r="U31" s="47" t="str">
        <f>IF(LandTier1Table[[#This Row],[Total  kg CO2e]]="", "",(LandTier1Table[[#This Row],[Total  kg CO2e]]*(1-LandTier1Table[[#This Row],[RSD estimate (+/-%)]])))</f>
        <v/>
      </c>
      <c r="V31" s="47" t="str">
        <f>LandTier1Table[[#This Row],[Total  kg CO2e]]</f>
        <v/>
      </c>
      <c r="X31" s="1" cm="1">
        <f t="array" ref="X31">IF(OR(ISERROR(B31:V31)),1,0)</f>
        <v>0</v>
      </c>
      <c r="Y31" s="1">
        <f t="shared" si="1"/>
        <v>0</v>
      </c>
    </row>
    <row r="32" spans="2:25" ht="15" thickBot="1" x14ac:dyDescent="0.4">
      <c r="B32" s="206"/>
      <c r="C32" s="206"/>
      <c r="D32" s="206"/>
      <c r="E32" s="436" t="s">
        <v>134</v>
      </c>
      <c r="F32" s="251" t="str">
        <f>IF(LandTier1Table[[#This Row],[Total  kg CO2e]]="", " ", 0.25)</f>
        <v xml:space="preserve"> </v>
      </c>
      <c r="G32" s="148"/>
      <c r="H32" s="425" t="s">
        <v>1100</v>
      </c>
      <c r="I32" s="425">
        <f>LandTier1Table[[#This Row],[Land area in hectares (ha)]]</f>
        <v>0</v>
      </c>
      <c r="J32" s="425" t="s">
        <v>1100</v>
      </c>
      <c r="K32" s="426" t="str" cm="1">
        <f t="array" ref="K32">IF(OR(B32="",C32="",D32="",G32=""),"",INDEX('Land Emission Factors'!$E$9:$J$20,MATCH(B32&amp;C32,'Land Emission Factors'!$C$9:$C$20&amp;'Land Emission Factors'!$D$9:$D$20,0),MATCH('Land use &amp; agriculture'!D32,'Land Emission Factors'!$E$8:$J$8,0)))</f>
        <v/>
      </c>
      <c r="L32" s="415" t="str">
        <f t="shared" si="0"/>
        <v/>
      </c>
      <c r="M32" s="479"/>
      <c r="N32" s="477"/>
      <c r="O32" s="47">
        <v>0</v>
      </c>
      <c r="P32" s="47">
        <v>0</v>
      </c>
      <c r="Q32" s="47">
        <v>0</v>
      </c>
      <c r="R32" s="47">
        <v>0</v>
      </c>
      <c r="S32" s="47">
        <v>0</v>
      </c>
      <c r="T32" s="47" t="str">
        <f>IF(LandTier1Table[[#This Row],[Total  kg CO2e]]="", "",(LandTier1Table[[#This Row],[Total  kg CO2e]]*(1+LandTier1Table[[#This Row],[RSD estimate (+/-%)]])))</f>
        <v/>
      </c>
      <c r="U32" s="47" t="str">
        <f>IF(LandTier1Table[[#This Row],[Total  kg CO2e]]="", "",(LandTier1Table[[#This Row],[Total  kg CO2e]]*(1-LandTier1Table[[#This Row],[RSD estimate (+/-%)]])))</f>
        <v/>
      </c>
      <c r="V32" s="47" t="str">
        <f>LandTier1Table[[#This Row],[Total  kg CO2e]]</f>
        <v/>
      </c>
      <c r="X32" s="1" cm="1">
        <f t="array" ref="X32">IF(OR(ISERROR(B32:V32)),1,0)</f>
        <v>0</v>
      </c>
      <c r="Y32" s="1">
        <f t="shared" si="1"/>
        <v>0</v>
      </c>
    </row>
    <row r="33" spans="1:25" ht="15" thickBot="1" x14ac:dyDescent="0.4">
      <c r="B33" s="206"/>
      <c r="C33" s="206"/>
      <c r="D33" s="206"/>
      <c r="E33" s="436" t="s">
        <v>134</v>
      </c>
      <c r="F33" s="251" t="str">
        <f>IF(LandTier1Table[[#This Row],[Total  kg CO2e]]="", " ", 0.25)</f>
        <v xml:space="preserve"> </v>
      </c>
      <c r="G33" s="148"/>
      <c r="H33" s="425" t="s">
        <v>1100</v>
      </c>
      <c r="I33" s="425">
        <f>LandTier1Table[[#This Row],[Land area in hectares (ha)]]</f>
        <v>0</v>
      </c>
      <c r="J33" s="425" t="s">
        <v>1100</v>
      </c>
      <c r="K33" s="426" t="str" cm="1">
        <f t="array" ref="K33">IF(OR(B33="",C33="",D33="",G33=""),"",INDEX('Land Emission Factors'!$E$9:$J$20,MATCH(B33&amp;C33,'Land Emission Factors'!$C$9:$C$20&amp;'Land Emission Factors'!$D$9:$D$20,0),MATCH('Land use &amp; agriculture'!D33,'Land Emission Factors'!$E$8:$J$8,0)))</f>
        <v/>
      </c>
      <c r="L33" s="415" t="str">
        <f t="shared" si="0"/>
        <v/>
      </c>
      <c r="M33" s="479"/>
      <c r="N33" s="477"/>
      <c r="O33" s="47">
        <v>0</v>
      </c>
      <c r="P33" s="47">
        <v>0</v>
      </c>
      <c r="Q33" s="47">
        <v>0</v>
      </c>
      <c r="R33" s="47">
        <v>0</v>
      </c>
      <c r="S33" s="47">
        <v>0</v>
      </c>
      <c r="T33" s="47" t="str">
        <f>IF(LandTier1Table[[#This Row],[Total  kg CO2e]]="", "",(LandTier1Table[[#This Row],[Total  kg CO2e]]*(1+LandTier1Table[[#This Row],[RSD estimate (+/-%)]])))</f>
        <v/>
      </c>
      <c r="U33" s="47" t="str">
        <f>IF(LandTier1Table[[#This Row],[Total  kg CO2e]]="", "",(LandTier1Table[[#This Row],[Total  kg CO2e]]*(1-LandTier1Table[[#This Row],[RSD estimate (+/-%)]])))</f>
        <v/>
      </c>
      <c r="V33" s="47" t="str">
        <f>LandTier1Table[[#This Row],[Total  kg CO2e]]</f>
        <v/>
      </c>
      <c r="X33" s="1" cm="1">
        <f t="array" ref="X33">IF(OR(ISERROR(B33:V33)),1,0)</f>
        <v>0</v>
      </c>
      <c r="Y33" s="1">
        <f t="shared" si="1"/>
        <v>0</v>
      </c>
    </row>
    <row r="34" spans="1:25" ht="15" thickBot="1" x14ac:dyDescent="0.4">
      <c r="B34" s="206"/>
      <c r="C34" s="206"/>
      <c r="D34" s="206"/>
      <c r="E34" s="436" t="s">
        <v>134</v>
      </c>
      <c r="F34" s="251" t="str">
        <f>IF(LandTier1Table[[#This Row],[Total  kg CO2e]]="", " ", 0.25)</f>
        <v xml:space="preserve"> </v>
      </c>
      <c r="G34" s="148"/>
      <c r="H34" s="425" t="s">
        <v>1100</v>
      </c>
      <c r="I34" s="425">
        <f>LandTier1Table[[#This Row],[Land area in hectares (ha)]]</f>
        <v>0</v>
      </c>
      <c r="J34" s="425" t="s">
        <v>1100</v>
      </c>
      <c r="K34" s="426" t="str" cm="1">
        <f t="array" ref="K34">IF(OR(B34="",C34="",D34="",G34=""),"",INDEX('Land Emission Factors'!$E$9:$J$20,MATCH(B34&amp;C34,'Land Emission Factors'!$C$9:$C$20&amp;'Land Emission Factors'!$D$9:$D$20,0),MATCH('Land use &amp; agriculture'!D34,'Land Emission Factors'!$E$8:$J$8,0)))</f>
        <v/>
      </c>
      <c r="L34" s="415" t="str">
        <f t="shared" si="0"/>
        <v/>
      </c>
      <c r="M34" s="479"/>
      <c r="N34" s="477"/>
      <c r="O34" s="47">
        <v>0</v>
      </c>
      <c r="P34" s="47">
        <v>0</v>
      </c>
      <c r="Q34" s="47">
        <v>0</v>
      </c>
      <c r="R34" s="47">
        <v>0</v>
      </c>
      <c r="S34" s="47">
        <v>0</v>
      </c>
      <c r="T34" s="47" t="str">
        <f>IF(LandTier1Table[[#This Row],[Total  kg CO2e]]="", "",(LandTier1Table[[#This Row],[Total  kg CO2e]]*(1+LandTier1Table[[#This Row],[RSD estimate (+/-%)]])))</f>
        <v/>
      </c>
      <c r="U34" s="47" t="str">
        <f>IF(LandTier1Table[[#This Row],[Total  kg CO2e]]="", "",(LandTier1Table[[#This Row],[Total  kg CO2e]]*(1-LandTier1Table[[#This Row],[RSD estimate (+/-%)]])))</f>
        <v/>
      </c>
      <c r="V34" s="47" t="str">
        <f>LandTier1Table[[#This Row],[Total  kg CO2e]]</f>
        <v/>
      </c>
      <c r="X34" s="1" cm="1">
        <f t="array" ref="X34">IF(OR(ISERROR(B34:V34)),1,0)</f>
        <v>0</v>
      </c>
      <c r="Y34" s="1">
        <f t="shared" si="1"/>
        <v>0</v>
      </c>
    </row>
    <row r="35" spans="1:25" ht="15" thickBot="1" x14ac:dyDescent="0.4">
      <c r="B35" s="206"/>
      <c r="C35" s="206"/>
      <c r="D35" s="206"/>
      <c r="E35" s="436" t="s">
        <v>134</v>
      </c>
      <c r="F35" s="251" t="str">
        <f>IF(LandTier1Table[[#This Row],[Total  kg CO2e]]="", " ", 0.25)</f>
        <v xml:space="preserve"> </v>
      </c>
      <c r="G35" s="148"/>
      <c r="H35" s="425" t="s">
        <v>1100</v>
      </c>
      <c r="I35" s="425">
        <f>LandTier1Table[[#This Row],[Land area in hectares (ha)]]</f>
        <v>0</v>
      </c>
      <c r="J35" s="425" t="s">
        <v>1100</v>
      </c>
      <c r="K35" s="426" t="str" cm="1">
        <f t="array" ref="K35">IF(OR(B35="",C35="",D35="",G35=""),"",INDEX('Land Emission Factors'!$E$9:$J$20,MATCH(B35&amp;C35,'Land Emission Factors'!$C$9:$C$20&amp;'Land Emission Factors'!$D$9:$D$20,0),MATCH('Land use &amp; agriculture'!D35,'Land Emission Factors'!$E$8:$J$8,0)))</f>
        <v/>
      </c>
      <c r="L35" s="415" t="str">
        <f t="shared" si="0"/>
        <v/>
      </c>
      <c r="M35" s="479"/>
      <c r="N35" s="477"/>
      <c r="O35" s="47">
        <v>0</v>
      </c>
      <c r="P35" s="47">
        <v>0</v>
      </c>
      <c r="Q35" s="47">
        <v>0</v>
      </c>
      <c r="R35" s="47">
        <v>0</v>
      </c>
      <c r="S35" s="47">
        <v>0</v>
      </c>
      <c r="T35" s="47" t="str">
        <f>IF(LandTier1Table[[#This Row],[Total  kg CO2e]]="", "",(LandTier1Table[[#This Row],[Total  kg CO2e]]*(1+LandTier1Table[[#This Row],[RSD estimate (+/-%)]])))</f>
        <v/>
      </c>
      <c r="U35" s="47" t="str">
        <f>IF(LandTier1Table[[#This Row],[Total  kg CO2e]]="", "",(LandTier1Table[[#This Row],[Total  kg CO2e]]*(1-LandTier1Table[[#This Row],[RSD estimate (+/-%)]])))</f>
        <v/>
      </c>
      <c r="V35" s="47" t="str">
        <f>LandTier1Table[[#This Row],[Total  kg CO2e]]</f>
        <v/>
      </c>
      <c r="X35" s="1" cm="1">
        <f t="array" ref="X35">IF(OR(ISERROR(B35:V35)),1,0)</f>
        <v>0</v>
      </c>
      <c r="Y35" s="1">
        <f t="shared" si="1"/>
        <v>0</v>
      </c>
    </row>
    <row r="36" spans="1:25" ht="15" thickBot="1" x14ac:dyDescent="0.4">
      <c r="B36" s="208"/>
      <c r="C36" s="208"/>
      <c r="D36" s="208"/>
      <c r="E36" s="436" t="s">
        <v>134</v>
      </c>
      <c r="F36" s="251" t="str">
        <f>IF(LandTier1Table[[#This Row],[Total  kg CO2e]]="", " ", 0.25)</f>
        <v xml:space="preserve"> </v>
      </c>
      <c r="G36" s="148"/>
      <c r="H36" s="425" t="s">
        <v>1100</v>
      </c>
      <c r="I36" s="425">
        <f>LandTier1Table[[#This Row],[Land area in hectares (ha)]]</f>
        <v>0</v>
      </c>
      <c r="J36" s="425" t="s">
        <v>1100</v>
      </c>
      <c r="K36" s="426" t="str" cm="1">
        <f t="array" ref="K36">IF(OR(B36="",C36="",D36="",G36=""),"",INDEX('Land Emission Factors'!$E$9:$J$20,MATCH(B36&amp;C36,'Land Emission Factors'!$C$9:$C$20&amp;'Land Emission Factors'!$D$9:$D$20,0),MATCH('Land use &amp; agriculture'!D36,'Land Emission Factors'!$E$8:$J$8,0)))</f>
        <v/>
      </c>
      <c r="L36" s="427" t="str">
        <f t="shared" si="0"/>
        <v/>
      </c>
      <c r="M36" s="479"/>
      <c r="N36" s="477"/>
      <c r="O36" s="47">
        <v>0</v>
      </c>
      <c r="P36" s="47">
        <v>0</v>
      </c>
      <c r="Q36" s="47">
        <v>0</v>
      </c>
      <c r="R36" s="47">
        <v>0</v>
      </c>
      <c r="S36" s="47">
        <v>0</v>
      </c>
      <c r="T36" s="47" t="str">
        <f>IF(LandTier1Table[[#This Row],[Total  kg CO2e]]="", "",(LandTier1Table[[#This Row],[Total  kg CO2e]]*(1+LandTier1Table[[#This Row],[RSD estimate (+/-%)]])))</f>
        <v/>
      </c>
      <c r="U36" s="47" t="str">
        <f>IF(LandTier1Table[[#This Row],[Total  kg CO2e]]="", "",(LandTier1Table[[#This Row],[Total  kg CO2e]]*(1-LandTier1Table[[#This Row],[RSD estimate (+/-%)]])))</f>
        <v/>
      </c>
      <c r="V36" s="47" t="str">
        <f>LandTier1Table[[#This Row],[Total  kg CO2e]]</f>
        <v/>
      </c>
      <c r="X36" s="1" cm="1">
        <f t="array" ref="X36">IF(OR(ISERROR(B36:V36)),1,0)</f>
        <v>0</v>
      </c>
      <c r="Y36" s="1">
        <f t="shared" si="1"/>
        <v>0</v>
      </c>
    </row>
    <row r="37" spans="1:25" ht="18.649999999999999" customHeight="1" x14ac:dyDescent="0.35"/>
    <row r="38" spans="1:25" x14ac:dyDescent="0.35">
      <c r="B38" s="87" t="s">
        <v>837</v>
      </c>
    </row>
    <row r="39" spans="1:25" ht="19" thickBot="1" x14ac:dyDescent="0.4">
      <c r="B39" s="37" t="s">
        <v>192</v>
      </c>
      <c r="F39"/>
      <c r="G39" s="441" t="str">
        <f>IF($Y$40=0,"No data entered",IF($X$40=0,"No errors in this table","There are errors in this table see highlighted row(s)"))</f>
        <v>No data entered</v>
      </c>
      <c r="X39" s="15" t="s">
        <v>1188</v>
      </c>
      <c r="Y39" s="15" t="s">
        <v>1189</v>
      </c>
    </row>
    <row r="40" spans="1:25" s="397" customFormat="1" ht="26.5" thickBot="1" x14ac:dyDescent="0.4">
      <c r="A40" s="395"/>
      <c r="B40" s="3" t="s">
        <v>193</v>
      </c>
      <c r="C40" s="3" t="s">
        <v>186</v>
      </c>
      <c r="D40" s="112" t="s">
        <v>18</v>
      </c>
      <c r="E40" s="3" t="s">
        <v>195</v>
      </c>
      <c r="F40" s="3" t="s">
        <v>190</v>
      </c>
      <c r="G40" s="3" t="s">
        <v>177</v>
      </c>
      <c r="H40" s="3" t="s">
        <v>1098</v>
      </c>
      <c r="I40" s="3" t="s">
        <v>119</v>
      </c>
      <c r="J40" s="3" t="s">
        <v>120</v>
      </c>
      <c r="K40" s="8" t="s">
        <v>188</v>
      </c>
      <c r="L40" s="7" t="s">
        <v>194</v>
      </c>
      <c r="M40" s="102" t="s">
        <v>196</v>
      </c>
      <c r="N40" s="112" t="s">
        <v>123</v>
      </c>
      <c r="O40" s="12" t="s">
        <v>59</v>
      </c>
      <c r="P40" s="12" t="s">
        <v>124</v>
      </c>
      <c r="Q40" s="12" t="s">
        <v>125</v>
      </c>
      <c r="R40" s="12" t="s">
        <v>126</v>
      </c>
      <c r="S40" s="12" t="s">
        <v>127</v>
      </c>
      <c r="T40" s="12" t="s">
        <v>67</v>
      </c>
      <c r="U40" s="310" t="s">
        <v>68</v>
      </c>
      <c r="V40" s="12" t="s">
        <v>63</v>
      </c>
      <c r="W40" s="396"/>
      <c r="X40" s="15">
        <f>SUM(X41:X63)</f>
        <v>0</v>
      </c>
      <c r="Y40" s="15">
        <f>SUM(Y41:Y63)</f>
        <v>0</v>
      </c>
    </row>
    <row r="41" spans="1:25" ht="15" thickBot="1" x14ac:dyDescent="0.4">
      <c r="A41" s="32"/>
      <c r="B41" s="206"/>
      <c r="C41" s="480"/>
      <c r="D41" s="413"/>
      <c r="E41" s="206"/>
      <c r="F41" s="251" t="str" cm="1">
        <f t="array" ref="F41">IFERROR(_xlfn.SWITCH(LandTier2Table[[#This Row],[Methodology used (IPCC equivalent Tier)]],"Tier 3",0.1,"Tier 2",0.15,"Tier 1",0.2,"",""),"")</f>
        <v/>
      </c>
      <c r="G41" s="148"/>
      <c r="H41" s="425" t="s">
        <v>1100</v>
      </c>
      <c r="I41" s="425">
        <f>LandTier2Table[[#This Row],[Land area in hectares (ha)]]</f>
        <v>0</v>
      </c>
      <c r="J41" s="425" t="s">
        <v>1100</v>
      </c>
      <c r="K41" s="425" t="str">
        <f>IFERROR(LandTier2Table[[#This Row],[Emission kg CO2e]]/LandTier2Table[[#This Row],[Land area in hectares (ha)]],"")</f>
        <v/>
      </c>
      <c r="L41" s="148"/>
      <c r="M41" s="479"/>
      <c r="N41" s="477"/>
      <c r="O41" s="288">
        <v>0</v>
      </c>
      <c r="P41" s="288">
        <v>0</v>
      </c>
      <c r="Q41" s="288">
        <v>0</v>
      </c>
      <c r="R41" s="288">
        <v>0</v>
      </c>
      <c r="S41" s="288">
        <v>0</v>
      </c>
      <c r="T41" s="289" t="str">
        <f>IF(LandTier2Table[[#This Row],[Emission kg CO2e]]="", "",(LandTier2Table[[#This Row],[Emission kg CO2e]]*(1+LandTier2Table[[#This Row],[RSD estimate (+/-%)]])))</f>
        <v/>
      </c>
      <c r="U41" s="289" t="str">
        <f>IF(LandTier2Table[[#This Row],[Emission kg CO2e]]="", "",(LandTier2Table[[#This Row],[Emission kg CO2e]]*(1-LandTier2Table[[#This Row],[RSD estimate (+/-%)]])))</f>
        <v/>
      </c>
      <c r="V41" s="288">
        <f>LandTier2Table[[#This Row],[Emission kg CO2e]]</f>
        <v>0</v>
      </c>
      <c r="W41" s="66"/>
      <c r="X41" s="1" cm="1">
        <f t="array" ref="X41">IF(OR(ISERROR(B41:V41)),1,0)</f>
        <v>0</v>
      </c>
      <c r="Y41" s="1">
        <f>IF(AND(G41="",L41="",B41=""),0,1)</f>
        <v>0</v>
      </c>
    </row>
    <row r="42" spans="1:25" ht="15" thickBot="1" x14ac:dyDescent="0.4">
      <c r="A42" s="32"/>
      <c r="B42" s="206"/>
      <c r="C42" s="206"/>
      <c r="D42" s="413"/>
      <c r="E42" s="206"/>
      <c r="F42" s="251" t="str" cm="1">
        <f t="array" ref="F42">IFERROR(_xlfn.SWITCH(LandTier2Table[[#This Row],[Methodology used (IPCC equivalent Tier)]],"Tier 3",0.1,"Tier 2",0.15,"Tier 1",0.2,"",""),"")</f>
        <v/>
      </c>
      <c r="G42" s="148"/>
      <c r="H42" s="425" t="s">
        <v>1100</v>
      </c>
      <c r="I42" s="425">
        <f>LandTier2Table[[#This Row],[Land area in hectares (ha)]]</f>
        <v>0</v>
      </c>
      <c r="J42" s="425" t="s">
        <v>1100</v>
      </c>
      <c r="K42" s="425" t="str">
        <f>IFERROR(LandTier2Table[[#This Row],[Emission kg CO2e]]/LandTier2Table[[#This Row],[Land area in hectares (ha)]],"")</f>
        <v/>
      </c>
      <c r="L42" s="148"/>
      <c r="M42" s="479"/>
      <c r="N42" s="477"/>
      <c r="O42" s="288">
        <v>0</v>
      </c>
      <c r="P42" s="288">
        <v>0</v>
      </c>
      <c r="Q42" s="288">
        <v>0</v>
      </c>
      <c r="R42" s="288">
        <v>0</v>
      </c>
      <c r="S42" s="288">
        <v>0</v>
      </c>
      <c r="T42" s="289" t="str">
        <f>IF(LandTier2Table[[#This Row],[Emission kg CO2e]]="", "",(LandTier2Table[[#This Row],[Emission kg CO2e]]*(1+LandTier2Table[[#This Row],[RSD estimate (+/-%)]])))</f>
        <v/>
      </c>
      <c r="U42" s="307" t="str">
        <f>IF(LandTier2Table[[#This Row],[Emission kg CO2e]]="", "",(LandTier2Table[[#This Row],[Emission kg CO2e]]*(1-LandTier2Table[[#This Row],[RSD estimate (+/-%)]])))</f>
        <v/>
      </c>
      <c r="V42" s="288">
        <f>LandTier2Table[[#This Row],[Emission kg CO2e]]</f>
        <v>0</v>
      </c>
      <c r="W42" s="66"/>
      <c r="X42" s="1" cm="1">
        <f t="array" ref="X42">IF(OR(ISERROR(B42:V42)),1,0)</f>
        <v>0</v>
      </c>
      <c r="Y42" s="1">
        <f t="shared" ref="Y42:Y63" si="2">IF(AND(G42="",L42="",B42=""),0,1)</f>
        <v>0</v>
      </c>
    </row>
    <row r="43" spans="1:25" ht="15" thickBot="1" x14ac:dyDescent="0.4">
      <c r="A43" s="32"/>
      <c r="B43" s="206"/>
      <c r="C43" s="206"/>
      <c r="D43" s="413"/>
      <c r="E43" s="206"/>
      <c r="F43" s="251" t="str" cm="1">
        <f t="array" ref="F43">IFERROR(_xlfn.SWITCH(LandTier2Table[[#This Row],[Methodology used (IPCC equivalent Tier)]],"Tier 3",0.1,"Tier 2",0.15,"Tier 1",0.2,"",""),"")</f>
        <v/>
      </c>
      <c r="G43" s="148"/>
      <c r="H43" s="425" t="s">
        <v>1100</v>
      </c>
      <c r="I43" s="425">
        <f>LandTier2Table[[#This Row],[Land area in hectares (ha)]]</f>
        <v>0</v>
      </c>
      <c r="J43" s="425" t="s">
        <v>1100</v>
      </c>
      <c r="K43" s="425" t="str">
        <f>IFERROR(LandTier2Table[[#This Row],[Emission kg CO2e]]/LandTier2Table[[#This Row],[Land area in hectares (ha)]],"")</f>
        <v/>
      </c>
      <c r="L43" s="148"/>
      <c r="M43" s="479"/>
      <c r="N43" s="477"/>
      <c r="O43" s="288">
        <v>0</v>
      </c>
      <c r="P43" s="288">
        <v>0</v>
      </c>
      <c r="Q43" s="288">
        <v>0</v>
      </c>
      <c r="R43" s="288">
        <v>0</v>
      </c>
      <c r="S43" s="288">
        <v>0</v>
      </c>
      <c r="T43" s="289" t="str">
        <f>IF(LandTier2Table[[#This Row],[Emission kg CO2e]]="", "",(LandTier2Table[[#This Row],[Emission kg CO2e]]*(1+LandTier2Table[[#This Row],[RSD estimate (+/-%)]])))</f>
        <v/>
      </c>
      <c r="U43" s="307" t="str">
        <f>IF(LandTier2Table[[#This Row],[Emission kg CO2e]]="", "",(LandTier2Table[[#This Row],[Emission kg CO2e]]*(1-LandTier2Table[[#This Row],[RSD estimate (+/-%)]])))</f>
        <v/>
      </c>
      <c r="V43" s="288">
        <f>LandTier2Table[[#This Row],[Emission kg CO2e]]</f>
        <v>0</v>
      </c>
      <c r="W43" s="66"/>
      <c r="X43" s="1" cm="1">
        <f t="array" ref="X43">IF(OR(ISERROR(B43:V43)),1,0)</f>
        <v>0</v>
      </c>
      <c r="Y43" s="1">
        <f t="shared" si="2"/>
        <v>0</v>
      </c>
    </row>
    <row r="44" spans="1:25" ht="15" thickBot="1" x14ac:dyDescent="0.4">
      <c r="A44" s="32"/>
      <c r="B44" s="206"/>
      <c r="C44" s="206"/>
      <c r="D44" s="413"/>
      <c r="E44" s="206"/>
      <c r="F44" s="251" t="str" cm="1">
        <f t="array" ref="F44">IFERROR(_xlfn.SWITCH(LandTier2Table[[#This Row],[Methodology used (IPCC equivalent Tier)]],"Tier 3",0.1,"Tier 2",0.15,"Tier 1",0.2,"",""),"")</f>
        <v/>
      </c>
      <c r="G44" s="148"/>
      <c r="H44" s="425" t="s">
        <v>1100</v>
      </c>
      <c r="I44" s="425">
        <f>LandTier2Table[[#This Row],[Land area in hectares (ha)]]</f>
        <v>0</v>
      </c>
      <c r="J44" s="425" t="s">
        <v>1100</v>
      </c>
      <c r="K44" s="425" t="str">
        <f>IFERROR(LandTier2Table[[#This Row],[Emission kg CO2e]]/LandTier2Table[[#This Row],[Land area in hectares (ha)]],"")</f>
        <v/>
      </c>
      <c r="L44" s="148"/>
      <c r="M44" s="479"/>
      <c r="N44" s="477"/>
      <c r="O44" s="288">
        <v>0</v>
      </c>
      <c r="P44" s="288">
        <v>0</v>
      </c>
      <c r="Q44" s="288">
        <v>0</v>
      </c>
      <c r="R44" s="288">
        <v>0</v>
      </c>
      <c r="S44" s="288">
        <v>0</v>
      </c>
      <c r="T44" s="289" t="str">
        <f>IF(LandTier2Table[[#This Row],[Emission kg CO2e]]="", "",(LandTier2Table[[#This Row],[Emission kg CO2e]]*(1+LandTier2Table[[#This Row],[RSD estimate (+/-%)]])))</f>
        <v/>
      </c>
      <c r="U44" s="307" t="str">
        <f>IF(LandTier2Table[[#This Row],[Emission kg CO2e]]="", "",(LandTier2Table[[#This Row],[Emission kg CO2e]]*(1-LandTier2Table[[#This Row],[RSD estimate (+/-%)]])))</f>
        <v/>
      </c>
      <c r="V44" s="288">
        <f>LandTier2Table[[#This Row],[Emission kg CO2e]]</f>
        <v>0</v>
      </c>
      <c r="W44" s="66"/>
      <c r="X44" s="1" cm="1">
        <f t="array" ref="X44">IF(OR(ISERROR(B44:V44)),1,0)</f>
        <v>0</v>
      </c>
      <c r="Y44" s="1">
        <f t="shared" si="2"/>
        <v>0</v>
      </c>
    </row>
    <row r="45" spans="1:25" ht="15" thickBot="1" x14ac:dyDescent="0.4">
      <c r="A45" s="32"/>
      <c r="B45" s="206"/>
      <c r="C45" s="206"/>
      <c r="D45" s="413"/>
      <c r="E45" s="206"/>
      <c r="F45" s="251" t="str" cm="1">
        <f t="array" ref="F45">IFERROR(_xlfn.SWITCH(LandTier2Table[[#This Row],[Methodology used (IPCC equivalent Tier)]],"Tier 3",0.1,"Tier 2",0.15,"Tier 1",0.2,"",""),"")</f>
        <v/>
      </c>
      <c r="G45" s="148"/>
      <c r="H45" s="425" t="s">
        <v>1100</v>
      </c>
      <c r="I45" s="425">
        <f>LandTier2Table[[#This Row],[Land area in hectares (ha)]]</f>
        <v>0</v>
      </c>
      <c r="J45" s="425" t="s">
        <v>1100</v>
      </c>
      <c r="K45" s="425" t="str">
        <f>IFERROR(LandTier2Table[[#This Row],[Emission kg CO2e]]/LandTier2Table[[#This Row],[Land area in hectares (ha)]],"")</f>
        <v/>
      </c>
      <c r="L45" s="148"/>
      <c r="M45" s="479"/>
      <c r="N45" s="477"/>
      <c r="O45" s="288">
        <v>0</v>
      </c>
      <c r="P45" s="288">
        <v>0</v>
      </c>
      <c r="Q45" s="288">
        <v>0</v>
      </c>
      <c r="R45" s="288">
        <v>0</v>
      </c>
      <c r="S45" s="288">
        <v>0</v>
      </c>
      <c r="T45" s="289" t="str">
        <f>IF(LandTier2Table[[#This Row],[Emission kg CO2e]]="", "",(LandTier2Table[[#This Row],[Emission kg CO2e]]*(1+LandTier2Table[[#This Row],[RSD estimate (+/-%)]])))</f>
        <v/>
      </c>
      <c r="U45" s="307" t="str">
        <f>IF(LandTier2Table[[#This Row],[Emission kg CO2e]]="", "",(LandTier2Table[[#This Row],[Emission kg CO2e]]*(1-LandTier2Table[[#This Row],[RSD estimate (+/-%)]])))</f>
        <v/>
      </c>
      <c r="V45" s="288">
        <f>LandTier2Table[[#This Row],[Emission kg CO2e]]</f>
        <v>0</v>
      </c>
      <c r="W45" s="66"/>
      <c r="X45" s="1" cm="1">
        <f t="array" ref="X45">IF(OR(ISERROR(B45:V45)),1,0)</f>
        <v>0</v>
      </c>
      <c r="Y45" s="1">
        <f t="shared" si="2"/>
        <v>0</v>
      </c>
    </row>
    <row r="46" spans="1:25" ht="15" thickBot="1" x14ac:dyDescent="0.4">
      <c r="A46" s="32"/>
      <c r="B46" s="206"/>
      <c r="C46" s="206"/>
      <c r="D46" s="413"/>
      <c r="E46" s="206"/>
      <c r="F46" s="251" t="str" cm="1">
        <f t="array" ref="F46">IFERROR(_xlfn.SWITCH(LandTier2Table[[#This Row],[Methodology used (IPCC equivalent Tier)]],"Tier 3",0.1,"Tier 2",0.15,"Tier 1",0.2,"",""),"")</f>
        <v/>
      </c>
      <c r="G46" s="148"/>
      <c r="H46" s="425" t="s">
        <v>1100</v>
      </c>
      <c r="I46" s="425">
        <f>LandTier2Table[[#This Row],[Land area in hectares (ha)]]</f>
        <v>0</v>
      </c>
      <c r="J46" s="425" t="s">
        <v>1100</v>
      </c>
      <c r="K46" s="425" t="str">
        <f>IFERROR(LandTier2Table[[#This Row],[Emission kg CO2e]]/LandTier2Table[[#This Row],[Land area in hectares (ha)]],"")</f>
        <v/>
      </c>
      <c r="L46" s="148"/>
      <c r="M46" s="479"/>
      <c r="N46" s="477"/>
      <c r="O46" s="288">
        <v>0</v>
      </c>
      <c r="P46" s="288">
        <v>0</v>
      </c>
      <c r="Q46" s="288">
        <v>0</v>
      </c>
      <c r="R46" s="288">
        <v>0</v>
      </c>
      <c r="S46" s="288">
        <v>0</v>
      </c>
      <c r="T46" s="289" t="str">
        <f>IF(LandTier2Table[[#This Row],[Emission kg CO2e]]="", "",(LandTier2Table[[#This Row],[Emission kg CO2e]]*(1+LandTier2Table[[#This Row],[RSD estimate (+/-%)]])))</f>
        <v/>
      </c>
      <c r="U46" s="307" t="str">
        <f>IF(LandTier2Table[[#This Row],[Emission kg CO2e]]="", "",(LandTier2Table[[#This Row],[Emission kg CO2e]]*(1-LandTier2Table[[#This Row],[RSD estimate (+/-%)]])))</f>
        <v/>
      </c>
      <c r="V46" s="288">
        <f>LandTier2Table[[#This Row],[Emission kg CO2e]]</f>
        <v>0</v>
      </c>
      <c r="W46" s="66"/>
      <c r="X46" s="1" cm="1">
        <f t="array" ref="X46">IF(OR(ISERROR(B46:V46)),1,0)</f>
        <v>0</v>
      </c>
      <c r="Y46" s="1">
        <f t="shared" si="2"/>
        <v>0</v>
      </c>
    </row>
    <row r="47" spans="1:25" ht="15" thickBot="1" x14ac:dyDescent="0.4">
      <c r="A47" s="32"/>
      <c r="B47" s="206"/>
      <c r="C47" s="206"/>
      <c r="D47" s="413"/>
      <c r="E47" s="206"/>
      <c r="F47" s="251" t="str" cm="1">
        <f t="array" ref="F47">IFERROR(_xlfn.SWITCH(LandTier2Table[[#This Row],[Methodology used (IPCC equivalent Tier)]],"Tier 3",0.1,"Tier 2",0.15,"Tier 1",0.2,"",""),"")</f>
        <v/>
      </c>
      <c r="G47" s="148"/>
      <c r="H47" s="425" t="s">
        <v>1100</v>
      </c>
      <c r="I47" s="425">
        <f>LandTier2Table[[#This Row],[Land area in hectares (ha)]]</f>
        <v>0</v>
      </c>
      <c r="J47" s="425" t="s">
        <v>1100</v>
      </c>
      <c r="K47" s="425" t="str">
        <f>IFERROR(LandTier2Table[[#This Row],[Emission kg CO2e]]/LandTier2Table[[#This Row],[Land area in hectares (ha)]],"")</f>
        <v/>
      </c>
      <c r="L47" s="148"/>
      <c r="M47" s="479"/>
      <c r="N47" s="477"/>
      <c r="O47" s="288">
        <v>0</v>
      </c>
      <c r="P47" s="288">
        <v>0</v>
      </c>
      <c r="Q47" s="288">
        <v>0</v>
      </c>
      <c r="R47" s="288">
        <v>0</v>
      </c>
      <c r="S47" s="288">
        <v>0</v>
      </c>
      <c r="T47" s="289" t="str">
        <f>IF(LandTier2Table[[#This Row],[Emission kg CO2e]]="", "",(LandTier2Table[[#This Row],[Emission kg CO2e]]*(1+LandTier2Table[[#This Row],[RSD estimate (+/-%)]])))</f>
        <v/>
      </c>
      <c r="U47" s="307" t="str">
        <f>IF(LandTier2Table[[#This Row],[Emission kg CO2e]]="", "",(LandTier2Table[[#This Row],[Emission kg CO2e]]*(1-LandTier2Table[[#This Row],[RSD estimate (+/-%)]])))</f>
        <v/>
      </c>
      <c r="V47" s="288">
        <f>LandTier2Table[[#This Row],[Emission kg CO2e]]</f>
        <v>0</v>
      </c>
      <c r="W47" s="66"/>
      <c r="X47" s="1" cm="1">
        <f t="array" ref="X47">IF(OR(ISERROR(B47:V47)),1,0)</f>
        <v>0</v>
      </c>
      <c r="Y47" s="1">
        <f t="shared" si="2"/>
        <v>0</v>
      </c>
    </row>
    <row r="48" spans="1:25" ht="15" thickBot="1" x14ac:dyDescent="0.4">
      <c r="A48" s="32"/>
      <c r="B48" s="206"/>
      <c r="C48" s="206"/>
      <c r="D48" s="413"/>
      <c r="E48" s="206"/>
      <c r="F48" s="251" t="str" cm="1">
        <f t="array" ref="F48">IFERROR(_xlfn.SWITCH(LandTier2Table[[#This Row],[Methodology used (IPCC equivalent Tier)]],"Tier 3",0.1,"Tier 2",0.15,"Tier 1",0.2,"",""),"")</f>
        <v/>
      </c>
      <c r="G48" s="148"/>
      <c r="H48" s="425" t="s">
        <v>1100</v>
      </c>
      <c r="I48" s="425">
        <f>LandTier2Table[[#This Row],[Land area in hectares (ha)]]</f>
        <v>0</v>
      </c>
      <c r="J48" s="425" t="s">
        <v>1100</v>
      </c>
      <c r="K48" s="425" t="str">
        <f>IFERROR(LandTier2Table[[#This Row],[Emission kg CO2e]]/LandTier2Table[[#This Row],[Land area in hectares (ha)]],"")</f>
        <v/>
      </c>
      <c r="L48" s="148"/>
      <c r="M48" s="479"/>
      <c r="N48" s="477"/>
      <c r="O48" s="288">
        <v>0</v>
      </c>
      <c r="P48" s="288">
        <v>0</v>
      </c>
      <c r="Q48" s="288">
        <v>0</v>
      </c>
      <c r="R48" s="288">
        <v>0</v>
      </c>
      <c r="S48" s="288">
        <v>0</v>
      </c>
      <c r="T48" s="289" t="str">
        <f>IF(LandTier2Table[[#This Row],[Emission kg CO2e]]="", "",(LandTier2Table[[#This Row],[Emission kg CO2e]]*(1+LandTier2Table[[#This Row],[RSD estimate (+/-%)]])))</f>
        <v/>
      </c>
      <c r="U48" s="307" t="str">
        <f>IF(LandTier2Table[[#This Row],[Emission kg CO2e]]="", "",(LandTier2Table[[#This Row],[Emission kg CO2e]]*(1-LandTier2Table[[#This Row],[RSD estimate (+/-%)]])))</f>
        <v/>
      </c>
      <c r="V48" s="288">
        <f>LandTier2Table[[#This Row],[Emission kg CO2e]]</f>
        <v>0</v>
      </c>
      <c r="W48" s="66"/>
      <c r="X48" s="1" cm="1">
        <f t="array" ref="X48">IF(OR(ISERROR(B48:V48)),1,0)</f>
        <v>0</v>
      </c>
      <c r="Y48" s="1">
        <f t="shared" si="2"/>
        <v>0</v>
      </c>
    </row>
    <row r="49" spans="1:25" ht="15" thickBot="1" x14ac:dyDescent="0.4">
      <c r="A49" s="32"/>
      <c r="B49" s="206"/>
      <c r="C49" s="206"/>
      <c r="D49" s="413"/>
      <c r="E49" s="206"/>
      <c r="F49" s="251" t="str" cm="1">
        <f t="array" ref="F49">IFERROR(_xlfn.SWITCH(LandTier2Table[[#This Row],[Methodology used (IPCC equivalent Tier)]],"Tier 3",0.1,"Tier 2",0.15,"Tier 1",0.2,"",""),"")</f>
        <v/>
      </c>
      <c r="G49" s="148"/>
      <c r="H49" s="425" t="s">
        <v>1100</v>
      </c>
      <c r="I49" s="425">
        <f>LandTier2Table[[#This Row],[Land area in hectares (ha)]]</f>
        <v>0</v>
      </c>
      <c r="J49" s="425" t="s">
        <v>1100</v>
      </c>
      <c r="K49" s="425" t="str">
        <f>IFERROR(LandTier2Table[[#This Row],[Emission kg CO2e]]/LandTier2Table[[#This Row],[Land area in hectares (ha)]],"")</f>
        <v/>
      </c>
      <c r="L49" s="148"/>
      <c r="M49" s="479"/>
      <c r="N49" s="477"/>
      <c r="O49" s="288">
        <v>0</v>
      </c>
      <c r="P49" s="288">
        <v>0</v>
      </c>
      <c r="Q49" s="288">
        <v>0</v>
      </c>
      <c r="R49" s="288">
        <v>0</v>
      </c>
      <c r="S49" s="288">
        <v>0</v>
      </c>
      <c r="T49" s="289" t="str">
        <f>IF(LandTier2Table[[#This Row],[Emission kg CO2e]]="", "",(LandTier2Table[[#This Row],[Emission kg CO2e]]*(1+LandTier2Table[[#This Row],[RSD estimate (+/-%)]])))</f>
        <v/>
      </c>
      <c r="U49" s="307" t="str">
        <f>IF(LandTier2Table[[#This Row],[Emission kg CO2e]]="", "",(LandTier2Table[[#This Row],[Emission kg CO2e]]*(1-LandTier2Table[[#This Row],[RSD estimate (+/-%)]])))</f>
        <v/>
      </c>
      <c r="V49" s="288">
        <f>LandTier2Table[[#This Row],[Emission kg CO2e]]</f>
        <v>0</v>
      </c>
      <c r="W49" s="66"/>
      <c r="X49" s="1" cm="1">
        <f t="array" ref="X49">IF(OR(ISERROR(B49:V49)),1,0)</f>
        <v>0</v>
      </c>
      <c r="Y49" s="1">
        <f t="shared" si="2"/>
        <v>0</v>
      </c>
    </row>
    <row r="50" spans="1:25" ht="15" thickBot="1" x14ac:dyDescent="0.4">
      <c r="A50" s="32"/>
      <c r="B50" s="206"/>
      <c r="C50" s="206"/>
      <c r="D50" s="413"/>
      <c r="E50" s="206"/>
      <c r="F50" s="251" t="str" cm="1">
        <f t="array" ref="F50">IFERROR(_xlfn.SWITCH(LandTier2Table[[#This Row],[Methodology used (IPCC equivalent Tier)]],"Tier 3",0.1,"Tier 2",0.15,"Tier 1",0.2,"",""),"")</f>
        <v/>
      </c>
      <c r="G50" s="148"/>
      <c r="H50" s="425" t="s">
        <v>1100</v>
      </c>
      <c r="I50" s="425">
        <f>LandTier2Table[[#This Row],[Land area in hectares (ha)]]</f>
        <v>0</v>
      </c>
      <c r="J50" s="425" t="s">
        <v>1100</v>
      </c>
      <c r="K50" s="425" t="str">
        <f>IFERROR(LandTier2Table[[#This Row],[Emission kg CO2e]]/LandTier2Table[[#This Row],[Land area in hectares (ha)]],"")</f>
        <v/>
      </c>
      <c r="L50" s="148"/>
      <c r="M50" s="479"/>
      <c r="N50" s="477"/>
      <c r="O50" s="288">
        <v>0</v>
      </c>
      <c r="P50" s="288">
        <v>0</v>
      </c>
      <c r="Q50" s="288">
        <v>0</v>
      </c>
      <c r="R50" s="288">
        <v>0</v>
      </c>
      <c r="S50" s="288">
        <v>0</v>
      </c>
      <c r="T50" s="289" t="str">
        <f>IF(LandTier2Table[[#This Row],[Emission kg CO2e]]="", "",(LandTier2Table[[#This Row],[Emission kg CO2e]]*(1+LandTier2Table[[#This Row],[RSD estimate (+/-%)]])))</f>
        <v/>
      </c>
      <c r="U50" s="307" t="str">
        <f>IF(LandTier2Table[[#This Row],[Emission kg CO2e]]="", "",(LandTier2Table[[#This Row],[Emission kg CO2e]]*(1-LandTier2Table[[#This Row],[RSD estimate (+/-%)]])))</f>
        <v/>
      </c>
      <c r="V50" s="288">
        <f>LandTier2Table[[#This Row],[Emission kg CO2e]]</f>
        <v>0</v>
      </c>
      <c r="W50" s="66"/>
      <c r="X50" s="1" cm="1">
        <f t="array" ref="X50">IF(OR(ISERROR(B50:V50)),1,0)</f>
        <v>0</v>
      </c>
      <c r="Y50" s="1">
        <f t="shared" si="2"/>
        <v>0</v>
      </c>
    </row>
    <row r="51" spans="1:25" ht="15" thickBot="1" x14ac:dyDescent="0.4">
      <c r="A51" s="32"/>
      <c r="B51" s="206"/>
      <c r="C51" s="206"/>
      <c r="D51" s="413"/>
      <c r="E51" s="206"/>
      <c r="F51" s="251" t="str" cm="1">
        <f t="array" ref="F51">IFERROR(_xlfn.SWITCH(LandTier2Table[[#This Row],[Methodology used (IPCC equivalent Tier)]],"Tier 3",0.1,"Tier 2",0.15,"Tier 1",0.2,"",""),"")</f>
        <v/>
      </c>
      <c r="G51" s="148"/>
      <c r="H51" s="425" t="s">
        <v>1100</v>
      </c>
      <c r="I51" s="425">
        <f>LandTier2Table[[#This Row],[Land area in hectares (ha)]]</f>
        <v>0</v>
      </c>
      <c r="J51" s="425" t="s">
        <v>1100</v>
      </c>
      <c r="K51" s="425" t="str">
        <f>IFERROR(LandTier2Table[[#This Row],[Emission kg CO2e]]/LandTier2Table[[#This Row],[Land area in hectares (ha)]],"")</f>
        <v/>
      </c>
      <c r="L51" s="148"/>
      <c r="M51" s="479"/>
      <c r="N51" s="477"/>
      <c r="O51" s="288">
        <v>0</v>
      </c>
      <c r="P51" s="288">
        <v>0</v>
      </c>
      <c r="Q51" s="288">
        <v>0</v>
      </c>
      <c r="R51" s="288">
        <v>0</v>
      </c>
      <c r="S51" s="288">
        <v>0</v>
      </c>
      <c r="T51" s="289" t="str">
        <f>IF(LandTier2Table[[#This Row],[Emission kg CO2e]]="", "",(LandTier2Table[[#This Row],[Emission kg CO2e]]*(1+LandTier2Table[[#This Row],[RSD estimate (+/-%)]])))</f>
        <v/>
      </c>
      <c r="U51" s="307" t="str">
        <f>IF(LandTier2Table[[#This Row],[Emission kg CO2e]]="", "",(LandTier2Table[[#This Row],[Emission kg CO2e]]*(1-LandTier2Table[[#This Row],[RSD estimate (+/-%)]])))</f>
        <v/>
      </c>
      <c r="V51" s="288">
        <f>LandTier2Table[[#This Row],[Emission kg CO2e]]</f>
        <v>0</v>
      </c>
      <c r="W51" s="66"/>
      <c r="X51" s="1" cm="1">
        <f t="array" ref="X51">IF(OR(ISERROR(B51:V51)),1,0)</f>
        <v>0</v>
      </c>
      <c r="Y51" s="1">
        <f t="shared" si="2"/>
        <v>0</v>
      </c>
    </row>
    <row r="52" spans="1:25" ht="15" thickBot="1" x14ac:dyDescent="0.4">
      <c r="A52" s="32"/>
      <c r="B52" s="206"/>
      <c r="C52" s="206"/>
      <c r="D52" s="413"/>
      <c r="E52" s="206"/>
      <c r="F52" s="251" t="str" cm="1">
        <f t="array" ref="F52">IFERROR(_xlfn.SWITCH(LandTier2Table[[#This Row],[Methodology used (IPCC equivalent Tier)]],"Tier 3",0.1,"Tier 2",0.15,"Tier 1",0.2,"",""),"")</f>
        <v/>
      </c>
      <c r="G52" s="148"/>
      <c r="H52" s="425" t="s">
        <v>1100</v>
      </c>
      <c r="I52" s="425">
        <f>LandTier2Table[[#This Row],[Land area in hectares (ha)]]</f>
        <v>0</v>
      </c>
      <c r="J52" s="425" t="s">
        <v>1100</v>
      </c>
      <c r="K52" s="425" t="str">
        <f>IFERROR(LandTier2Table[[#This Row],[Emission kg CO2e]]/LandTier2Table[[#This Row],[Land area in hectares (ha)]],"")</f>
        <v/>
      </c>
      <c r="L52" s="148"/>
      <c r="M52" s="479"/>
      <c r="N52" s="477"/>
      <c r="O52" s="288">
        <v>0</v>
      </c>
      <c r="P52" s="288">
        <v>0</v>
      </c>
      <c r="Q52" s="288">
        <v>0</v>
      </c>
      <c r="R52" s="288">
        <v>0</v>
      </c>
      <c r="S52" s="288">
        <v>0</v>
      </c>
      <c r="T52" s="289" t="str">
        <f>IF(LandTier2Table[[#This Row],[Emission kg CO2e]]="", "",(LandTier2Table[[#This Row],[Emission kg CO2e]]*(1+LandTier2Table[[#This Row],[RSD estimate (+/-%)]])))</f>
        <v/>
      </c>
      <c r="U52" s="307" t="str">
        <f>IF(LandTier2Table[[#This Row],[Emission kg CO2e]]="", "",(LandTier2Table[[#This Row],[Emission kg CO2e]]*(1-LandTier2Table[[#This Row],[RSD estimate (+/-%)]])))</f>
        <v/>
      </c>
      <c r="V52" s="288">
        <f>LandTier2Table[[#This Row],[Emission kg CO2e]]</f>
        <v>0</v>
      </c>
      <c r="W52" s="66"/>
      <c r="X52" s="1" cm="1">
        <f t="array" ref="X52">IF(OR(ISERROR(B52:V52)),1,0)</f>
        <v>0</v>
      </c>
      <c r="Y52" s="1">
        <f t="shared" si="2"/>
        <v>0</v>
      </c>
    </row>
    <row r="53" spans="1:25" ht="15" thickBot="1" x14ac:dyDescent="0.4">
      <c r="A53" s="32"/>
      <c r="B53" s="206"/>
      <c r="C53" s="206"/>
      <c r="D53" s="413"/>
      <c r="E53" s="206"/>
      <c r="F53" s="251" t="str" cm="1">
        <f t="array" ref="F53">IFERROR(_xlfn.SWITCH(LandTier2Table[[#This Row],[Methodology used (IPCC equivalent Tier)]],"Tier 3",0.1,"Tier 2",0.15,"Tier 1",0.2,"",""),"")</f>
        <v/>
      </c>
      <c r="G53" s="148"/>
      <c r="H53" s="425" t="s">
        <v>1100</v>
      </c>
      <c r="I53" s="425">
        <f>LandTier2Table[[#This Row],[Land area in hectares (ha)]]</f>
        <v>0</v>
      </c>
      <c r="J53" s="425" t="s">
        <v>1100</v>
      </c>
      <c r="K53" s="425" t="str">
        <f>IFERROR(LandTier2Table[[#This Row],[Emission kg CO2e]]/LandTier2Table[[#This Row],[Land area in hectares (ha)]],"")</f>
        <v/>
      </c>
      <c r="L53" s="148"/>
      <c r="M53" s="479"/>
      <c r="N53" s="477"/>
      <c r="O53" s="288">
        <v>0</v>
      </c>
      <c r="P53" s="288">
        <v>0</v>
      </c>
      <c r="Q53" s="288">
        <v>0</v>
      </c>
      <c r="R53" s="288">
        <v>0</v>
      </c>
      <c r="S53" s="288">
        <v>0</v>
      </c>
      <c r="T53" s="289" t="str">
        <f>IF(LandTier2Table[[#This Row],[Emission kg CO2e]]="", "",(LandTier2Table[[#This Row],[Emission kg CO2e]]*(1+LandTier2Table[[#This Row],[RSD estimate (+/-%)]])))</f>
        <v/>
      </c>
      <c r="U53" s="307" t="str">
        <f>IF(LandTier2Table[[#This Row],[Emission kg CO2e]]="", "",(LandTier2Table[[#This Row],[Emission kg CO2e]]*(1-LandTier2Table[[#This Row],[RSD estimate (+/-%)]])))</f>
        <v/>
      </c>
      <c r="V53" s="288">
        <f>LandTier2Table[[#This Row],[Emission kg CO2e]]</f>
        <v>0</v>
      </c>
      <c r="W53" s="66"/>
      <c r="X53" s="1" cm="1">
        <f t="array" ref="X53">IF(OR(ISERROR(B53:V53)),1,0)</f>
        <v>0</v>
      </c>
      <c r="Y53" s="1">
        <f t="shared" si="2"/>
        <v>0</v>
      </c>
    </row>
    <row r="54" spans="1:25" ht="15" thickBot="1" x14ac:dyDescent="0.4">
      <c r="A54" s="32"/>
      <c r="B54" s="206"/>
      <c r="C54" s="206"/>
      <c r="D54" s="413"/>
      <c r="E54" s="206"/>
      <c r="F54" s="251" t="str" cm="1">
        <f t="array" ref="F54">IFERROR(_xlfn.SWITCH(LandTier2Table[[#This Row],[Methodology used (IPCC equivalent Tier)]],"Tier 3",0.1,"Tier 2",0.15,"Tier 1",0.2,"",""),"")</f>
        <v/>
      </c>
      <c r="G54" s="148"/>
      <c r="H54" s="425" t="s">
        <v>1100</v>
      </c>
      <c r="I54" s="425">
        <f>LandTier2Table[[#This Row],[Land area in hectares (ha)]]</f>
        <v>0</v>
      </c>
      <c r="J54" s="425" t="s">
        <v>1100</v>
      </c>
      <c r="K54" s="425" t="str">
        <f>IFERROR(LandTier2Table[[#This Row],[Emission kg CO2e]]/LandTier2Table[[#This Row],[Land area in hectares (ha)]],"")</f>
        <v/>
      </c>
      <c r="L54" s="148"/>
      <c r="M54" s="479"/>
      <c r="N54" s="477"/>
      <c r="O54" s="288">
        <v>0</v>
      </c>
      <c r="P54" s="288">
        <v>0</v>
      </c>
      <c r="Q54" s="288">
        <v>0</v>
      </c>
      <c r="R54" s="288">
        <v>0</v>
      </c>
      <c r="S54" s="288">
        <v>0</v>
      </c>
      <c r="T54" s="289" t="str">
        <f>IF(LandTier2Table[[#This Row],[Emission kg CO2e]]="", "",(LandTier2Table[[#This Row],[Emission kg CO2e]]*(1+LandTier2Table[[#This Row],[RSD estimate (+/-%)]])))</f>
        <v/>
      </c>
      <c r="U54" s="307" t="str">
        <f>IF(LandTier2Table[[#This Row],[Emission kg CO2e]]="", "",(LandTier2Table[[#This Row],[Emission kg CO2e]]*(1-LandTier2Table[[#This Row],[RSD estimate (+/-%)]])))</f>
        <v/>
      </c>
      <c r="V54" s="288">
        <f>LandTier2Table[[#This Row],[Emission kg CO2e]]</f>
        <v>0</v>
      </c>
      <c r="W54" s="66"/>
      <c r="X54" s="1" cm="1">
        <f t="array" ref="X54">IF(OR(ISERROR(B54:V54)),1,0)</f>
        <v>0</v>
      </c>
      <c r="Y54" s="1">
        <f t="shared" si="2"/>
        <v>0</v>
      </c>
    </row>
    <row r="55" spans="1:25" ht="15" thickBot="1" x14ac:dyDescent="0.4">
      <c r="A55" s="32"/>
      <c r="B55" s="206"/>
      <c r="C55" s="206"/>
      <c r="D55" s="413"/>
      <c r="E55" s="206"/>
      <c r="F55" s="251" t="str" cm="1">
        <f t="array" ref="F55">IFERROR(_xlfn.SWITCH(LandTier2Table[[#This Row],[Methodology used (IPCC equivalent Tier)]],"Tier 3",0.1,"Tier 2",0.15,"Tier 1",0.2,"",""),"")</f>
        <v/>
      </c>
      <c r="G55" s="148"/>
      <c r="H55" s="425" t="s">
        <v>1100</v>
      </c>
      <c r="I55" s="425">
        <f>LandTier2Table[[#This Row],[Land area in hectares (ha)]]</f>
        <v>0</v>
      </c>
      <c r="J55" s="425" t="s">
        <v>1100</v>
      </c>
      <c r="K55" s="425" t="str">
        <f>IFERROR(LandTier2Table[[#This Row],[Emission kg CO2e]]/LandTier2Table[[#This Row],[Land area in hectares (ha)]],"")</f>
        <v/>
      </c>
      <c r="L55" s="148"/>
      <c r="M55" s="479"/>
      <c r="N55" s="477"/>
      <c r="O55" s="288">
        <v>0</v>
      </c>
      <c r="P55" s="288">
        <v>0</v>
      </c>
      <c r="Q55" s="288">
        <v>0</v>
      </c>
      <c r="R55" s="288">
        <v>0</v>
      </c>
      <c r="S55" s="288">
        <v>0</v>
      </c>
      <c r="T55" s="289" t="str">
        <f>IF(LandTier2Table[[#This Row],[Emission kg CO2e]]="", "",(LandTier2Table[[#This Row],[Emission kg CO2e]]*(1+LandTier2Table[[#This Row],[RSD estimate (+/-%)]])))</f>
        <v/>
      </c>
      <c r="U55" s="307" t="str">
        <f>IF(LandTier2Table[[#This Row],[Emission kg CO2e]]="", "",(LandTier2Table[[#This Row],[Emission kg CO2e]]*(1-LandTier2Table[[#This Row],[RSD estimate (+/-%)]])))</f>
        <v/>
      </c>
      <c r="V55" s="288">
        <f>LandTier2Table[[#This Row],[Emission kg CO2e]]</f>
        <v>0</v>
      </c>
      <c r="W55" s="66"/>
      <c r="X55" s="1" cm="1">
        <f t="array" ref="X55">IF(OR(ISERROR(B55:V55)),1,0)</f>
        <v>0</v>
      </c>
      <c r="Y55" s="1">
        <f t="shared" si="2"/>
        <v>0</v>
      </c>
    </row>
    <row r="56" spans="1:25" ht="15" thickBot="1" x14ac:dyDescent="0.4">
      <c r="A56" s="32"/>
      <c r="B56" s="206"/>
      <c r="C56" s="206"/>
      <c r="D56" s="413"/>
      <c r="E56" s="206"/>
      <c r="F56" s="251" t="str" cm="1">
        <f t="array" ref="F56">IFERROR(_xlfn.SWITCH(LandTier2Table[[#This Row],[Methodology used (IPCC equivalent Tier)]],"Tier 3",0.1,"Tier 2",0.15,"Tier 1",0.2,"",""),"")</f>
        <v/>
      </c>
      <c r="G56" s="148"/>
      <c r="H56" s="425" t="s">
        <v>1100</v>
      </c>
      <c r="I56" s="425">
        <f>LandTier2Table[[#This Row],[Land area in hectares (ha)]]</f>
        <v>0</v>
      </c>
      <c r="J56" s="425" t="s">
        <v>1100</v>
      </c>
      <c r="K56" s="425" t="str">
        <f>IFERROR(LandTier2Table[[#This Row],[Emission kg CO2e]]/LandTier2Table[[#This Row],[Land area in hectares (ha)]],"")</f>
        <v/>
      </c>
      <c r="L56" s="148"/>
      <c r="M56" s="479"/>
      <c r="N56" s="477"/>
      <c r="O56" s="288">
        <v>0</v>
      </c>
      <c r="P56" s="288">
        <v>0</v>
      </c>
      <c r="Q56" s="288">
        <v>0</v>
      </c>
      <c r="R56" s="288">
        <v>0</v>
      </c>
      <c r="S56" s="288">
        <v>0</v>
      </c>
      <c r="T56" s="289" t="str">
        <f>IF(LandTier2Table[[#This Row],[Emission kg CO2e]]="", "",(LandTier2Table[[#This Row],[Emission kg CO2e]]*(1+LandTier2Table[[#This Row],[RSD estimate (+/-%)]])))</f>
        <v/>
      </c>
      <c r="U56" s="307" t="str">
        <f>IF(LandTier2Table[[#This Row],[Emission kg CO2e]]="", "",(LandTier2Table[[#This Row],[Emission kg CO2e]]*(1-LandTier2Table[[#This Row],[RSD estimate (+/-%)]])))</f>
        <v/>
      </c>
      <c r="V56" s="288">
        <f>LandTier2Table[[#This Row],[Emission kg CO2e]]</f>
        <v>0</v>
      </c>
      <c r="W56" s="66"/>
      <c r="X56" s="1" cm="1">
        <f t="array" ref="X56">IF(OR(ISERROR(B56:V56)),1,0)</f>
        <v>0</v>
      </c>
      <c r="Y56" s="1">
        <f t="shared" si="2"/>
        <v>0</v>
      </c>
    </row>
    <row r="57" spans="1:25" ht="15" thickBot="1" x14ac:dyDescent="0.4">
      <c r="A57" s="32"/>
      <c r="B57" s="206"/>
      <c r="C57" s="206"/>
      <c r="D57" s="413"/>
      <c r="E57" s="206"/>
      <c r="F57" s="251" t="str" cm="1">
        <f t="array" ref="F57">IFERROR(_xlfn.SWITCH(LandTier2Table[[#This Row],[Methodology used (IPCC equivalent Tier)]],"Tier 3",0.1,"Tier 2",0.15,"Tier 1",0.2,"",""),"")</f>
        <v/>
      </c>
      <c r="G57" s="148"/>
      <c r="H57" s="425" t="s">
        <v>1100</v>
      </c>
      <c r="I57" s="425">
        <f>LandTier2Table[[#This Row],[Land area in hectares (ha)]]</f>
        <v>0</v>
      </c>
      <c r="J57" s="425" t="s">
        <v>1100</v>
      </c>
      <c r="K57" s="425" t="str">
        <f>IFERROR(LandTier2Table[[#This Row],[Emission kg CO2e]]/LandTier2Table[[#This Row],[Land area in hectares (ha)]],"")</f>
        <v/>
      </c>
      <c r="L57" s="148"/>
      <c r="M57" s="479"/>
      <c r="N57" s="477"/>
      <c r="O57" s="288">
        <v>0</v>
      </c>
      <c r="P57" s="288">
        <v>0</v>
      </c>
      <c r="Q57" s="288">
        <v>0</v>
      </c>
      <c r="R57" s="288">
        <v>0</v>
      </c>
      <c r="S57" s="288">
        <v>0</v>
      </c>
      <c r="T57" s="289" t="str">
        <f>IF(LandTier2Table[[#This Row],[Emission kg CO2e]]="", "",(LandTier2Table[[#This Row],[Emission kg CO2e]]*(1+LandTier2Table[[#This Row],[RSD estimate (+/-%)]])))</f>
        <v/>
      </c>
      <c r="U57" s="307" t="str">
        <f>IF(LandTier2Table[[#This Row],[Emission kg CO2e]]="", "",(LandTier2Table[[#This Row],[Emission kg CO2e]]*(1-LandTier2Table[[#This Row],[RSD estimate (+/-%)]])))</f>
        <v/>
      </c>
      <c r="V57" s="288">
        <f>LandTier2Table[[#This Row],[Emission kg CO2e]]</f>
        <v>0</v>
      </c>
      <c r="W57" s="66"/>
      <c r="X57" s="1" cm="1">
        <f t="array" ref="X57">IF(OR(ISERROR(B57:V57)),1,0)</f>
        <v>0</v>
      </c>
      <c r="Y57" s="1">
        <f t="shared" si="2"/>
        <v>0</v>
      </c>
    </row>
    <row r="58" spans="1:25" ht="15" thickBot="1" x14ac:dyDescent="0.4">
      <c r="A58" s="32"/>
      <c r="B58" s="206"/>
      <c r="C58" s="206"/>
      <c r="D58" s="413"/>
      <c r="E58" s="206"/>
      <c r="F58" s="251" t="str" cm="1">
        <f t="array" ref="F58">IFERROR(_xlfn.SWITCH(LandTier2Table[[#This Row],[Methodology used (IPCC equivalent Tier)]],"Tier 3",0.1,"Tier 2",0.15,"Tier 1",0.2,"",""),"")</f>
        <v/>
      </c>
      <c r="G58" s="148"/>
      <c r="H58" s="425" t="s">
        <v>1100</v>
      </c>
      <c r="I58" s="425">
        <f>LandTier2Table[[#This Row],[Land area in hectares (ha)]]</f>
        <v>0</v>
      </c>
      <c r="J58" s="425" t="s">
        <v>1100</v>
      </c>
      <c r="K58" s="425" t="str">
        <f>IFERROR(LandTier2Table[[#This Row],[Emission kg CO2e]]/LandTier2Table[[#This Row],[Land area in hectares (ha)]],"")</f>
        <v/>
      </c>
      <c r="L58" s="148"/>
      <c r="M58" s="479"/>
      <c r="N58" s="477"/>
      <c r="O58" s="288">
        <v>0</v>
      </c>
      <c r="P58" s="288">
        <v>0</v>
      </c>
      <c r="Q58" s="288">
        <v>0</v>
      </c>
      <c r="R58" s="288">
        <v>0</v>
      </c>
      <c r="S58" s="288">
        <v>0</v>
      </c>
      <c r="T58" s="289" t="str">
        <f>IF(LandTier2Table[[#This Row],[Emission kg CO2e]]="", "",(LandTier2Table[[#This Row],[Emission kg CO2e]]*(1+LandTier2Table[[#This Row],[RSD estimate (+/-%)]])))</f>
        <v/>
      </c>
      <c r="U58" s="307" t="str">
        <f>IF(LandTier2Table[[#This Row],[Emission kg CO2e]]="", "",(LandTier2Table[[#This Row],[Emission kg CO2e]]*(1-LandTier2Table[[#This Row],[RSD estimate (+/-%)]])))</f>
        <v/>
      </c>
      <c r="V58" s="288">
        <f>LandTier2Table[[#This Row],[Emission kg CO2e]]</f>
        <v>0</v>
      </c>
      <c r="W58" s="66"/>
      <c r="X58" s="1" cm="1">
        <f t="array" ref="X58">IF(OR(ISERROR(B58:V58)),1,0)</f>
        <v>0</v>
      </c>
      <c r="Y58" s="1">
        <f t="shared" si="2"/>
        <v>0</v>
      </c>
    </row>
    <row r="59" spans="1:25" ht="15" thickBot="1" x14ac:dyDescent="0.4">
      <c r="A59" s="32"/>
      <c r="B59" s="206"/>
      <c r="C59" s="206"/>
      <c r="D59" s="413"/>
      <c r="E59" s="206"/>
      <c r="F59" s="251" t="str" cm="1">
        <f t="array" ref="F59">IFERROR(_xlfn.SWITCH(LandTier2Table[[#This Row],[Methodology used (IPCC equivalent Tier)]],"Tier 3",0.1,"Tier 2",0.15,"Tier 1",0.2,"",""),"")</f>
        <v/>
      </c>
      <c r="G59" s="148"/>
      <c r="H59" s="425" t="s">
        <v>1100</v>
      </c>
      <c r="I59" s="425">
        <f>LandTier2Table[[#This Row],[Land area in hectares (ha)]]</f>
        <v>0</v>
      </c>
      <c r="J59" s="425" t="s">
        <v>1100</v>
      </c>
      <c r="K59" s="425" t="str">
        <f>IFERROR(LandTier2Table[[#This Row],[Emission kg CO2e]]/LandTier2Table[[#This Row],[Land area in hectares (ha)]],"")</f>
        <v/>
      </c>
      <c r="L59" s="148"/>
      <c r="M59" s="479"/>
      <c r="N59" s="477"/>
      <c r="O59" s="288">
        <v>0</v>
      </c>
      <c r="P59" s="288">
        <v>0</v>
      </c>
      <c r="Q59" s="288">
        <v>0</v>
      </c>
      <c r="R59" s="288">
        <v>0</v>
      </c>
      <c r="S59" s="288">
        <v>0</v>
      </c>
      <c r="T59" s="289" t="str">
        <f>IF(LandTier2Table[[#This Row],[Emission kg CO2e]]="", "",(LandTier2Table[[#This Row],[Emission kg CO2e]]*(1+LandTier2Table[[#This Row],[RSD estimate (+/-%)]])))</f>
        <v/>
      </c>
      <c r="U59" s="307" t="str">
        <f>IF(LandTier2Table[[#This Row],[Emission kg CO2e]]="", "",(LandTier2Table[[#This Row],[Emission kg CO2e]]*(1-LandTier2Table[[#This Row],[RSD estimate (+/-%)]])))</f>
        <v/>
      </c>
      <c r="V59" s="288">
        <f>LandTier2Table[[#This Row],[Emission kg CO2e]]</f>
        <v>0</v>
      </c>
      <c r="W59" s="66"/>
      <c r="X59" s="1" cm="1">
        <f t="array" ref="X59">IF(OR(ISERROR(B59:V59)),1,0)</f>
        <v>0</v>
      </c>
      <c r="Y59" s="1">
        <f t="shared" si="2"/>
        <v>0</v>
      </c>
    </row>
    <row r="60" spans="1:25" ht="15" thickBot="1" x14ac:dyDescent="0.4">
      <c r="A60" s="32"/>
      <c r="B60" s="206"/>
      <c r="C60" s="206"/>
      <c r="D60" s="413"/>
      <c r="E60" s="206"/>
      <c r="F60" s="251" t="str" cm="1">
        <f t="array" ref="F60">IFERROR(_xlfn.SWITCH(LandTier2Table[[#This Row],[Methodology used (IPCC equivalent Tier)]],"Tier 3",0.1,"Tier 2",0.15,"Tier 1",0.2,"",""),"")</f>
        <v/>
      </c>
      <c r="G60" s="148"/>
      <c r="H60" s="425" t="s">
        <v>1100</v>
      </c>
      <c r="I60" s="425">
        <f>LandTier2Table[[#This Row],[Land area in hectares (ha)]]</f>
        <v>0</v>
      </c>
      <c r="J60" s="425" t="s">
        <v>1100</v>
      </c>
      <c r="K60" s="425" t="str">
        <f>IFERROR(LandTier2Table[[#This Row],[Emission kg CO2e]]/LandTier2Table[[#This Row],[Land area in hectares (ha)]],"")</f>
        <v/>
      </c>
      <c r="L60" s="148"/>
      <c r="M60" s="479"/>
      <c r="N60" s="477"/>
      <c r="O60" s="288">
        <v>0</v>
      </c>
      <c r="P60" s="288">
        <v>0</v>
      </c>
      <c r="Q60" s="288">
        <v>0</v>
      </c>
      <c r="R60" s="288">
        <v>0</v>
      </c>
      <c r="S60" s="288">
        <v>0</v>
      </c>
      <c r="T60" s="289" t="str">
        <f>IF(LandTier2Table[[#This Row],[Emission kg CO2e]]="", "",(LandTier2Table[[#This Row],[Emission kg CO2e]]*(1+LandTier2Table[[#This Row],[RSD estimate (+/-%)]])))</f>
        <v/>
      </c>
      <c r="U60" s="307" t="str">
        <f>IF(LandTier2Table[[#This Row],[Emission kg CO2e]]="", "",(LandTier2Table[[#This Row],[Emission kg CO2e]]*(1-LandTier2Table[[#This Row],[RSD estimate (+/-%)]])))</f>
        <v/>
      </c>
      <c r="V60" s="288">
        <f>LandTier2Table[[#This Row],[Emission kg CO2e]]</f>
        <v>0</v>
      </c>
      <c r="W60" s="66"/>
      <c r="X60" s="1" cm="1">
        <f t="array" ref="X60">IF(OR(ISERROR(B60:V60)),1,0)</f>
        <v>0</v>
      </c>
      <c r="Y60" s="1">
        <f t="shared" si="2"/>
        <v>0</v>
      </c>
    </row>
    <row r="61" spans="1:25" ht="15" thickBot="1" x14ac:dyDescent="0.4">
      <c r="A61" s="32"/>
      <c r="B61" s="206"/>
      <c r="C61" s="206"/>
      <c r="D61" s="413"/>
      <c r="E61" s="206"/>
      <c r="F61" s="251" t="str" cm="1">
        <f t="array" ref="F61">IFERROR(_xlfn.SWITCH(LandTier2Table[[#This Row],[Methodology used (IPCC equivalent Tier)]],"Tier 3",0.1,"Tier 2",0.15,"Tier 1",0.2,"",""),"")</f>
        <v/>
      </c>
      <c r="G61" s="148"/>
      <c r="H61" s="425" t="s">
        <v>1100</v>
      </c>
      <c r="I61" s="425">
        <f>LandTier2Table[[#This Row],[Land area in hectares (ha)]]</f>
        <v>0</v>
      </c>
      <c r="J61" s="425" t="s">
        <v>1100</v>
      </c>
      <c r="K61" s="425" t="str">
        <f>IFERROR(LandTier2Table[[#This Row],[Emission kg CO2e]]/LandTier2Table[[#This Row],[Land area in hectares (ha)]],"")</f>
        <v/>
      </c>
      <c r="L61" s="148"/>
      <c r="M61" s="479"/>
      <c r="N61" s="477"/>
      <c r="O61" s="288">
        <v>0</v>
      </c>
      <c r="P61" s="288">
        <v>0</v>
      </c>
      <c r="Q61" s="288">
        <v>0</v>
      </c>
      <c r="R61" s="288">
        <v>0</v>
      </c>
      <c r="S61" s="288">
        <v>0</v>
      </c>
      <c r="T61" s="289" t="str">
        <f>IF(LandTier2Table[[#This Row],[Emission kg CO2e]]="", "",(LandTier2Table[[#This Row],[Emission kg CO2e]]*(1+LandTier2Table[[#This Row],[RSD estimate (+/-%)]])))</f>
        <v/>
      </c>
      <c r="U61" s="307" t="str">
        <f>IF(LandTier2Table[[#This Row],[Emission kg CO2e]]="", "",(LandTier2Table[[#This Row],[Emission kg CO2e]]*(1-LandTier2Table[[#This Row],[RSD estimate (+/-%)]])))</f>
        <v/>
      </c>
      <c r="V61" s="288">
        <f>LandTier2Table[[#This Row],[Emission kg CO2e]]</f>
        <v>0</v>
      </c>
      <c r="W61" s="66"/>
      <c r="X61" s="1" cm="1">
        <f t="array" ref="X61">IF(OR(ISERROR(B61:V61)),1,0)</f>
        <v>0</v>
      </c>
      <c r="Y61" s="1">
        <f t="shared" si="2"/>
        <v>0</v>
      </c>
    </row>
    <row r="62" spans="1:25" ht="15" thickBot="1" x14ac:dyDescent="0.4">
      <c r="A62" s="32"/>
      <c r="B62" s="206"/>
      <c r="C62" s="206"/>
      <c r="D62" s="413"/>
      <c r="E62" s="206"/>
      <c r="F62" s="251" t="str" cm="1">
        <f t="array" ref="F62">IFERROR(_xlfn.SWITCH(LandTier2Table[[#This Row],[Methodology used (IPCC equivalent Tier)]],"Tier 3",0.1,"Tier 2",0.15,"Tier 1",0.2,"",""),"")</f>
        <v/>
      </c>
      <c r="G62" s="148"/>
      <c r="H62" s="425" t="s">
        <v>1100</v>
      </c>
      <c r="I62" s="425">
        <f>LandTier2Table[[#This Row],[Land area in hectares (ha)]]</f>
        <v>0</v>
      </c>
      <c r="J62" s="425" t="s">
        <v>1100</v>
      </c>
      <c r="K62" s="425" t="str">
        <f>IFERROR(LandTier2Table[[#This Row],[Emission kg CO2e]]/LandTier2Table[[#This Row],[Land area in hectares (ha)]],"")</f>
        <v/>
      </c>
      <c r="L62" s="148"/>
      <c r="M62" s="479"/>
      <c r="N62" s="477"/>
      <c r="O62" s="288">
        <v>0</v>
      </c>
      <c r="P62" s="288">
        <v>0</v>
      </c>
      <c r="Q62" s="288">
        <v>0</v>
      </c>
      <c r="R62" s="288">
        <v>0</v>
      </c>
      <c r="S62" s="288">
        <v>0</v>
      </c>
      <c r="T62" s="289" t="str">
        <f>IF(LandTier2Table[[#This Row],[Emission kg CO2e]]="", "",(LandTier2Table[[#This Row],[Emission kg CO2e]]*(1+LandTier2Table[[#This Row],[RSD estimate (+/-%)]])))</f>
        <v/>
      </c>
      <c r="U62" s="307" t="str">
        <f>IF(LandTier2Table[[#This Row],[Emission kg CO2e]]="", "",(LandTier2Table[[#This Row],[Emission kg CO2e]]*(1-LandTier2Table[[#This Row],[RSD estimate (+/-%)]])))</f>
        <v/>
      </c>
      <c r="V62" s="288">
        <f>LandTier2Table[[#This Row],[Emission kg CO2e]]</f>
        <v>0</v>
      </c>
      <c r="W62" s="66"/>
      <c r="X62" s="1" cm="1">
        <f t="array" ref="X62">IF(OR(ISERROR(B62:V62)),1,0)</f>
        <v>0</v>
      </c>
      <c r="Y62" s="1">
        <f t="shared" si="2"/>
        <v>0</v>
      </c>
    </row>
    <row r="63" spans="1:25" ht="15" thickBot="1" x14ac:dyDescent="0.4">
      <c r="A63" s="32"/>
      <c r="B63" s="206"/>
      <c r="C63" s="206"/>
      <c r="D63" s="413"/>
      <c r="E63" s="206"/>
      <c r="F63" s="251" t="str" cm="1">
        <f t="array" ref="F63">IFERROR(_xlfn.SWITCH(LandTier2Table[[#This Row],[Methodology used (IPCC equivalent Tier)]],"Tier 3",0.1,"Tier 2",0.15,"Tier 1",0.2,"",""),"")</f>
        <v/>
      </c>
      <c r="G63" s="148"/>
      <c r="H63" s="425" t="s">
        <v>1100</v>
      </c>
      <c r="I63" s="425">
        <f>LandTier2Table[[#This Row],[Land area in hectares (ha)]]</f>
        <v>0</v>
      </c>
      <c r="J63" s="425" t="s">
        <v>1100</v>
      </c>
      <c r="K63" s="425" t="str">
        <f>IFERROR(LandTier2Table[[#This Row],[Emission kg CO2e]]/LandTier2Table[[#This Row],[Land area in hectares (ha)]],"")</f>
        <v/>
      </c>
      <c r="L63" s="148"/>
      <c r="M63" s="479"/>
      <c r="N63" s="477"/>
      <c r="O63" s="288">
        <v>0</v>
      </c>
      <c r="P63" s="288">
        <v>0</v>
      </c>
      <c r="Q63" s="288">
        <v>0</v>
      </c>
      <c r="R63" s="288">
        <v>0</v>
      </c>
      <c r="S63" s="288">
        <v>0</v>
      </c>
      <c r="T63" s="289" t="str">
        <f>IF(LandTier2Table[[#This Row],[Emission kg CO2e]]="", "",(LandTier2Table[[#This Row],[Emission kg CO2e]]*(1+LandTier2Table[[#This Row],[RSD estimate (+/-%)]])))</f>
        <v/>
      </c>
      <c r="U63" s="307" t="str">
        <f>IF(LandTier2Table[[#This Row],[Emission kg CO2e]]="", "",(LandTier2Table[[#This Row],[Emission kg CO2e]]*(1-LandTier2Table[[#This Row],[RSD estimate (+/-%)]])))</f>
        <v/>
      </c>
      <c r="V63" s="288">
        <f>LandTier2Table[[#This Row],[Emission kg CO2e]]</f>
        <v>0</v>
      </c>
      <c r="W63" s="66"/>
      <c r="X63" s="1" cm="1">
        <f t="array" ref="X63">IF(OR(ISERROR(B63:V63)),1,0)</f>
        <v>0</v>
      </c>
      <c r="Y63" s="1">
        <f t="shared" si="2"/>
        <v>0</v>
      </c>
    </row>
    <row r="64" spans="1:25" x14ac:dyDescent="0.35">
      <c r="B64" s="33"/>
      <c r="C64" s="33"/>
      <c r="D64" s="33"/>
      <c r="E64" s="33"/>
      <c r="F64" s="33"/>
      <c r="G64" s="33"/>
      <c r="H64" s="33"/>
      <c r="I64" s="33"/>
    </row>
    <row r="65" spans="2:25" ht="19" thickBot="1" x14ac:dyDescent="0.5">
      <c r="B65" s="194" t="s">
        <v>152</v>
      </c>
      <c r="C65" s="18"/>
      <c r="F65"/>
      <c r="G65" s="441" t="str">
        <f>IF($Y$66=0,"No data entered",IF($X$66=0,"No errors in this table","There are errors in this table see highlighted row(s)"))</f>
        <v>No data entered</v>
      </c>
      <c r="I65"/>
      <c r="O65" s="51" t="s">
        <v>830</v>
      </c>
      <c r="T65" s="56"/>
      <c r="U65" s="309"/>
      <c r="V65" s="66"/>
      <c r="X65" s="15" t="s">
        <v>1188</v>
      </c>
      <c r="Y65" s="15" t="s">
        <v>1189</v>
      </c>
    </row>
    <row r="66" spans="2:25" s="397" customFormat="1" ht="26.5" thickBot="1" x14ac:dyDescent="0.4">
      <c r="B66" s="388" t="s">
        <v>153</v>
      </c>
      <c r="C66" s="112" t="s">
        <v>154</v>
      </c>
      <c r="D66" s="112" t="s">
        <v>18</v>
      </c>
      <c r="E66" s="112" t="s">
        <v>115</v>
      </c>
      <c r="F66" s="112" t="s">
        <v>116</v>
      </c>
      <c r="G66" s="112" t="s">
        <v>117</v>
      </c>
      <c r="H66" s="112" t="s">
        <v>118</v>
      </c>
      <c r="I66" s="112" t="s">
        <v>119</v>
      </c>
      <c r="J66" s="112" t="s">
        <v>120</v>
      </c>
      <c r="K66" s="112" t="s">
        <v>1101</v>
      </c>
      <c r="L66" s="112" t="s">
        <v>1102</v>
      </c>
      <c r="M66" s="112" t="s">
        <v>122</v>
      </c>
      <c r="N66" s="112" t="s">
        <v>123</v>
      </c>
      <c r="O66" s="12" t="s">
        <v>59</v>
      </c>
      <c r="P66" s="12" t="s">
        <v>124</v>
      </c>
      <c r="Q66" s="12" t="s">
        <v>125</v>
      </c>
      <c r="R66" s="12" t="s">
        <v>126</v>
      </c>
      <c r="S66" s="12" t="s">
        <v>127</v>
      </c>
      <c r="T66" s="12" t="s">
        <v>67</v>
      </c>
      <c r="U66" s="310" t="s">
        <v>68</v>
      </c>
      <c r="V66" s="12" t="s">
        <v>63</v>
      </c>
      <c r="X66" s="15">
        <f>SUM(X67:X82)</f>
        <v>0</v>
      </c>
      <c r="Y66" s="15">
        <f>SUM(Y67:Y82)</f>
        <v>0</v>
      </c>
    </row>
    <row r="67" spans="2:25" ht="15" thickBot="1" x14ac:dyDescent="0.4">
      <c r="B67" s="155"/>
      <c r="C67" s="151"/>
      <c r="D67" s="100"/>
      <c r="E67" s="151"/>
      <c r="F67" s="157" t="str">
        <f>IF(E67="","",INDEX(Lists!$BA$4:$BC$31,MATCH(B67,Lists!$AZ$4:$AZ$31,0),MATCH(E67,Lists!$BA$3:$BC$3,0)))</f>
        <v/>
      </c>
      <c r="G67" s="148"/>
      <c r="H67" s="151"/>
      <c r="I67" s="154" t="str" cm="1">
        <f t="array" ref="I67">IF(OR($C67="",$B67="",$G67="",$H67=""),"",IF(H67=J67,G67,(INDEX('Emission factors'!$K$3:$V$201,MATCH(B67&amp;C67,'Emission factors'!$J$3:$J$201&amp;'Emission factors'!$K$3:$K$201,0),MATCH(AgricultureTable[[#Headers],[Converted data]],'Emission factors'!$K$2:$V$2,0)))*G67))</f>
        <v/>
      </c>
      <c r="J67" s="192" t="str">
        <f>IF(B67="","",INDEX('Emission factors'!$J$3:$V$201,MATCH('Land use &amp; agriculture'!$B67,'Emission factors'!$J$3:$J$201,0),MATCH($J$66,'Emission factors'!$J$2:$V$2,0)))</f>
        <v/>
      </c>
      <c r="K67" s="154" t="str" cm="1">
        <f t="array" ref="K67">IF(OR(C67="",G67=""),"",INDEX('Emission factors'!$K$3:$V$201,MATCH('Land use &amp; agriculture'!$B67&amp;$C67,'Emission factors'!$J$3:$J$201&amp;'Emission factors'!$K$3:$K$201,0),MATCH(AgricultureTable[[#Headers],[Total EF (kgCO2e/unit)]],'Emission factors'!$K$2:$V$2,0)))</f>
        <v/>
      </c>
      <c r="L67" s="287" t="str">
        <f>IF(OR(I67="",K67=""),"",SUM(AgricultureTable[[#This Row],[Direct]:[Indirect WTT]]))</f>
        <v/>
      </c>
      <c r="M67" s="150"/>
      <c r="N67" s="151"/>
      <c r="O67" s="288" t="str">
        <f>IF(OR($B67="",$G67=""),"",AgricultureTable[[#This Row],[Total EF (kgCO2e/unit)]]*$I67)</f>
        <v/>
      </c>
      <c r="P67" s="288" t="str" cm="1">
        <f t="array" ref="P67">IF(OR($B67="",$G67=""),"",(INDEX('Emission factors'!$K$3:$V$201,MATCH('Land use &amp; agriculture'!$B67&amp;$C67,'Emission factors'!$J$3:$J$201&amp;'Emission factors'!$K$3:$K$201,0),MATCH(AgricultureTable[[#Headers],[Indirect generation]],'Emission factors'!$K$2:$V$2,0)))*$I67)</f>
        <v/>
      </c>
      <c r="Q67" s="288" t="str" cm="1">
        <f t="array" ref="Q67">IF(OR($B67="",$G67=""),"",(INDEX('Emission factors'!$K$3:$V$201,MATCH('Land use &amp; agriculture'!$B67&amp;$C67,'Emission factors'!$J$3:$J$201&amp;'Emission factors'!$K$3:$K$201,0),MATCH(AgricultureTable[[#Headers],[Indirect service]],'Emission factors'!$K$2:$V$2,0)))*$I67)</f>
        <v/>
      </c>
      <c r="R67" s="288" t="str" cm="1">
        <f t="array" ref="R67">IF(OR($B67="",$G67=""),"",(INDEX('Emission factors'!$K$3:$V$201,MATCH('Land use &amp; agriculture'!$B67&amp;$C67,'Emission factors'!$J$3:$J$201&amp;'Emission factors'!$K$3:$K$201,0),MATCH(AgricultureTable[[#Headers],[Indirect T&amp;D]],'Emission factors'!$K$2:$V$2,0)))*$I67)</f>
        <v/>
      </c>
      <c r="S67" s="288" t="str" cm="1">
        <f t="array" ref="S67">IF(OR($B67="",$G67=""),"",(INDEX('Emission factors'!$K$3:$V$201,MATCH('Land use &amp; agriculture'!$B67&amp;$C67,'Emission factors'!$J$3:$J$201&amp;'Emission factors'!$K$3:$K$201,0),MATCH(AgricultureTable[[#Headers],[Indirect WTT]],'Emission factors'!$K$2:$V$2,0)))*$I67)</f>
        <v/>
      </c>
      <c r="T67" s="289" t="str">
        <f t="shared" ref="T67:T82" si="3">IF(OR($L67="",$F67=""),"",$L67*(1+$F67))</f>
        <v/>
      </c>
      <c r="U67" s="307" t="str">
        <f t="shared" ref="U67:U82" si="4">IF(OR($L67="",$F67=""),"",$L67*(1-$F67))</f>
        <v/>
      </c>
      <c r="V67" s="288" t="str" cm="1">
        <f t="array" ref="V67">IF(OR($B67="",$G67=""),"",(INDEX('Emission factors'!$K$3:$V$201,MATCH('Land use &amp; agriculture'!$B67&amp;$C67,'Emission factors'!$J$3:$J$201&amp;'Emission factors'!$K$3:$K$201,0),MATCH($V$66,'Emission factors'!$K$2:$V$2,0)))*$I67)</f>
        <v/>
      </c>
      <c r="X67" s="1" cm="1">
        <f t="array" ref="X67">IF(OR(ISERROR(B67:V67)),1,0)</f>
        <v>0</v>
      </c>
      <c r="Y67" s="1">
        <f>IF(AND(E67="",G67="",C67=""),0,1)</f>
        <v>0</v>
      </c>
    </row>
    <row r="68" spans="2:25" ht="15" thickBot="1" x14ac:dyDescent="0.4">
      <c r="B68" s="155"/>
      <c r="C68" s="151"/>
      <c r="D68" s="100"/>
      <c r="E68" s="151"/>
      <c r="F68" s="157" t="str">
        <f>IF(E68="","",INDEX(Lists!$BA$4:$BC$31,MATCH(B68,Lists!$AZ$4:$AZ$31,0),MATCH(E68,Lists!$BA$3:$BC$3,0)))</f>
        <v/>
      </c>
      <c r="G68" s="148"/>
      <c r="H68" s="151"/>
      <c r="I68" s="154" t="str" cm="1">
        <f t="array" ref="I68">IF(OR($C68="",$B68="",$G68="",$H68=""),"",IF(H68=J68,G68,(INDEX('Emission factors'!$K$3:$V$201,MATCH(B68&amp;C68,'Emission factors'!$J$3:$J$201&amp;'Emission factors'!$K$3:$K$201,0),MATCH(AgricultureTable[[#Headers],[Converted data]],'Emission factors'!$K$2:$V$2,0)))*G68))</f>
        <v/>
      </c>
      <c r="J68" s="192" t="str">
        <f>IF(B68="","",INDEX('Emission factors'!$J$3:$V$201,MATCH('Land use &amp; agriculture'!$B68,'Emission factors'!$J$3:$J$201,0),MATCH($J$66,'Emission factors'!$J$2:$V$2,0)))</f>
        <v/>
      </c>
      <c r="K68" s="154" t="str" cm="1">
        <f t="array" ref="K68">IF(OR(C68="",G68=""),"",INDEX('Emission factors'!$K$3:$V$201,MATCH('Land use &amp; agriculture'!$B68&amp;$C68,'Emission factors'!$J$3:$J$201&amp;'Emission factors'!$K$3:$K$201,0),MATCH(AgricultureTable[[#Headers],[Total EF (kgCO2e/unit)]],'Emission factors'!$K$2:$V$2,0)))</f>
        <v/>
      </c>
      <c r="L68" s="287" t="str">
        <f>IF(OR(I68="",K68=""),"",SUM(AgricultureTable[[#This Row],[Direct]:[Indirect WTT]]))</f>
        <v/>
      </c>
      <c r="M68" s="150"/>
      <c r="N68" s="151"/>
      <c r="O68" s="288" t="str">
        <f>IF(OR($B68="",$G68=""),"",AgricultureTable[[#This Row],[Total EF (kgCO2e/unit)]]*$I68)</f>
        <v/>
      </c>
      <c r="P68" s="288" t="str" cm="1">
        <f t="array" ref="P68">IF(OR($B68="",$G68=""),"",(INDEX('Emission factors'!$K$3:$V$201,MATCH('Land use &amp; agriculture'!$B68&amp;$C68,'Emission factors'!$J$3:$J$201&amp;'Emission factors'!$K$3:$K$201,0),MATCH(AgricultureTable[[#Headers],[Indirect generation]],'Emission factors'!$K$2:$V$2,0)))*$I68)</f>
        <v/>
      </c>
      <c r="Q68" s="288" t="str" cm="1">
        <f t="array" ref="Q68">IF(OR($B68="",$G68=""),"",(INDEX('Emission factors'!$K$3:$V$201,MATCH('Land use &amp; agriculture'!$B68&amp;$C68,'Emission factors'!$J$3:$J$201&amp;'Emission factors'!$K$3:$K$201,0),MATCH(AgricultureTable[[#Headers],[Indirect service]],'Emission factors'!$K$2:$V$2,0)))*$I68)</f>
        <v/>
      </c>
      <c r="R68" s="288" t="str" cm="1">
        <f t="array" ref="R68">IF(OR($B68="",$G68=""),"",(INDEX('Emission factors'!$K$3:$V$201,MATCH('Land use &amp; agriculture'!$B68&amp;$C68,'Emission factors'!$J$3:$J$201&amp;'Emission factors'!$K$3:$K$201,0),MATCH(AgricultureTable[[#Headers],[Indirect T&amp;D]],'Emission factors'!$K$2:$V$2,0)))*$I68)</f>
        <v/>
      </c>
      <c r="S68" s="288" t="str" cm="1">
        <f t="array" ref="S68">IF(OR($B68="",$G68=""),"",(INDEX('Emission factors'!$K$3:$V$201,MATCH('Land use &amp; agriculture'!$B68&amp;$C68,'Emission factors'!$J$3:$J$201&amp;'Emission factors'!$K$3:$K$201,0),MATCH(AgricultureTable[[#Headers],[Indirect WTT]],'Emission factors'!$K$2:$V$2,0)))*$I68)</f>
        <v/>
      </c>
      <c r="T68" s="289" t="str">
        <f t="shared" si="3"/>
        <v/>
      </c>
      <c r="U68" s="307" t="str">
        <f t="shared" si="4"/>
        <v/>
      </c>
      <c r="V68" s="288" t="str" cm="1">
        <f t="array" ref="V68">IF(OR($B68="",$G68=""),"",(INDEX('Emission factors'!$K$3:$V$201,MATCH('Land use &amp; agriculture'!$B68&amp;$C68,'Emission factors'!$J$3:$J$201&amp;'Emission factors'!$K$3:$K$201,0),MATCH($V$66,'Emission factors'!$K$2:$V$2,0)))*$I68)</f>
        <v/>
      </c>
      <c r="X68" s="1" cm="1">
        <f t="array" ref="X68">IF(OR(ISERROR(B68:V68)),1,0)</f>
        <v>0</v>
      </c>
      <c r="Y68" s="1">
        <f t="shared" ref="Y68:Y82" si="5">IF(AND(E68="",G68="",C68=""),0,1)</f>
        <v>0</v>
      </c>
    </row>
    <row r="69" spans="2:25" ht="15" thickBot="1" x14ac:dyDescent="0.4">
      <c r="B69" s="155"/>
      <c r="C69" s="151"/>
      <c r="D69" s="100"/>
      <c r="E69" s="151"/>
      <c r="F69" s="157" t="str">
        <f>IF(E69="","",INDEX(Lists!$BA$4:$BC$31,MATCH(B69,Lists!$AZ$4:$AZ$31,0),MATCH(E69,Lists!$BA$3:$BC$3,0)))</f>
        <v/>
      </c>
      <c r="G69" s="148"/>
      <c r="H69" s="151"/>
      <c r="I69" s="154" t="str" cm="1">
        <f t="array" ref="I69">IF(OR($C69="",$B69="",$G69="",$H69=""),"",IF(H69=J69,G69,(INDEX('Emission factors'!$K$3:$V$201,MATCH(B69&amp;C69,'Emission factors'!$J$3:$J$201&amp;'Emission factors'!$K$3:$K$201,0),MATCH(AgricultureTable[[#Headers],[Converted data]],'Emission factors'!$K$2:$V$2,0)))*G69))</f>
        <v/>
      </c>
      <c r="J69" s="192" t="str">
        <f>IF(B69="","",INDEX('Emission factors'!$J$3:$V$201,MATCH('Land use &amp; agriculture'!$B69,'Emission factors'!$J$3:$J$201,0),MATCH($J$66,'Emission factors'!$J$2:$V$2,0)))</f>
        <v/>
      </c>
      <c r="K69" s="154" t="str" cm="1">
        <f t="array" ref="K69">IF(OR(C69="",G69=""),"",INDEX('Emission factors'!$K$3:$V$201,MATCH('Land use &amp; agriculture'!$B69&amp;$C69,'Emission factors'!$J$3:$J$201&amp;'Emission factors'!$K$3:$K$201,0),MATCH(AgricultureTable[[#Headers],[Total EF (kgCO2e/unit)]],'Emission factors'!$K$2:$V$2,0)))</f>
        <v/>
      </c>
      <c r="L69" s="287" t="str">
        <f>IF(OR(I69="",K69=""),"",SUM(AgricultureTable[[#This Row],[Direct]:[Indirect WTT]]))</f>
        <v/>
      </c>
      <c r="M69" s="150"/>
      <c r="N69" s="151"/>
      <c r="O69" s="288" t="str">
        <f>IF(OR($B69="",$G69=""),"",AgricultureTable[[#This Row],[Total EF (kgCO2e/unit)]]*$I69)</f>
        <v/>
      </c>
      <c r="P69" s="288" t="str" cm="1">
        <f t="array" ref="P69">IF(OR($B69="",$G69=""),"",(INDEX('Emission factors'!$K$3:$V$201,MATCH('Land use &amp; agriculture'!$B69&amp;$C69,'Emission factors'!$J$3:$J$201&amp;'Emission factors'!$K$3:$K$201,0),MATCH(AgricultureTable[[#Headers],[Indirect generation]],'Emission factors'!$K$2:$V$2,0)))*$I69)</f>
        <v/>
      </c>
      <c r="Q69" s="288" t="str" cm="1">
        <f t="array" ref="Q69">IF(OR($B69="",$G69=""),"",(INDEX('Emission factors'!$K$3:$V$201,MATCH('Land use &amp; agriculture'!$B69&amp;$C69,'Emission factors'!$J$3:$J$201&amp;'Emission factors'!$K$3:$K$201,0),MATCH(AgricultureTable[[#Headers],[Indirect service]],'Emission factors'!$K$2:$V$2,0)))*$I69)</f>
        <v/>
      </c>
      <c r="R69" s="288" t="str" cm="1">
        <f t="array" ref="R69">IF(OR($B69="",$G69=""),"",(INDEX('Emission factors'!$K$3:$V$201,MATCH('Land use &amp; agriculture'!$B69&amp;$C69,'Emission factors'!$J$3:$J$201&amp;'Emission factors'!$K$3:$K$201,0),MATCH(AgricultureTable[[#Headers],[Indirect T&amp;D]],'Emission factors'!$K$2:$V$2,0)))*$I69)</f>
        <v/>
      </c>
      <c r="S69" s="288" t="str" cm="1">
        <f t="array" ref="S69">IF(OR($B69="",$G69=""),"",(INDEX('Emission factors'!$K$3:$V$201,MATCH('Land use &amp; agriculture'!$B69&amp;$C69,'Emission factors'!$J$3:$J$201&amp;'Emission factors'!$K$3:$K$201,0),MATCH(AgricultureTable[[#Headers],[Indirect WTT]],'Emission factors'!$K$2:$V$2,0)))*$I69)</f>
        <v/>
      </c>
      <c r="T69" s="289" t="str">
        <f t="shared" si="3"/>
        <v/>
      </c>
      <c r="U69" s="307" t="str">
        <f t="shared" si="4"/>
        <v/>
      </c>
      <c r="V69" s="288" t="str" cm="1">
        <f t="array" ref="V69">IF(OR($B69="",$G69=""),"",(INDEX('Emission factors'!$K$3:$V$201,MATCH('Land use &amp; agriculture'!$B69&amp;$C69,'Emission factors'!$J$3:$J$201&amp;'Emission factors'!$K$3:$K$201,0),MATCH($V$66,'Emission factors'!$K$2:$V$2,0)))*$I69)</f>
        <v/>
      </c>
      <c r="X69" s="1" cm="1">
        <f t="array" ref="X69">IF(OR(ISERROR(B69:V69)),1,0)</f>
        <v>0</v>
      </c>
      <c r="Y69" s="1">
        <f t="shared" si="5"/>
        <v>0</v>
      </c>
    </row>
    <row r="70" spans="2:25" ht="15" thickBot="1" x14ac:dyDescent="0.4">
      <c r="B70" s="155"/>
      <c r="C70" s="151"/>
      <c r="D70" s="100"/>
      <c r="E70" s="151"/>
      <c r="F70" s="157" t="str">
        <f>IF(E70="","",INDEX(Lists!$BA$4:$BC$31,MATCH(B70,Lists!$AZ$4:$AZ$31,0),MATCH(E70,Lists!$BA$3:$BC$3,0)))</f>
        <v/>
      </c>
      <c r="G70" s="148"/>
      <c r="H70" s="151"/>
      <c r="I70" s="154" t="str" cm="1">
        <f t="array" ref="I70">IF(OR($C70="",$B70="",$G70="",$H70=""),"",IF(H70=J70,G70,(INDEX('Emission factors'!$K$3:$V$201,MATCH(B70&amp;C70,'Emission factors'!$J$3:$J$201&amp;'Emission factors'!$K$3:$K$201,0),MATCH(AgricultureTable[[#Headers],[Converted data]],'Emission factors'!$K$2:$V$2,0)))*G70))</f>
        <v/>
      </c>
      <c r="J70" s="192" t="str">
        <f>IF(B70="","",INDEX('Emission factors'!$J$3:$V$201,MATCH('Land use &amp; agriculture'!$B70,'Emission factors'!$J$3:$J$201,0),MATCH($J$66,'Emission factors'!$J$2:$V$2,0)))</f>
        <v/>
      </c>
      <c r="K70" s="154" t="str" cm="1">
        <f t="array" ref="K70">IF(OR(C70="",G70=""),"",INDEX('Emission factors'!$K$3:$V$201,MATCH('Land use &amp; agriculture'!$B70&amp;$C70,'Emission factors'!$J$3:$J$201&amp;'Emission factors'!$K$3:$K$201,0),MATCH(AgricultureTable[[#Headers],[Total EF (kgCO2e/unit)]],'Emission factors'!$K$2:$V$2,0)))</f>
        <v/>
      </c>
      <c r="L70" s="287" t="str">
        <f>IF(OR(I70="",K70=""),"",SUM(AgricultureTable[[#This Row],[Direct]:[Indirect WTT]]))</f>
        <v/>
      </c>
      <c r="M70" s="150"/>
      <c r="N70" s="151"/>
      <c r="O70" s="288" t="str">
        <f>IF(OR($B70="",$G70=""),"",AgricultureTable[[#This Row],[Total EF (kgCO2e/unit)]]*$I70)</f>
        <v/>
      </c>
      <c r="P70" s="288" t="str" cm="1">
        <f t="array" ref="P70">IF(OR($B70="",$G70=""),"",(INDEX('Emission factors'!$K$3:$V$201,MATCH('Land use &amp; agriculture'!$B70&amp;$C70,'Emission factors'!$J$3:$J$201&amp;'Emission factors'!$K$3:$K$201,0),MATCH(AgricultureTable[[#Headers],[Indirect generation]],'Emission factors'!$K$2:$V$2,0)))*$I70)</f>
        <v/>
      </c>
      <c r="Q70" s="288" t="str" cm="1">
        <f t="array" ref="Q70">IF(OR($B70="",$G70=""),"",(INDEX('Emission factors'!$K$3:$V$201,MATCH('Land use &amp; agriculture'!$B70&amp;$C70,'Emission factors'!$J$3:$J$201&amp;'Emission factors'!$K$3:$K$201,0),MATCH(AgricultureTable[[#Headers],[Indirect service]],'Emission factors'!$K$2:$V$2,0)))*$I70)</f>
        <v/>
      </c>
      <c r="R70" s="288" t="str" cm="1">
        <f t="array" ref="R70">IF(OR($B70="",$G70=""),"",(INDEX('Emission factors'!$K$3:$V$201,MATCH('Land use &amp; agriculture'!$B70&amp;$C70,'Emission factors'!$J$3:$J$201&amp;'Emission factors'!$K$3:$K$201,0),MATCH(AgricultureTable[[#Headers],[Indirect T&amp;D]],'Emission factors'!$K$2:$V$2,0)))*$I70)</f>
        <v/>
      </c>
      <c r="S70" s="288" t="str" cm="1">
        <f t="array" ref="S70">IF(OR($B70="",$G70=""),"",(INDEX('Emission factors'!$K$3:$V$201,MATCH('Land use &amp; agriculture'!$B70&amp;$C70,'Emission factors'!$J$3:$J$201&amp;'Emission factors'!$K$3:$K$201,0),MATCH(AgricultureTable[[#Headers],[Indirect WTT]],'Emission factors'!$K$2:$V$2,0)))*$I70)</f>
        <v/>
      </c>
      <c r="T70" s="289" t="str">
        <f t="shared" si="3"/>
        <v/>
      </c>
      <c r="U70" s="307" t="str">
        <f t="shared" si="4"/>
        <v/>
      </c>
      <c r="V70" s="288" t="str" cm="1">
        <f t="array" ref="V70">IF(OR($B70="",$G70=""),"",(INDEX('Emission factors'!$K$3:$V$201,MATCH('Land use &amp; agriculture'!$B70&amp;$C70,'Emission factors'!$J$3:$J$201&amp;'Emission factors'!$K$3:$K$201,0),MATCH($V$66,'Emission factors'!$K$2:$V$2,0)))*$I70)</f>
        <v/>
      </c>
      <c r="X70" s="1" cm="1">
        <f t="array" ref="X70">IF(OR(ISERROR(B70:V70)),1,0)</f>
        <v>0</v>
      </c>
      <c r="Y70" s="1">
        <f t="shared" si="5"/>
        <v>0</v>
      </c>
    </row>
    <row r="71" spans="2:25" ht="15" thickBot="1" x14ac:dyDescent="0.4">
      <c r="B71" s="155"/>
      <c r="C71" s="151"/>
      <c r="D71" s="100"/>
      <c r="E71" s="151"/>
      <c r="F71" s="157" t="str">
        <f>IF(E71="","",INDEX(Lists!$BA$4:$BC$31,MATCH(B71,Lists!$AZ$4:$AZ$31,0),MATCH(E71,Lists!$BA$3:$BC$3,0)))</f>
        <v/>
      </c>
      <c r="G71" s="148"/>
      <c r="H71" s="151"/>
      <c r="I71" s="154" t="str" cm="1">
        <f t="array" ref="I71">IF(OR($C71="",$B71="",$G71="",$H71=""),"",IF(H71=J71,G71,(INDEX('Emission factors'!$K$3:$V$201,MATCH(B71&amp;C71,'Emission factors'!$J$3:$J$201&amp;'Emission factors'!$K$3:$K$201,0),MATCH(AgricultureTable[[#Headers],[Converted data]],'Emission factors'!$K$2:$V$2,0)))*G71))</f>
        <v/>
      </c>
      <c r="J71" s="192" t="str">
        <f>IF(B71="","",INDEX('Emission factors'!$J$3:$V$201,MATCH('Land use &amp; agriculture'!$B71,'Emission factors'!$J$3:$J$201,0),MATCH($J$66,'Emission factors'!$J$2:$V$2,0)))</f>
        <v/>
      </c>
      <c r="K71" s="154" t="str" cm="1">
        <f t="array" ref="K71">IF(OR(C71="",G71=""),"",INDEX('Emission factors'!$K$3:$V$201,MATCH('Land use &amp; agriculture'!$B71&amp;$C71,'Emission factors'!$J$3:$J$201&amp;'Emission factors'!$K$3:$K$201,0),MATCH(AgricultureTable[[#Headers],[Total EF (kgCO2e/unit)]],'Emission factors'!$K$2:$V$2,0)))</f>
        <v/>
      </c>
      <c r="L71" s="287" t="str">
        <f>IF(OR(I71="",K71=""),"",SUM(AgricultureTable[[#This Row],[Direct]:[Indirect WTT]]))</f>
        <v/>
      </c>
      <c r="M71" s="150"/>
      <c r="N71" s="151"/>
      <c r="O71" s="288" t="str">
        <f>IF(OR($B71="",$G71=""),"",AgricultureTable[[#This Row],[Total EF (kgCO2e/unit)]]*$I71)</f>
        <v/>
      </c>
      <c r="P71" s="288" t="str" cm="1">
        <f t="array" ref="P71">IF(OR($B71="",$G71=""),"",(INDEX('Emission factors'!$K$3:$V$201,MATCH('Land use &amp; agriculture'!$B71&amp;$C71,'Emission factors'!$J$3:$J$201&amp;'Emission factors'!$K$3:$K$201,0),MATCH(AgricultureTable[[#Headers],[Indirect generation]],'Emission factors'!$K$2:$V$2,0)))*$I71)</f>
        <v/>
      </c>
      <c r="Q71" s="288" t="str" cm="1">
        <f t="array" ref="Q71">IF(OR($B71="",$G71=""),"",(INDEX('Emission factors'!$K$3:$V$201,MATCH('Land use &amp; agriculture'!$B71&amp;$C71,'Emission factors'!$J$3:$J$201&amp;'Emission factors'!$K$3:$K$201,0),MATCH(AgricultureTable[[#Headers],[Indirect service]],'Emission factors'!$K$2:$V$2,0)))*$I71)</f>
        <v/>
      </c>
      <c r="R71" s="288" t="str" cm="1">
        <f t="array" ref="R71">IF(OR($B71="",$G71=""),"",(INDEX('Emission factors'!$K$3:$V$201,MATCH('Land use &amp; agriculture'!$B71&amp;$C71,'Emission factors'!$J$3:$J$201&amp;'Emission factors'!$K$3:$K$201,0),MATCH(AgricultureTable[[#Headers],[Indirect T&amp;D]],'Emission factors'!$K$2:$V$2,0)))*$I71)</f>
        <v/>
      </c>
      <c r="S71" s="288" t="str" cm="1">
        <f t="array" ref="S71">IF(OR($B71="",$G71=""),"",(INDEX('Emission factors'!$K$3:$V$201,MATCH('Land use &amp; agriculture'!$B71&amp;$C71,'Emission factors'!$J$3:$J$201&amp;'Emission factors'!$K$3:$K$201,0),MATCH(AgricultureTable[[#Headers],[Indirect WTT]],'Emission factors'!$K$2:$V$2,0)))*$I71)</f>
        <v/>
      </c>
      <c r="T71" s="289" t="str">
        <f t="shared" si="3"/>
        <v/>
      </c>
      <c r="U71" s="307" t="str">
        <f t="shared" si="4"/>
        <v/>
      </c>
      <c r="V71" s="288" t="str" cm="1">
        <f t="array" ref="V71">IF(OR($B71="",$G71=""),"",(INDEX('Emission factors'!$K$3:$V$201,MATCH('Land use &amp; agriculture'!$B71&amp;$C71,'Emission factors'!$J$3:$J$201&amp;'Emission factors'!$K$3:$K$201,0),MATCH($V$66,'Emission factors'!$K$2:$V$2,0)))*$I71)</f>
        <v/>
      </c>
      <c r="X71" s="1" cm="1">
        <f t="array" ref="X71">IF(OR(ISERROR(B71:V71)),1,0)</f>
        <v>0</v>
      </c>
      <c r="Y71" s="1">
        <f t="shared" si="5"/>
        <v>0</v>
      </c>
    </row>
    <row r="72" spans="2:25" ht="15" thickBot="1" x14ac:dyDescent="0.4">
      <c r="B72" s="155"/>
      <c r="C72" s="151"/>
      <c r="D72" s="100"/>
      <c r="E72" s="151"/>
      <c r="F72" s="157" t="str">
        <f>IF(E72="","",INDEX(Lists!$BA$4:$BC$31,MATCH(B72,Lists!$AZ$4:$AZ$31,0),MATCH(E72,Lists!$BA$3:$BC$3,0)))</f>
        <v/>
      </c>
      <c r="G72" s="148"/>
      <c r="H72" s="151"/>
      <c r="I72" s="154" t="str" cm="1">
        <f t="array" ref="I72">IF(OR($C72="",$B72="",$G72="",$H72=""),"",IF(H72=J72,G72,(INDEX('Emission factors'!$K$3:$V$201,MATCH(B72&amp;C72,'Emission factors'!$J$3:$J$201&amp;'Emission factors'!$K$3:$K$201,0),MATCH(AgricultureTable[[#Headers],[Converted data]],'Emission factors'!$K$2:$V$2,0)))*G72))</f>
        <v/>
      </c>
      <c r="J72" s="192" t="str">
        <f>IF(B72="","",INDEX('Emission factors'!$J$3:$V$201,MATCH('Land use &amp; agriculture'!$B72,'Emission factors'!$J$3:$J$201,0),MATCH($J$66,'Emission factors'!$J$2:$V$2,0)))</f>
        <v/>
      </c>
      <c r="K72" s="154" t="str" cm="1">
        <f t="array" ref="K72">IF(OR(C72="",G72=""),"",INDEX('Emission factors'!$K$3:$V$201,MATCH('Land use &amp; agriculture'!$B72&amp;$C72,'Emission factors'!$J$3:$J$201&amp;'Emission factors'!$K$3:$K$201,0),MATCH(AgricultureTable[[#Headers],[Total EF (kgCO2e/unit)]],'Emission factors'!$K$2:$V$2,0)))</f>
        <v/>
      </c>
      <c r="L72" s="287" t="str">
        <f>IF(OR(I72="",K72=""),"",SUM(AgricultureTable[[#This Row],[Direct]:[Indirect WTT]]))</f>
        <v/>
      </c>
      <c r="M72" s="150"/>
      <c r="N72" s="151"/>
      <c r="O72" s="288" t="str">
        <f>IF(OR($B72="",$G72=""),"",AgricultureTable[[#This Row],[Total EF (kgCO2e/unit)]]*$I72)</f>
        <v/>
      </c>
      <c r="P72" s="288" t="str" cm="1">
        <f t="array" ref="P72">IF(OR($B72="",$G72=""),"",(INDEX('Emission factors'!$K$3:$V$201,MATCH('Land use &amp; agriculture'!$B72&amp;$C72,'Emission factors'!$J$3:$J$201&amp;'Emission factors'!$K$3:$K$201,0),MATCH(AgricultureTable[[#Headers],[Indirect generation]],'Emission factors'!$K$2:$V$2,0)))*$I72)</f>
        <v/>
      </c>
      <c r="Q72" s="288" t="str" cm="1">
        <f t="array" ref="Q72">IF(OR($B72="",$G72=""),"",(INDEX('Emission factors'!$K$3:$V$201,MATCH('Land use &amp; agriculture'!$B72&amp;$C72,'Emission factors'!$J$3:$J$201&amp;'Emission factors'!$K$3:$K$201,0),MATCH(AgricultureTable[[#Headers],[Indirect service]],'Emission factors'!$K$2:$V$2,0)))*$I72)</f>
        <v/>
      </c>
      <c r="R72" s="288" t="str" cm="1">
        <f t="array" ref="R72">IF(OR($B72="",$G72=""),"",(INDEX('Emission factors'!$K$3:$V$201,MATCH('Land use &amp; agriculture'!$B72&amp;$C72,'Emission factors'!$J$3:$J$201&amp;'Emission factors'!$K$3:$K$201,0),MATCH(AgricultureTable[[#Headers],[Indirect T&amp;D]],'Emission factors'!$K$2:$V$2,0)))*$I72)</f>
        <v/>
      </c>
      <c r="S72" s="288" t="str" cm="1">
        <f t="array" ref="S72">IF(OR($B72="",$G72=""),"",(INDEX('Emission factors'!$K$3:$V$201,MATCH('Land use &amp; agriculture'!$B72&amp;$C72,'Emission factors'!$J$3:$J$201&amp;'Emission factors'!$K$3:$K$201,0),MATCH(AgricultureTable[[#Headers],[Indirect WTT]],'Emission factors'!$K$2:$V$2,0)))*$I72)</f>
        <v/>
      </c>
      <c r="T72" s="289" t="str">
        <f t="shared" si="3"/>
        <v/>
      </c>
      <c r="U72" s="307" t="str">
        <f t="shared" si="4"/>
        <v/>
      </c>
      <c r="V72" s="288" t="str" cm="1">
        <f t="array" ref="V72">IF(OR($B72="",$G72=""),"",(INDEX('Emission factors'!$K$3:$V$201,MATCH('Land use &amp; agriculture'!$B72&amp;$C72,'Emission factors'!$J$3:$J$201&amp;'Emission factors'!$K$3:$K$201,0),MATCH($V$66,'Emission factors'!$K$2:$V$2,0)))*$I72)</f>
        <v/>
      </c>
      <c r="X72" s="1" cm="1">
        <f t="array" ref="X72">IF(OR(ISERROR(B72:V72)),1,0)</f>
        <v>0</v>
      </c>
      <c r="Y72" s="1">
        <f t="shared" si="5"/>
        <v>0</v>
      </c>
    </row>
    <row r="73" spans="2:25" ht="15" thickBot="1" x14ac:dyDescent="0.4">
      <c r="B73" s="155"/>
      <c r="C73" s="151"/>
      <c r="D73" s="100"/>
      <c r="E73" s="151"/>
      <c r="F73" s="157" t="str">
        <f>IF(E73="","",INDEX(Lists!$BA$4:$BC$31,MATCH(B73,Lists!$AZ$4:$AZ$31,0),MATCH(E73,Lists!$BA$3:$BC$3,0)))</f>
        <v/>
      </c>
      <c r="G73" s="148"/>
      <c r="H73" s="151"/>
      <c r="I73" s="154" t="str" cm="1">
        <f t="array" ref="I73">IF(OR($C73="",$B73="",$G73="",$H73=""),"",IF(H73=J73,G73,(INDEX('Emission factors'!$K$3:$V$201,MATCH(B73&amp;C73,'Emission factors'!$J$3:$J$201&amp;'Emission factors'!$K$3:$K$201,0),MATCH(AgricultureTable[[#Headers],[Converted data]],'Emission factors'!$K$2:$V$2,0)))*G73))</f>
        <v/>
      </c>
      <c r="J73" s="192" t="str">
        <f>IF(B73="","",INDEX('Emission factors'!$J$3:$V$201,MATCH('Land use &amp; agriculture'!$B73,'Emission factors'!$J$3:$J$201,0),MATCH($J$66,'Emission factors'!$J$2:$V$2,0)))</f>
        <v/>
      </c>
      <c r="K73" s="154" t="str" cm="1">
        <f t="array" ref="K73">IF(OR(C73="",G73=""),"",INDEX('Emission factors'!$K$3:$V$201,MATCH('Land use &amp; agriculture'!$B73&amp;$C73,'Emission factors'!$J$3:$J$201&amp;'Emission factors'!$K$3:$K$201,0),MATCH(AgricultureTable[[#Headers],[Total EF (kgCO2e/unit)]],'Emission factors'!$K$2:$V$2,0)))</f>
        <v/>
      </c>
      <c r="L73" s="287" t="str">
        <f>IF(OR(I73="",K73=""),"",SUM(AgricultureTable[[#This Row],[Direct]:[Indirect WTT]]))</f>
        <v/>
      </c>
      <c r="M73" s="150"/>
      <c r="N73" s="151"/>
      <c r="O73" s="288" t="str">
        <f>IF(OR($B73="",$G73=""),"",AgricultureTable[[#This Row],[Total EF (kgCO2e/unit)]]*$I73)</f>
        <v/>
      </c>
      <c r="P73" s="288" t="str" cm="1">
        <f t="array" ref="P73">IF(OR($B73="",$G73=""),"",(INDEX('Emission factors'!$K$3:$V$201,MATCH('Land use &amp; agriculture'!$B73&amp;$C73,'Emission factors'!$J$3:$J$201&amp;'Emission factors'!$K$3:$K$201,0),MATCH(AgricultureTable[[#Headers],[Indirect generation]],'Emission factors'!$K$2:$V$2,0)))*$I73)</f>
        <v/>
      </c>
      <c r="Q73" s="288" t="str" cm="1">
        <f t="array" ref="Q73">IF(OR($B73="",$G73=""),"",(INDEX('Emission factors'!$K$3:$V$201,MATCH('Land use &amp; agriculture'!$B73&amp;$C73,'Emission factors'!$J$3:$J$201&amp;'Emission factors'!$K$3:$K$201,0),MATCH(AgricultureTable[[#Headers],[Indirect service]],'Emission factors'!$K$2:$V$2,0)))*$I73)</f>
        <v/>
      </c>
      <c r="R73" s="288" t="str" cm="1">
        <f t="array" ref="R73">IF(OR($B73="",$G73=""),"",(INDEX('Emission factors'!$K$3:$V$201,MATCH('Land use &amp; agriculture'!$B73&amp;$C73,'Emission factors'!$J$3:$J$201&amp;'Emission factors'!$K$3:$K$201,0),MATCH(AgricultureTable[[#Headers],[Indirect T&amp;D]],'Emission factors'!$K$2:$V$2,0)))*$I73)</f>
        <v/>
      </c>
      <c r="S73" s="288" t="str" cm="1">
        <f t="array" ref="S73">IF(OR($B73="",$G73=""),"",(INDEX('Emission factors'!$K$3:$V$201,MATCH('Land use &amp; agriculture'!$B73&amp;$C73,'Emission factors'!$J$3:$J$201&amp;'Emission factors'!$K$3:$K$201,0),MATCH(AgricultureTable[[#Headers],[Indirect WTT]],'Emission factors'!$K$2:$V$2,0)))*$I73)</f>
        <v/>
      </c>
      <c r="T73" s="289" t="str">
        <f t="shared" si="3"/>
        <v/>
      </c>
      <c r="U73" s="307" t="str">
        <f t="shared" si="4"/>
        <v/>
      </c>
      <c r="V73" s="288" t="str" cm="1">
        <f t="array" ref="V73">IF(OR($B73="",$G73=""),"",(INDEX('Emission factors'!$K$3:$V$201,MATCH('Land use &amp; agriculture'!$B73&amp;$C73,'Emission factors'!$J$3:$J$201&amp;'Emission factors'!$K$3:$K$201,0),MATCH($V$66,'Emission factors'!$K$2:$V$2,0)))*$I73)</f>
        <v/>
      </c>
      <c r="X73" s="1" cm="1">
        <f t="array" ref="X73">IF(OR(ISERROR(B73:V73)),1,0)</f>
        <v>0</v>
      </c>
      <c r="Y73" s="1">
        <f t="shared" si="5"/>
        <v>0</v>
      </c>
    </row>
    <row r="74" spans="2:25" ht="15" thickBot="1" x14ac:dyDescent="0.4">
      <c r="B74" s="155"/>
      <c r="C74" s="151"/>
      <c r="D74" s="100"/>
      <c r="E74" s="151"/>
      <c r="F74" s="157" t="str">
        <f>IF(E74="","",INDEX(Lists!$BA$4:$BC$31,MATCH(B74,Lists!$AZ$4:$AZ$31,0),MATCH(E74,Lists!$BA$3:$BC$3,0)))</f>
        <v/>
      </c>
      <c r="G74" s="148"/>
      <c r="H74" s="151"/>
      <c r="I74" s="154" t="str" cm="1">
        <f t="array" ref="I74">IF(OR($C74="",$B74="",$G74="",$H74=""),"",IF(H74=J74,G74,(INDEX('Emission factors'!$K$3:$V$201,MATCH(B74&amp;C74,'Emission factors'!$J$3:$J$201&amp;'Emission factors'!$K$3:$K$201,0),MATCH(AgricultureTable[[#Headers],[Converted data]],'Emission factors'!$K$2:$V$2,0)))*G74))</f>
        <v/>
      </c>
      <c r="J74" s="192" t="str">
        <f>IF(B74="","",INDEX('Emission factors'!$J$3:$V$201,MATCH('Land use &amp; agriculture'!$B74,'Emission factors'!$J$3:$J$201,0),MATCH($J$66,'Emission factors'!$J$2:$V$2,0)))</f>
        <v/>
      </c>
      <c r="K74" s="154" t="str" cm="1">
        <f t="array" ref="K74">IF(OR(C74="",G74=""),"",INDEX('Emission factors'!$K$3:$V$201,MATCH('Land use &amp; agriculture'!$B74&amp;$C74,'Emission factors'!$J$3:$J$201&amp;'Emission factors'!$K$3:$K$201,0),MATCH(AgricultureTable[[#Headers],[Total EF (kgCO2e/unit)]],'Emission factors'!$K$2:$V$2,0)))</f>
        <v/>
      </c>
      <c r="L74" s="287" t="str">
        <f>IF(OR(I74="",K74=""),"",SUM(AgricultureTable[[#This Row],[Direct]:[Indirect WTT]]))</f>
        <v/>
      </c>
      <c r="M74" s="150"/>
      <c r="N74" s="151"/>
      <c r="O74" s="288" t="str">
        <f>IF(OR($B74="",$G74=""),"",AgricultureTable[[#This Row],[Total EF (kgCO2e/unit)]]*$I74)</f>
        <v/>
      </c>
      <c r="P74" s="288" t="str" cm="1">
        <f t="array" ref="P74">IF(OR($B74="",$G74=""),"",(INDEX('Emission factors'!$K$3:$V$201,MATCH('Land use &amp; agriculture'!$B74&amp;$C74,'Emission factors'!$J$3:$J$201&amp;'Emission factors'!$K$3:$K$201,0),MATCH(AgricultureTable[[#Headers],[Indirect generation]],'Emission factors'!$K$2:$V$2,0)))*$I74)</f>
        <v/>
      </c>
      <c r="Q74" s="288" t="str" cm="1">
        <f t="array" ref="Q74">IF(OR($B74="",$G74=""),"",(INDEX('Emission factors'!$K$3:$V$201,MATCH('Land use &amp; agriculture'!$B74&amp;$C74,'Emission factors'!$J$3:$J$201&amp;'Emission factors'!$K$3:$K$201,0),MATCH(AgricultureTable[[#Headers],[Indirect service]],'Emission factors'!$K$2:$V$2,0)))*$I74)</f>
        <v/>
      </c>
      <c r="R74" s="288" t="str" cm="1">
        <f t="array" ref="R74">IF(OR($B74="",$G74=""),"",(INDEX('Emission factors'!$K$3:$V$201,MATCH('Land use &amp; agriculture'!$B74&amp;$C74,'Emission factors'!$J$3:$J$201&amp;'Emission factors'!$K$3:$K$201,0),MATCH(AgricultureTable[[#Headers],[Indirect T&amp;D]],'Emission factors'!$K$2:$V$2,0)))*$I74)</f>
        <v/>
      </c>
      <c r="S74" s="288" t="str" cm="1">
        <f t="array" ref="S74">IF(OR($B74="",$G74=""),"",(INDEX('Emission factors'!$K$3:$V$201,MATCH('Land use &amp; agriculture'!$B74&amp;$C74,'Emission factors'!$J$3:$J$201&amp;'Emission factors'!$K$3:$K$201,0),MATCH(AgricultureTable[[#Headers],[Indirect WTT]],'Emission factors'!$K$2:$V$2,0)))*$I74)</f>
        <v/>
      </c>
      <c r="T74" s="289" t="str">
        <f t="shared" si="3"/>
        <v/>
      </c>
      <c r="U74" s="307" t="str">
        <f t="shared" si="4"/>
        <v/>
      </c>
      <c r="V74" s="288" t="str" cm="1">
        <f t="array" ref="V74">IF(OR($B74="",$G74=""),"",(INDEX('Emission factors'!$K$3:$V$201,MATCH('Land use &amp; agriculture'!$B74&amp;$C74,'Emission factors'!$J$3:$J$201&amp;'Emission factors'!$K$3:$K$201,0),MATCH($V$66,'Emission factors'!$K$2:$V$2,0)))*$I74)</f>
        <v/>
      </c>
      <c r="X74" s="1" cm="1">
        <f t="array" ref="X74">IF(OR(ISERROR(B74:V74)),1,0)</f>
        <v>0</v>
      </c>
      <c r="Y74" s="1">
        <f t="shared" si="5"/>
        <v>0</v>
      </c>
    </row>
    <row r="75" spans="2:25" ht="15" thickBot="1" x14ac:dyDescent="0.4">
      <c r="B75" s="155"/>
      <c r="C75" s="151"/>
      <c r="D75" s="100"/>
      <c r="E75" s="151"/>
      <c r="F75" s="157" t="str">
        <f>IF(E75="","",INDEX(Lists!$BA$4:$BC$31,MATCH(B75,Lists!$AZ$4:$AZ$31,0),MATCH(E75,Lists!$BA$3:$BC$3,0)))</f>
        <v/>
      </c>
      <c r="G75" s="148"/>
      <c r="H75" s="151"/>
      <c r="I75" s="154" t="str" cm="1">
        <f t="array" ref="I75">IF(OR($C75="",$B75="",$G75="",$H75=""),"",IF(H75=J75,G75,(INDEX('Emission factors'!$K$3:$V$201,MATCH(B75&amp;C75,'Emission factors'!$J$3:$J$201&amp;'Emission factors'!$K$3:$K$201,0),MATCH(AgricultureTable[[#Headers],[Converted data]],'Emission factors'!$K$2:$V$2,0)))*G75))</f>
        <v/>
      </c>
      <c r="J75" s="192" t="str">
        <f>IF(B75="","",INDEX('Emission factors'!$J$3:$V$201,MATCH('Land use &amp; agriculture'!$B75,'Emission factors'!$J$3:$J$201,0),MATCH($J$66,'Emission factors'!$J$2:$V$2,0)))</f>
        <v/>
      </c>
      <c r="K75" s="154" t="str" cm="1">
        <f t="array" ref="K75">IF(OR(C75="",G75=""),"",INDEX('Emission factors'!$K$3:$V$201,MATCH('Land use &amp; agriculture'!$B75&amp;$C75,'Emission factors'!$J$3:$J$201&amp;'Emission factors'!$K$3:$K$201,0),MATCH(AgricultureTable[[#Headers],[Total EF (kgCO2e/unit)]],'Emission factors'!$K$2:$V$2,0)))</f>
        <v/>
      </c>
      <c r="L75" s="287" t="str">
        <f>IF(OR(I75="",K75=""),"",SUM(AgricultureTable[[#This Row],[Direct]:[Indirect WTT]]))</f>
        <v/>
      </c>
      <c r="M75" s="150"/>
      <c r="N75" s="151"/>
      <c r="O75" s="288" t="str">
        <f>IF(OR($B75="",$G75=""),"",AgricultureTable[[#This Row],[Total EF (kgCO2e/unit)]]*$I75)</f>
        <v/>
      </c>
      <c r="P75" s="288" t="str" cm="1">
        <f t="array" ref="P75">IF(OR($B75="",$G75=""),"",(INDEX('Emission factors'!$K$3:$V$201,MATCH('Land use &amp; agriculture'!$B75&amp;$C75,'Emission factors'!$J$3:$J$201&amp;'Emission factors'!$K$3:$K$201,0),MATCH(AgricultureTable[[#Headers],[Indirect generation]],'Emission factors'!$K$2:$V$2,0)))*$I75)</f>
        <v/>
      </c>
      <c r="Q75" s="288" t="str" cm="1">
        <f t="array" ref="Q75">IF(OR($B75="",$G75=""),"",(INDEX('Emission factors'!$K$3:$V$201,MATCH('Land use &amp; agriculture'!$B75&amp;$C75,'Emission factors'!$J$3:$J$201&amp;'Emission factors'!$K$3:$K$201,0),MATCH(AgricultureTable[[#Headers],[Indirect service]],'Emission factors'!$K$2:$V$2,0)))*$I75)</f>
        <v/>
      </c>
      <c r="R75" s="288" t="str" cm="1">
        <f t="array" ref="R75">IF(OR($B75="",$G75=""),"",(INDEX('Emission factors'!$K$3:$V$201,MATCH('Land use &amp; agriculture'!$B75&amp;$C75,'Emission factors'!$J$3:$J$201&amp;'Emission factors'!$K$3:$K$201,0),MATCH(AgricultureTable[[#Headers],[Indirect T&amp;D]],'Emission factors'!$K$2:$V$2,0)))*$I75)</f>
        <v/>
      </c>
      <c r="S75" s="288" t="str" cm="1">
        <f t="array" ref="S75">IF(OR($B75="",$G75=""),"",(INDEX('Emission factors'!$K$3:$V$201,MATCH('Land use &amp; agriculture'!$B75&amp;$C75,'Emission factors'!$J$3:$J$201&amp;'Emission factors'!$K$3:$K$201,0),MATCH(AgricultureTable[[#Headers],[Indirect WTT]],'Emission factors'!$K$2:$V$2,0)))*$I75)</f>
        <v/>
      </c>
      <c r="T75" s="289" t="str">
        <f t="shared" si="3"/>
        <v/>
      </c>
      <c r="U75" s="307" t="str">
        <f t="shared" si="4"/>
        <v/>
      </c>
      <c r="V75" s="288" t="str" cm="1">
        <f t="array" ref="V75">IF(OR($B75="",$G75=""),"",(INDEX('Emission factors'!$K$3:$V$201,MATCH('Land use &amp; agriculture'!$B75&amp;$C75,'Emission factors'!$J$3:$J$201&amp;'Emission factors'!$K$3:$K$201,0),MATCH($V$66,'Emission factors'!$K$2:$V$2,0)))*$I75)</f>
        <v/>
      </c>
      <c r="X75" s="1" cm="1">
        <f t="array" ref="X75">IF(OR(ISERROR(B75:V75)),1,0)</f>
        <v>0</v>
      </c>
      <c r="Y75" s="1">
        <f t="shared" si="5"/>
        <v>0</v>
      </c>
    </row>
    <row r="76" spans="2:25" ht="15" thickBot="1" x14ac:dyDescent="0.4">
      <c r="B76" s="155"/>
      <c r="C76" s="151"/>
      <c r="D76" s="100"/>
      <c r="E76" s="151"/>
      <c r="F76" s="157" t="str">
        <f>IF(E76="","",INDEX(Lists!$BA$4:$BC$31,MATCH(B76,Lists!$AZ$4:$AZ$31,0),MATCH(E76,Lists!$BA$3:$BC$3,0)))</f>
        <v/>
      </c>
      <c r="G76" s="148"/>
      <c r="H76" s="151"/>
      <c r="I76" s="154" t="str" cm="1">
        <f t="array" ref="I76">IF(OR($C76="",$B76="",$G76="",$H76=""),"",IF(H76=J76,G76,(INDEX('Emission factors'!$K$3:$V$201,MATCH(B76&amp;C76,'Emission factors'!$J$3:$J$201&amp;'Emission factors'!$K$3:$K$201,0),MATCH(AgricultureTable[[#Headers],[Converted data]],'Emission factors'!$K$2:$V$2,0)))*G76))</f>
        <v/>
      </c>
      <c r="J76" s="192" t="str">
        <f>IF(B76="","",INDEX('Emission factors'!$J$3:$V$201,MATCH('Land use &amp; agriculture'!$B76,'Emission factors'!$J$3:$J$201,0),MATCH($J$66,'Emission factors'!$J$2:$V$2,0)))</f>
        <v/>
      </c>
      <c r="K76" s="154" t="str" cm="1">
        <f t="array" ref="K76">IF(OR(C76="",G76=""),"",INDEX('Emission factors'!$K$3:$V$201,MATCH('Land use &amp; agriculture'!$B76&amp;$C76,'Emission factors'!$J$3:$J$201&amp;'Emission factors'!$K$3:$K$201,0),MATCH(AgricultureTable[[#Headers],[Total EF (kgCO2e/unit)]],'Emission factors'!$K$2:$V$2,0)))</f>
        <v/>
      </c>
      <c r="L76" s="287" t="str">
        <f>IF(OR(I76="",K76=""),"",SUM(AgricultureTable[[#This Row],[Direct]:[Indirect WTT]]))</f>
        <v/>
      </c>
      <c r="M76" s="150"/>
      <c r="N76" s="151"/>
      <c r="O76" s="288" t="str">
        <f>IF(OR($B76="",$G76=""),"",AgricultureTable[[#This Row],[Total EF (kgCO2e/unit)]]*$I76)</f>
        <v/>
      </c>
      <c r="P76" s="288" t="str" cm="1">
        <f t="array" ref="P76">IF(OR($B76="",$G76=""),"",(INDEX('Emission factors'!$K$3:$V$201,MATCH('Land use &amp; agriculture'!$B76&amp;$C76,'Emission factors'!$J$3:$J$201&amp;'Emission factors'!$K$3:$K$201,0),MATCH(AgricultureTable[[#Headers],[Indirect generation]],'Emission factors'!$K$2:$V$2,0)))*$I76)</f>
        <v/>
      </c>
      <c r="Q76" s="288" t="str" cm="1">
        <f t="array" ref="Q76">IF(OR($B76="",$G76=""),"",(INDEX('Emission factors'!$K$3:$V$201,MATCH('Land use &amp; agriculture'!$B76&amp;$C76,'Emission factors'!$J$3:$J$201&amp;'Emission factors'!$K$3:$K$201,0),MATCH(AgricultureTable[[#Headers],[Indirect service]],'Emission factors'!$K$2:$V$2,0)))*$I76)</f>
        <v/>
      </c>
      <c r="R76" s="288" t="str" cm="1">
        <f t="array" ref="R76">IF(OR($B76="",$G76=""),"",(INDEX('Emission factors'!$K$3:$V$201,MATCH('Land use &amp; agriculture'!$B76&amp;$C76,'Emission factors'!$J$3:$J$201&amp;'Emission factors'!$K$3:$K$201,0),MATCH(AgricultureTable[[#Headers],[Indirect T&amp;D]],'Emission factors'!$K$2:$V$2,0)))*$I76)</f>
        <v/>
      </c>
      <c r="S76" s="288" t="str" cm="1">
        <f t="array" ref="S76">IF(OR($B76="",$G76=""),"",(INDEX('Emission factors'!$K$3:$V$201,MATCH('Land use &amp; agriculture'!$B76&amp;$C76,'Emission factors'!$J$3:$J$201&amp;'Emission factors'!$K$3:$K$201,0),MATCH(AgricultureTable[[#Headers],[Indirect WTT]],'Emission factors'!$K$2:$V$2,0)))*$I76)</f>
        <v/>
      </c>
      <c r="T76" s="289" t="str">
        <f t="shared" si="3"/>
        <v/>
      </c>
      <c r="U76" s="307" t="str">
        <f t="shared" si="4"/>
        <v/>
      </c>
      <c r="V76" s="288" t="str" cm="1">
        <f t="array" ref="V76">IF(OR($B76="",$G76=""),"",(INDEX('Emission factors'!$K$3:$V$201,MATCH('Land use &amp; agriculture'!$B76&amp;$C76,'Emission factors'!$J$3:$J$201&amp;'Emission factors'!$K$3:$K$201,0),MATCH($V$66,'Emission factors'!$K$2:$V$2,0)))*$I76)</f>
        <v/>
      </c>
      <c r="X76" s="1" cm="1">
        <f t="array" ref="X76">IF(OR(ISERROR(B76:V76)),1,0)</f>
        <v>0</v>
      </c>
      <c r="Y76" s="1">
        <f t="shared" si="5"/>
        <v>0</v>
      </c>
    </row>
    <row r="77" spans="2:25" ht="15" thickBot="1" x14ac:dyDescent="0.4">
      <c r="B77" s="155"/>
      <c r="C77" s="151"/>
      <c r="D77" s="100"/>
      <c r="E77" s="151"/>
      <c r="F77" s="157" t="str">
        <f>IF(E77="","",INDEX(Lists!$BA$4:$BC$31,MATCH(B77,Lists!$AZ$4:$AZ$31,0),MATCH(E77,Lists!$BA$3:$BC$3,0)))</f>
        <v/>
      </c>
      <c r="G77" s="148"/>
      <c r="H77" s="151"/>
      <c r="I77" s="154" t="str" cm="1">
        <f t="array" ref="I77">IF(OR($C77="",$B77="",$G77="",$H77=""),"",IF(H77=J77,G77,(INDEX('Emission factors'!$K$3:$V$201,MATCH(B77&amp;C77,'Emission factors'!$J$3:$J$201&amp;'Emission factors'!$K$3:$K$201,0),MATCH(AgricultureTable[[#Headers],[Converted data]],'Emission factors'!$K$2:$V$2,0)))*G77))</f>
        <v/>
      </c>
      <c r="J77" s="192" t="str">
        <f>IF(B77="","",INDEX('Emission factors'!$J$3:$V$201,MATCH('Land use &amp; agriculture'!$B77,'Emission factors'!$J$3:$J$201,0),MATCH($J$66,'Emission factors'!$J$2:$V$2,0)))</f>
        <v/>
      </c>
      <c r="K77" s="154" t="str" cm="1">
        <f t="array" ref="K77">IF(OR(C77="",G77=""),"",INDEX('Emission factors'!$K$3:$V$201,MATCH('Land use &amp; agriculture'!$B77&amp;$C77,'Emission factors'!$J$3:$J$201&amp;'Emission factors'!$K$3:$K$201,0),MATCH(AgricultureTable[[#Headers],[Total EF (kgCO2e/unit)]],'Emission factors'!$K$2:$V$2,0)))</f>
        <v/>
      </c>
      <c r="L77" s="287" t="str">
        <f>IF(OR(I77="",K77=""),"",SUM(AgricultureTable[[#This Row],[Direct]:[Indirect WTT]]))</f>
        <v/>
      </c>
      <c r="M77" s="150"/>
      <c r="N77" s="151"/>
      <c r="O77" s="288" t="str">
        <f>IF(OR($B77="",$G77=""),"",AgricultureTable[[#This Row],[Total EF (kgCO2e/unit)]]*$I77)</f>
        <v/>
      </c>
      <c r="P77" s="288" t="str" cm="1">
        <f t="array" ref="P77">IF(OR($B77="",$G77=""),"",(INDEX('Emission factors'!$K$3:$V$201,MATCH('Land use &amp; agriculture'!$B77&amp;$C77,'Emission factors'!$J$3:$J$201&amp;'Emission factors'!$K$3:$K$201,0),MATCH(AgricultureTable[[#Headers],[Indirect generation]],'Emission factors'!$K$2:$V$2,0)))*$I77)</f>
        <v/>
      </c>
      <c r="Q77" s="288" t="str" cm="1">
        <f t="array" ref="Q77">IF(OR($B77="",$G77=""),"",(INDEX('Emission factors'!$K$3:$V$201,MATCH('Land use &amp; agriculture'!$B77&amp;$C77,'Emission factors'!$J$3:$J$201&amp;'Emission factors'!$K$3:$K$201,0),MATCH(AgricultureTable[[#Headers],[Indirect service]],'Emission factors'!$K$2:$V$2,0)))*$I77)</f>
        <v/>
      </c>
      <c r="R77" s="288" t="str" cm="1">
        <f t="array" ref="R77">IF(OR($B77="",$G77=""),"",(INDEX('Emission factors'!$K$3:$V$201,MATCH('Land use &amp; agriculture'!$B77&amp;$C77,'Emission factors'!$J$3:$J$201&amp;'Emission factors'!$K$3:$K$201,0),MATCH(AgricultureTable[[#Headers],[Indirect T&amp;D]],'Emission factors'!$K$2:$V$2,0)))*$I77)</f>
        <v/>
      </c>
      <c r="S77" s="288" t="str" cm="1">
        <f t="array" ref="S77">IF(OR($B77="",$G77=""),"",(INDEX('Emission factors'!$K$3:$V$201,MATCH('Land use &amp; agriculture'!$B77&amp;$C77,'Emission factors'!$J$3:$J$201&amp;'Emission factors'!$K$3:$K$201,0),MATCH(AgricultureTable[[#Headers],[Indirect WTT]],'Emission factors'!$K$2:$V$2,0)))*$I77)</f>
        <v/>
      </c>
      <c r="T77" s="289" t="str">
        <f t="shared" si="3"/>
        <v/>
      </c>
      <c r="U77" s="307" t="str">
        <f t="shared" si="4"/>
        <v/>
      </c>
      <c r="V77" s="288" t="str" cm="1">
        <f t="array" ref="V77">IF(OR($B77="",$G77=""),"",(INDEX('Emission factors'!$K$3:$V$201,MATCH('Land use &amp; agriculture'!$B77&amp;$C77,'Emission factors'!$J$3:$J$201&amp;'Emission factors'!$K$3:$K$201,0),MATCH($V$66,'Emission factors'!$K$2:$V$2,0)))*$I77)</f>
        <v/>
      </c>
      <c r="X77" s="1" cm="1">
        <f t="array" ref="X77">IF(OR(ISERROR(B77:V77)),1,0)</f>
        <v>0</v>
      </c>
      <c r="Y77" s="1">
        <f t="shared" si="5"/>
        <v>0</v>
      </c>
    </row>
    <row r="78" spans="2:25" ht="15" thickBot="1" x14ac:dyDescent="0.4">
      <c r="B78" s="155"/>
      <c r="C78" s="151"/>
      <c r="D78" s="100"/>
      <c r="E78" s="151"/>
      <c r="F78" s="157" t="str">
        <f>IF(E78="","",INDEX(Lists!$BA$4:$BC$31,MATCH(B78,Lists!$AZ$4:$AZ$31,0),MATCH(E78,Lists!$BA$3:$BC$3,0)))</f>
        <v/>
      </c>
      <c r="G78" s="148"/>
      <c r="H78" s="151"/>
      <c r="I78" s="154" t="str" cm="1">
        <f t="array" ref="I78">IF(OR($C78="",$B78="",$G78="",$H78=""),"",IF(H78=J78,G78,(INDEX('Emission factors'!$K$3:$V$201,MATCH(B78&amp;C78,'Emission factors'!$J$3:$J$201&amp;'Emission factors'!$K$3:$K$201,0),MATCH(AgricultureTable[[#Headers],[Converted data]],'Emission factors'!$K$2:$V$2,0)))*G78))</f>
        <v/>
      </c>
      <c r="J78" s="192" t="str">
        <f>IF(B78="","",INDEX('Emission factors'!$J$3:$V$201,MATCH('Land use &amp; agriculture'!$B78,'Emission factors'!$J$3:$J$201,0),MATCH($J$66,'Emission factors'!$J$2:$V$2,0)))</f>
        <v/>
      </c>
      <c r="K78" s="154" t="str" cm="1">
        <f t="array" ref="K78">IF(OR(C78="",G78=""),"",INDEX('Emission factors'!$K$3:$V$201,MATCH('Land use &amp; agriculture'!$B78&amp;$C78,'Emission factors'!$J$3:$J$201&amp;'Emission factors'!$K$3:$K$201,0),MATCH(AgricultureTable[[#Headers],[Total EF (kgCO2e/unit)]],'Emission factors'!$K$2:$V$2,0)))</f>
        <v/>
      </c>
      <c r="L78" s="287" t="str">
        <f>IF(OR(I78="",K78=""),"",SUM(AgricultureTable[[#This Row],[Direct]:[Indirect WTT]]))</f>
        <v/>
      </c>
      <c r="M78" s="150"/>
      <c r="N78" s="151"/>
      <c r="O78" s="288" t="str">
        <f>IF(OR($B78="",$G78=""),"",AgricultureTable[[#This Row],[Total EF (kgCO2e/unit)]]*$I78)</f>
        <v/>
      </c>
      <c r="P78" s="288" t="str" cm="1">
        <f t="array" ref="P78">IF(OR($B78="",$G78=""),"",(INDEX('Emission factors'!$K$3:$V$201,MATCH('Land use &amp; agriculture'!$B78&amp;$C78,'Emission factors'!$J$3:$J$201&amp;'Emission factors'!$K$3:$K$201,0),MATCH(AgricultureTable[[#Headers],[Indirect generation]],'Emission factors'!$K$2:$V$2,0)))*$I78)</f>
        <v/>
      </c>
      <c r="Q78" s="288" t="str" cm="1">
        <f t="array" ref="Q78">IF(OR($B78="",$G78=""),"",(INDEX('Emission factors'!$K$3:$V$201,MATCH('Land use &amp; agriculture'!$B78&amp;$C78,'Emission factors'!$J$3:$J$201&amp;'Emission factors'!$K$3:$K$201,0),MATCH(AgricultureTable[[#Headers],[Indirect service]],'Emission factors'!$K$2:$V$2,0)))*$I78)</f>
        <v/>
      </c>
      <c r="R78" s="288" t="str" cm="1">
        <f t="array" ref="R78">IF(OR($B78="",$G78=""),"",(INDEX('Emission factors'!$K$3:$V$201,MATCH('Land use &amp; agriculture'!$B78&amp;$C78,'Emission factors'!$J$3:$J$201&amp;'Emission factors'!$K$3:$K$201,0),MATCH(AgricultureTable[[#Headers],[Indirect T&amp;D]],'Emission factors'!$K$2:$V$2,0)))*$I78)</f>
        <v/>
      </c>
      <c r="S78" s="288" t="str" cm="1">
        <f t="array" ref="S78">IF(OR($B78="",$G78=""),"",(INDEX('Emission factors'!$K$3:$V$201,MATCH('Land use &amp; agriculture'!$B78&amp;$C78,'Emission factors'!$J$3:$J$201&amp;'Emission factors'!$K$3:$K$201,0),MATCH(AgricultureTable[[#Headers],[Indirect WTT]],'Emission factors'!$K$2:$V$2,0)))*$I78)</f>
        <v/>
      </c>
      <c r="T78" s="289" t="str">
        <f t="shared" si="3"/>
        <v/>
      </c>
      <c r="U78" s="307" t="str">
        <f t="shared" si="4"/>
        <v/>
      </c>
      <c r="V78" s="288" t="str" cm="1">
        <f t="array" ref="V78">IF(OR($B78="",$G78=""),"",(INDEX('Emission factors'!$K$3:$V$201,MATCH('Land use &amp; agriculture'!$B78&amp;$C78,'Emission factors'!$J$3:$J$201&amp;'Emission factors'!$K$3:$K$201,0),MATCH($V$66,'Emission factors'!$K$2:$V$2,0)))*$I78)</f>
        <v/>
      </c>
      <c r="X78" s="1" cm="1">
        <f t="array" ref="X78">IF(OR(ISERROR(B78:V78)),1,0)</f>
        <v>0</v>
      </c>
      <c r="Y78" s="1">
        <f t="shared" si="5"/>
        <v>0</v>
      </c>
    </row>
    <row r="79" spans="2:25" ht="15" thickBot="1" x14ac:dyDescent="0.4">
      <c r="B79" s="155"/>
      <c r="C79" s="151"/>
      <c r="D79" s="100"/>
      <c r="E79" s="151"/>
      <c r="F79" s="157" t="str">
        <f>IF(E79="","",INDEX(Lists!$BA$4:$BC$31,MATCH(B79,Lists!$AZ$4:$AZ$31,0),MATCH(E79,Lists!$BA$3:$BC$3,0)))</f>
        <v/>
      </c>
      <c r="G79" s="148"/>
      <c r="H79" s="151"/>
      <c r="I79" s="154" t="str" cm="1">
        <f t="array" ref="I79">IF(OR($C79="",$B79="",$G79="",$H79=""),"",IF(H79=J79,G79,(INDEX('Emission factors'!$K$3:$V$201,MATCH(B79&amp;C79,'Emission factors'!$J$3:$J$201&amp;'Emission factors'!$K$3:$K$201,0),MATCH(AgricultureTable[[#Headers],[Converted data]],'Emission factors'!$K$2:$V$2,0)))*G79))</f>
        <v/>
      </c>
      <c r="J79" s="192" t="str">
        <f>IF(B79="","",INDEX('Emission factors'!$J$3:$V$201,MATCH('Land use &amp; agriculture'!$B79,'Emission factors'!$J$3:$J$201,0),MATCH($J$66,'Emission factors'!$J$2:$V$2,0)))</f>
        <v/>
      </c>
      <c r="K79" s="154" t="str" cm="1">
        <f t="array" ref="K79">IF(OR(C79="",G79=""),"",INDEX('Emission factors'!$K$3:$V$201,MATCH('Land use &amp; agriculture'!$B79&amp;$C79,'Emission factors'!$J$3:$J$201&amp;'Emission factors'!$K$3:$K$201,0),MATCH(AgricultureTable[[#Headers],[Total EF (kgCO2e/unit)]],'Emission factors'!$K$2:$V$2,0)))</f>
        <v/>
      </c>
      <c r="L79" s="287" t="str">
        <f>IF(OR(I79="",K79=""),"",SUM(AgricultureTable[[#This Row],[Direct]:[Indirect WTT]]))</f>
        <v/>
      </c>
      <c r="M79" s="150"/>
      <c r="N79" s="151"/>
      <c r="O79" s="288" t="str">
        <f>IF(OR($B79="",$G79=""),"",AgricultureTable[[#This Row],[Total EF (kgCO2e/unit)]]*$I79)</f>
        <v/>
      </c>
      <c r="P79" s="288" t="str" cm="1">
        <f t="array" ref="P79">IF(OR($B79="",$G79=""),"",(INDEX('Emission factors'!$K$3:$V$201,MATCH('Land use &amp; agriculture'!$B79&amp;$C79,'Emission factors'!$J$3:$J$201&amp;'Emission factors'!$K$3:$K$201,0),MATCH(AgricultureTable[[#Headers],[Indirect generation]],'Emission factors'!$K$2:$V$2,0)))*$I79)</f>
        <v/>
      </c>
      <c r="Q79" s="288" t="str" cm="1">
        <f t="array" ref="Q79">IF(OR($B79="",$G79=""),"",(INDEX('Emission factors'!$K$3:$V$201,MATCH('Land use &amp; agriculture'!$B79&amp;$C79,'Emission factors'!$J$3:$J$201&amp;'Emission factors'!$K$3:$K$201,0),MATCH(AgricultureTable[[#Headers],[Indirect service]],'Emission factors'!$K$2:$V$2,0)))*$I79)</f>
        <v/>
      </c>
      <c r="R79" s="288" t="str" cm="1">
        <f t="array" ref="R79">IF(OR($B79="",$G79=""),"",(INDEX('Emission factors'!$K$3:$V$201,MATCH('Land use &amp; agriculture'!$B79&amp;$C79,'Emission factors'!$J$3:$J$201&amp;'Emission factors'!$K$3:$K$201,0),MATCH(AgricultureTable[[#Headers],[Indirect T&amp;D]],'Emission factors'!$K$2:$V$2,0)))*$I79)</f>
        <v/>
      </c>
      <c r="S79" s="288" t="str" cm="1">
        <f t="array" ref="S79">IF(OR($B79="",$G79=""),"",(INDEX('Emission factors'!$K$3:$V$201,MATCH('Land use &amp; agriculture'!$B79&amp;$C79,'Emission factors'!$J$3:$J$201&amp;'Emission factors'!$K$3:$K$201,0),MATCH(AgricultureTable[[#Headers],[Indirect WTT]],'Emission factors'!$K$2:$V$2,0)))*$I79)</f>
        <v/>
      </c>
      <c r="T79" s="289" t="str">
        <f t="shared" si="3"/>
        <v/>
      </c>
      <c r="U79" s="307" t="str">
        <f t="shared" si="4"/>
        <v/>
      </c>
      <c r="V79" s="288" t="str" cm="1">
        <f t="array" ref="V79">IF(OR($B79="",$G79=""),"",(INDEX('Emission factors'!$K$3:$V$201,MATCH('Land use &amp; agriculture'!$B79&amp;$C79,'Emission factors'!$J$3:$J$201&amp;'Emission factors'!$K$3:$K$201,0),MATCH($V$66,'Emission factors'!$K$2:$V$2,0)))*$I79)</f>
        <v/>
      </c>
      <c r="X79" s="1" cm="1">
        <f t="array" ref="X79">IF(OR(ISERROR(B79:V79)),1,0)</f>
        <v>0</v>
      </c>
      <c r="Y79" s="1">
        <f t="shared" si="5"/>
        <v>0</v>
      </c>
    </row>
    <row r="80" spans="2:25" ht="15" thickBot="1" x14ac:dyDescent="0.4">
      <c r="B80" s="155"/>
      <c r="C80" s="151"/>
      <c r="D80" s="100"/>
      <c r="E80" s="151"/>
      <c r="F80" s="157" t="str">
        <f>IF(E80="","",INDEX(Lists!$BA$4:$BC$31,MATCH(B80,Lists!$AZ$4:$AZ$31,0),MATCH(E80,Lists!$BA$3:$BC$3,0)))</f>
        <v/>
      </c>
      <c r="G80" s="148"/>
      <c r="H80" s="151"/>
      <c r="I80" s="154" t="str" cm="1">
        <f t="array" ref="I80">IF(OR($C80="",$B80="",$G80="",$H80=""),"",IF(H80=J80,G80,(INDEX('Emission factors'!$K$3:$V$201,MATCH(B80&amp;C80,'Emission factors'!$J$3:$J$201&amp;'Emission factors'!$K$3:$K$201,0),MATCH(AgricultureTable[[#Headers],[Converted data]],'Emission factors'!$K$2:$V$2,0)))*G80))</f>
        <v/>
      </c>
      <c r="J80" s="192" t="str">
        <f>IF(B80="","",INDEX('Emission factors'!$J$3:$V$201,MATCH('Land use &amp; agriculture'!$B80,'Emission factors'!$J$3:$J$201,0),MATCH($J$66,'Emission factors'!$J$2:$V$2,0)))</f>
        <v/>
      </c>
      <c r="K80" s="154" t="str" cm="1">
        <f t="array" ref="K80">IF(OR(C80="",G80=""),"",INDEX('Emission factors'!$K$3:$V$201,MATCH('Land use &amp; agriculture'!$B80&amp;$C80,'Emission factors'!$J$3:$J$201&amp;'Emission factors'!$K$3:$K$201,0),MATCH(AgricultureTable[[#Headers],[Total EF (kgCO2e/unit)]],'Emission factors'!$K$2:$V$2,0)))</f>
        <v/>
      </c>
      <c r="L80" s="287" t="str">
        <f>IF(OR(I80="",K80=""),"",SUM(AgricultureTable[[#This Row],[Direct]:[Indirect WTT]]))</f>
        <v/>
      </c>
      <c r="M80" s="150"/>
      <c r="N80" s="151"/>
      <c r="O80" s="288" t="str">
        <f>IF(OR($B80="",$G80=""),"",AgricultureTable[[#This Row],[Total EF (kgCO2e/unit)]]*$I80)</f>
        <v/>
      </c>
      <c r="P80" s="288" t="str" cm="1">
        <f t="array" ref="P80">IF(OR($B80="",$G80=""),"",(INDEX('Emission factors'!$K$3:$V$201,MATCH('Land use &amp; agriculture'!$B80&amp;$C80,'Emission factors'!$J$3:$J$201&amp;'Emission factors'!$K$3:$K$201,0),MATCH(AgricultureTable[[#Headers],[Indirect generation]],'Emission factors'!$K$2:$V$2,0)))*$I80)</f>
        <v/>
      </c>
      <c r="Q80" s="288" t="str" cm="1">
        <f t="array" ref="Q80">IF(OR($B80="",$G80=""),"",(INDEX('Emission factors'!$K$3:$V$201,MATCH('Land use &amp; agriculture'!$B80&amp;$C80,'Emission factors'!$J$3:$J$201&amp;'Emission factors'!$K$3:$K$201,0),MATCH(AgricultureTable[[#Headers],[Indirect service]],'Emission factors'!$K$2:$V$2,0)))*$I80)</f>
        <v/>
      </c>
      <c r="R80" s="288" t="str" cm="1">
        <f t="array" ref="R80">IF(OR($B80="",$G80=""),"",(INDEX('Emission factors'!$K$3:$V$201,MATCH('Land use &amp; agriculture'!$B80&amp;$C80,'Emission factors'!$J$3:$J$201&amp;'Emission factors'!$K$3:$K$201,0),MATCH(AgricultureTable[[#Headers],[Indirect T&amp;D]],'Emission factors'!$K$2:$V$2,0)))*$I80)</f>
        <v/>
      </c>
      <c r="S80" s="288" t="str" cm="1">
        <f t="array" ref="S80">IF(OR($B80="",$G80=""),"",(INDEX('Emission factors'!$K$3:$V$201,MATCH('Land use &amp; agriculture'!$B80&amp;$C80,'Emission factors'!$J$3:$J$201&amp;'Emission factors'!$K$3:$K$201,0),MATCH(AgricultureTable[[#Headers],[Indirect WTT]],'Emission factors'!$K$2:$V$2,0)))*$I80)</f>
        <v/>
      </c>
      <c r="T80" s="289" t="str">
        <f t="shared" si="3"/>
        <v/>
      </c>
      <c r="U80" s="307" t="str">
        <f t="shared" si="4"/>
        <v/>
      </c>
      <c r="V80" s="288" t="str" cm="1">
        <f t="array" ref="V80">IF(OR($B80="",$G80=""),"",(INDEX('Emission factors'!$K$3:$V$201,MATCH('Land use &amp; agriculture'!$B80&amp;$C80,'Emission factors'!$J$3:$J$201&amp;'Emission factors'!$K$3:$K$201,0),MATCH($V$66,'Emission factors'!$K$2:$V$2,0)))*$I80)</f>
        <v/>
      </c>
      <c r="X80" s="1" cm="1">
        <f t="array" ref="X80">IF(OR(ISERROR(B80:V80)),1,0)</f>
        <v>0</v>
      </c>
      <c r="Y80" s="1">
        <f t="shared" si="5"/>
        <v>0</v>
      </c>
    </row>
    <row r="81" spans="2:25" ht="15" thickBot="1" x14ac:dyDescent="0.4">
      <c r="B81" s="155"/>
      <c r="C81" s="151"/>
      <c r="D81" s="100"/>
      <c r="E81" s="151"/>
      <c r="F81" s="157" t="str">
        <f>IF(E81="","",INDEX(Lists!$BA$4:$BC$31,MATCH(B81,Lists!$AZ$4:$AZ$31,0),MATCH(E81,Lists!$BA$3:$BC$3,0)))</f>
        <v/>
      </c>
      <c r="G81" s="148"/>
      <c r="H81" s="151"/>
      <c r="I81" s="154" t="str" cm="1">
        <f t="array" ref="I81">IF(OR($C81="",$B81="",$G81="",$H81=""),"",IF(H81=J81,G81,(INDEX('Emission factors'!$K$3:$V$201,MATCH(B81&amp;C81,'Emission factors'!$J$3:$J$201&amp;'Emission factors'!$K$3:$K$201,0),MATCH(AgricultureTable[[#Headers],[Converted data]],'Emission factors'!$K$2:$V$2,0)))*G81))</f>
        <v/>
      </c>
      <c r="J81" s="192" t="str">
        <f>IF(B81="","",INDEX('Emission factors'!$J$3:$V$201,MATCH('Land use &amp; agriculture'!$B81,'Emission factors'!$J$3:$J$201,0),MATCH($J$66,'Emission factors'!$J$2:$V$2,0)))</f>
        <v/>
      </c>
      <c r="K81" s="154" t="str" cm="1">
        <f t="array" ref="K81">IF(OR(C81="",G81=""),"",INDEX('Emission factors'!$K$3:$V$201,MATCH('Land use &amp; agriculture'!$B81&amp;$C81,'Emission factors'!$J$3:$J$201&amp;'Emission factors'!$K$3:$K$201,0),MATCH(AgricultureTable[[#Headers],[Total EF (kgCO2e/unit)]],'Emission factors'!$K$2:$V$2,0)))</f>
        <v/>
      </c>
      <c r="L81" s="287" t="str">
        <f>IF(OR(I81="",K81=""),"",SUM(AgricultureTable[[#This Row],[Direct]:[Indirect WTT]]))</f>
        <v/>
      </c>
      <c r="M81" s="150"/>
      <c r="N81" s="151"/>
      <c r="O81" s="288" t="str">
        <f>IF(OR($B81="",$G81=""),"",AgricultureTable[[#This Row],[Total EF (kgCO2e/unit)]]*$I81)</f>
        <v/>
      </c>
      <c r="P81" s="288" t="str" cm="1">
        <f t="array" ref="P81">IF(OR($B81="",$G81=""),"",(INDEX('Emission factors'!$K$3:$V$201,MATCH('Land use &amp; agriculture'!$B81&amp;$C81,'Emission factors'!$J$3:$J$201&amp;'Emission factors'!$K$3:$K$201,0),MATCH(AgricultureTable[[#Headers],[Indirect generation]],'Emission factors'!$K$2:$V$2,0)))*$I81)</f>
        <v/>
      </c>
      <c r="Q81" s="288" t="str" cm="1">
        <f t="array" ref="Q81">IF(OR($B81="",$G81=""),"",(INDEX('Emission factors'!$K$3:$V$201,MATCH('Land use &amp; agriculture'!$B81&amp;$C81,'Emission factors'!$J$3:$J$201&amp;'Emission factors'!$K$3:$K$201,0),MATCH(AgricultureTable[[#Headers],[Indirect service]],'Emission factors'!$K$2:$V$2,0)))*$I81)</f>
        <v/>
      </c>
      <c r="R81" s="288" t="str" cm="1">
        <f t="array" ref="R81">IF(OR($B81="",$G81=""),"",(INDEX('Emission factors'!$K$3:$V$201,MATCH('Land use &amp; agriculture'!$B81&amp;$C81,'Emission factors'!$J$3:$J$201&amp;'Emission factors'!$K$3:$K$201,0),MATCH(AgricultureTable[[#Headers],[Indirect T&amp;D]],'Emission factors'!$K$2:$V$2,0)))*$I81)</f>
        <v/>
      </c>
      <c r="S81" s="288" t="str" cm="1">
        <f t="array" ref="S81">IF(OR($B81="",$G81=""),"",(INDEX('Emission factors'!$K$3:$V$201,MATCH('Land use &amp; agriculture'!$B81&amp;$C81,'Emission factors'!$J$3:$J$201&amp;'Emission factors'!$K$3:$K$201,0),MATCH(AgricultureTable[[#Headers],[Indirect WTT]],'Emission factors'!$K$2:$V$2,0)))*$I81)</f>
        <v/>
      </c>
      <c r="T81" s="289" t="str">
        <f t="shared" si="3"/>
        <v/>
      </c>
      <c r="U81" s="307" t="str">
        <f t="shared" si="4"/>
        <v/>
      </c>
      <c r="V81" s="288" t="str" cm="1">
        <f t="array" ref="V81">IF(OR($B81="",$G81=""),"",(INDEX('Emission factors'!$K$3:$V$201,MATCH('Land use &amp; agriculture'!$B81&amp;$C81,'Emission factors'!$J$3:$J$201&amp;'Emission factors'!$K$3:$K$201,0),MATCH($V$66,'Emission factors'!$K$2:$V$2,0)))*$I81)</f>
        <v/>
      </c>
      <c r="X81" s="1" cm="1">
        <f t="array" ref="X81">IF(OR(ISERROR(B81:V81)),1,0)</f>
        <v>0</v>
      </c>
      <c r="Y81" s="1">
        <f t="shared" si="5"/>
        <v>0</v>
      </c>
    </row>
    <row r="82" spans="2:25" ht="15" thickBot="1" x14ac:dyDescent="0.4">
      <c r="B82" s="155"/>
      <c r="C82" s="151"/>
      <c r="D82" s="100"/>
      <c r="E82" s="151"/>
      <c r="F82" s="157" t="str">
        <f>IF(E82="","",INDEX(Lists!$BA$4:$BC$31,MATCH(B82,Lists!$AZ$4:$AZ$31,0),MATCH(E82,Lists!$BA$3:$BC$3,0)))</f>
        <v/>
      </c>
      <c r="G82" s="148"/>
      <c r="H82" s="151"/>
      <c r="I82" s="154" t="str" cm="1">
        <f t="array" ref="I82">IF(OR($C82="",$B82="",$G82="",$H82=""),"",IF(H82=J82,G82,(INDEX('Emission factors'!$K$3:$V$201,MATCH(B82&amp;C82,'Emission factors'!$J$3:$J$201&amp;'Emission factors'!$K$3:$K$201,0),MATCH(AgricultureTable[[#Headers],[Converted data]],'Emission factors'!$K$2:$V$2,0)))*G82))</f>
        <v/>
      </c>
      <c r="J82" s="192" t="str">
        <f>IF(B82="","",INDEX('Emission factors'!$J$3:$V$201,MATCH('Land use &amp; agriculture'!$B82,'Emission factors'!$J$3:$J$201,0),MATCH($J$66,'Emission factors'!$J$2:$V$2,0)))</f>
        <v/>
      </c>
      <c r="K82" s="154" t="str" cm="1">
        <f t="array" ref="K82">IF(OR(C82="",G82=""),"",INDEX('Emission factors'!$K$3:$V$201,MATCH('Land use &amp; agriculture'!$B82&amp;$C82,'Emission factors'!$J$3:$J$201&amp;'Emission factors'!$K$3:$K$201,0),MATCH(AgricultureTable[[#Headers],[Total EF (kgCO2e/unit)]],'Emission factors'!$K$2:$V$2,0)))</f>
        <v/>
      </c>
      <c r="L82" s="287" t="str">
        <f>IF(OR(I82="",K82=""),"",SUM(AgricultureTable[[#This Row],[Direct]:[Indirect WTT]]))</f>
        <v/>
      </c>
      <c r="M82" s="150"/>
      <c r="N82" s="151"/>
      <c r="O82" s="288" t="str">
        <f>IF(OR($B82="",$G82=""),"",AgricultureTable[[#This Row],[Total EF (kgCO2e/unit)]]*$I82)</f>
        <v/>
      </c>
      <c r="P82" s="288" t="str" cm="1">
        <f t="array" ref="P82">IF(OR($B82="",$G82=""),"",(INDEX('Emission factors'!$K$3:$V$201,MATCH('Land use &amp; agriculture'!$B82&amp;$C82,'Emission factors'!$J$3:$J$201&amp;'Emission factors'!$K$3:$K$201,0),MATCH(AgricultureTable[[#Headers],[Indirect generation]],'Emission factors'!$K$2:$V$2,0)))*$I82)</f>
        <v/>
      </c>
      <c r="Q82" s="288" t="str" cm="1">
        <f t="array" ref="Q82">IF(OR($B82="",$G82=""),"",(INDEX('Emission factors'!$K$3:$V$201,MATCH('Land use &amp; agriculture'!$B82&amp;$C82,'Emission factors'!$J$3:$J$201&amp;'Emission factors'!$K$3:$K$201,0),MATCH(AgricultureTable[[#Headers],[Indirect service]],'Emission factors'!$K$2:$V$2,0)))*$I82)</f>
        <v/>
      </c>
      <c r="R82" s="288" t="str" cm="1">
        <f t="array" ref="R82">IF(OR($B82="",$G82=""),"",(INDEX('Emission factors'!$K$3:$V$201,MATCH('Land use &amp; agriculture'!$B82&amp;$C82,'Emission factors'!$J$3:$J$201&amp;'Emission factors'!$K$3:$K$201,0),MATCH(AgricultureTable[[#Headers],[Indirect T&amp;D]],'Emission factors'!$K$2:$V$2,0)))*$I82)</f>
        <v/>
      </c>
      <c r="S82" s="288" t="str" cm="1">
        <f t="array" ref="S82">IF(OR($B82="",$G82=""),"",(INDEX('Emission factors'!$K$3:$V$201,MATCH('Land use &amp; agriculture'!$B82&amp;$C82,'Emission factors'!$J$3:$J$201&amp;'Emission factors'!$K$3:$K$201,0),MATCH(AgricultureTable[[#Headers],[Indirect WTT]],'Emission factors'!$K$2:$V$2,0)))*$I82)</f>
        <v/>
      </c>
      <c r="T82" s="289" t="str">
        <f t="shared" si="3"/>
        <v/>
      </c>
      <c r="U82" s="307" t="str">
        <f t="shared" si="4"/>
        <v/>
      </c>
      <c r="V82" s="288" t="str" cm="1">
        <f t="array" ref="V82">IF(OR($B82="",$G82=""),"",(INDEX('Emission factors'!$K$3:$V$201,MATCH('Land use &amp; agriculture'!$B82&amp;$C82,'Emission factors'!$J$3:$J$201&amp;'Emission factors'!$K$3:$K$201,0),MATCH($V$66,'Emission factors'!$K$2:$V$2,0)))*$I82)</f>
        <v/>
      </c>
      <c r="X82" s="1" cm="1">
        <f t="array" ref="X82">IF(OR(ISERROR(B82:V82)),1,0)</f>
        <v>0</v>
      </c>
      <c r="Y82" s="1">
        <f t="shared" si="5"/>
        <v>0</v>
      </c>
    </row>
  </sheetData>
  <sheetProtection algorithmName="SHA-512" hashValue="q2AV4Kpy1Kptrhdr3LFT0JLYfivYeE+eHQmapy1/0lEUqDsI7cQbGgVMR2rq4GAWZtVJE99788oKN/A04fJH7A==" saltValue="ctm2dLmsfVwpC5HSxqeflQ==" spinCount="100000" sheet="1" objects="1" scenarios="1"/>
  <mergeCells count="10">
    <mergeCell ref="B8:C8"/>
    <mergeCell ref="B9:C9"/>
    <mergeCell ref="B10:C10"/>
    <mergeCell ref="B11:C11"/>
    <mergeCell ref="B12:C12"/>
    <mergeCell ref="B2:F2"/>
    <mergeCell ref="B6:C6"/>
    <mergeCell ref="B7:C7"/>
    <mergeCell ref="B4:L4"/>
    <mergeCell ref="B3:L3"/>
  </mergeCells>
  <phoneticPr fontId="20" type="noConversion"/>
  <conditionalFormatting sqref="B16:V36 B41:B42 D41:V42 B43:V63 B67:V82">
    <cfRule type="expression" dxfId="20" priority="1">
      <formula>IF($X16=1,1,0)</formula>
    </cfRule>
  </conditionalFormatting>
  <conditionalFormatting sqref="C42">
    <cfRule type="expression" dxfId="19" priority="43">
      <formula>IF($X41=1,1,0)</formula>
    </cfRule>
  </conditionalFormatting>
  <conditionalFormatting sqref="G14">
    <cfRule type="containsText" dxfId="18" priority="6" operator="containsText" text="There are errors">
      <formula>NOT(ISERROR(SEARCH("There are errors",G14)))</formula>
    </cfRule>
    <cfRule type="containsText" dxfId="17" priority="7" operator="containsText" text="No errors in this table">
      <formula>NOT(ISERROR(SEARCH("No errors in this table",G14)))</formula>
    </cfRule>
  </conditionalFormatting>
  <conditionalFormatting sqref="G39">
    <cfRule type="containsText" dxfId="16" priority="4" operator="containsText" text="There are errors">
      <formula>NOT(ISERROR(SEARCH("There are errors",G39)))</formula>
    </cfRule>
    <cfRule type="containsText" dxfId="15" priority="5" operator="containsText" text="No errors in this table">
      <formula>NOT(ISERROR(SEARCH("No errors in this table",G39)))</formula>
    </cfRule>
  </conditionalFormatting>
  <conditionalFormatting sqref="G65">
    <cfRule type="containsText" dxfId="14" priority="2" operator="containsText" text="There are errors">
      <formula>NOT(ISERROR(SEARCH("There are errors",G65)))</formula>
    </cfRule>
    <cfRule type="containsText" dxfId="13" priority="3" operator="containsText" text="No errors in this table">
      <formula>NOT(ISERROR(SEARCH("No errors in this table",G65)))</formula>
    </cfRule>
  </conditionalFormatting>
  <dataValidations count="9">
    <dataValidation type="list" allowBlank="1" showInputMessage="1" showErrorMessage="1" sqref="B16:B36 D16:D36" xr:uid="{00000000-0002-0000-0600-000000000000}">
      <formula1>landuse</formula1>
    </dataValidation>
    <dataValidation type="list" allowBlank="1" showInputMessage="1" showErrorMessage="1" sqref="C16:C36" xr:uid="{00000000-0002-0000-0600-000001000000}">
      <formula1>soil</formula1>
    </dataValidation>
    <dataValidation type="list" allowBlank="1" showInputMessage="1" showErrorMessage="1" sqref="E41:E63" xr:uid="{00000000-0002-0000-0600-000003000000}">
      <formula1>Methodologyall</formula1>
    </dataValidation>
    <dataValidation type="decimal" operator="greaterThan" allowBlank="1" showInputMessage="1" showErrorMessage="1" errorTitle="Numeric data" error="Please enter a number greater than zero" sqref="G41:G63 G16:G36 G67:G82" xr:uid="{00000000-0002-0000-0600-000004000000}">
      <formula1>0</formula1>
    </dataValidation>
    <dataValidation type="list" allowBlank="1" showInputMessage="1" showErrorMessage="1" sqref="E67:E82" xr:uid="{1DAB85D2-0245-4F61-AEF6-38CAF6E80182}">
      <formula1>Methodologytier1</formula1>
    </dataValidation>
    <dataValidation type="list" allowBlank="1" showInputMessage="1" showErrorMessage="1" sqref="C67:C82" xr:uid="{00000000-0002-0000-0200-00000B000000}">
      <formula1>INDIRECT(SUBSTITUTE($B67," ",""))</formula1>
    </dataValidation>
    <dataValidation type="list" allowBlank="1" showInputMessage="1" showErrorMessage="1" sqref="N67:N82 N41:N63 N16:N36" xr:uid="{00000000-0002-0000-0200-000001000000}">
      <formula1>Ease</formula1>
    </dataValidation>
    <dataValidation type="list" allowBlank="1" showInputMessage="1" showErrorMessage="1" sqref="B67:B82" xr:uid="{42FC09E0-3971-40F1-B0BE-775047BD1759}">
      <formula1>INDIRECT(SUBSTITUTE($B$65," ",""))</formula1>
    </dataValidation>
    <dataValidation type="list" allowBlank="1" showInputMessage="1" showErrorMessage="1" sqref="H67:H82" xr:uid="{24F6AAB4-1C23-43EE-AC09-9C6BD5CAE8A5}">
      <formula1>INDIRECT(CONCATENATE(SUBSTITUTE($B67," ","")&amp;$H$66))</formula1>
    </dataValidation>
  </dataValidations>
  <pageMargins left="0.7" right="0.7" top="0.75" bottom="0.75" header="0.3" footer="0.3"/>
  <pageSetup paperSize="9" orientation="portrait" r:id="rId1"/>
  <ignoredErrors>
    <ignoredError sqref="K67:K82" unlockedFormula="1"/>
  </ignoredErrors>
  <tableParts count="3">
    <tablePart r:id="rId2"/>
    <tablePart r:id="rId3"/>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27CCF9"/>
  </sheetPr>
  <dimension ref="A1:Q48"/>
  <sheetViews>
    <sheetView showGridLines="0" workbookViewId="0">
      <selection activeCell="B1" sqref="B1:G2"/>
    </sheetView>
  </sheetViews>
  <sheetFormatPr defaultColWidth="8.54296875" defaultRowHeight="14.5" x14ac:dyDescent="0.35"/>
  <cols>
    <col min="1" max="1" width="2.08984375" style="1" customWidth="1"/>
    <col min="2" max="2" width="24.1796875" style="1" customWidth="1"/>
    <col min="3" max="3" width="13.90625" style="1" customWidth="1"/>
    <col min="4" max="4" width="20.1796875" style="1" customWidth="1"/>
    <col min="5" max="5" width="13.81640625" style="1" customWidth="1"/>
    <col min="6" max="6" width="20.54296875" style="1" customWidth="1"/>
    <col min="7" max="7" width="21.453125" style="1" customWidth="1"/>
    <col min="8" max="8" width="15.1796875" style="1" customWidth="1"/>
    <col min="9" max="9" width="21.453125" style="1" customWidth="1"/>
    <col min="10" max="10" width="19.08984375" style="1" customWidth="1"/>
    <col min="11" max="11" width="21.453125" style="1" customWidth="1"/>
    <col min="12" max="12" width="22.08984375" style="1" customWidth="1"/>
    <col min="13" max="13" width="21.08984375" style="1" customWidth="1"/>
    <col min="14" max="14" width="20.54296875" style="1" customWidth="1"/>
    <col min="15" max="15" width="21.90625" style="1" customWidth="1"/>
    <col min="16" max="16" width="14.08984375" style="1" customWidth="1"/>
    <col min="17" max="17" width="17.90625" style="1" customWidth="1"/>
    <col min="18" max="16384" width="8.54296875" style="1"/>
  </cols>
  <sheetData>
    <row r="1" spans="1:17" ht="15" thickBot="1" x14ac:dyDescent="0.4">
      <c r="B1" s="570" t="s">
        <v>78</v>
      </c>
      <c r="C1" s="571"/>
      <c r="D1" s="571"/>
      <c r="E1" s="571"/>
      <c r="F1" s="571"/>
      <c r="G1" s="571"/>
      <c r="H1" s="167" t="s">
        <v>108</v>
      </c>
      <c r="I1" s="164" t="s">
        <v>8</v>
      </c>
      <c r="J1" s="165" t="s">
        <v>12</v>
      </c>
      <c r="K1" s="145"/>
      <c r="L1" s="145"/>
      <c r="M1" s="145"/>
      <c r="N1" s="145"/>
      <c r="O1" s="145"/>
      <c r="P1" s="145"/>
      <c r="Q1" s="145"/>
    </row>
    <row r="2" spans="1:17" ht="21.5" thickBot="1" x14ac:dyDescent="0.4">
      <c r="B2" s="572"/>
      <c r="C2" s="573"/>
      <c r="D2" s="573"/>
      <c r="E2" s="573"/>
      <c r="F2" s="573"/>
      <c r="G2" s="573"/>
      <c r="H2" s="168"/>
      <c r="I2" s="163" t="s">
        <v>10</v>
      </c>
      <c r="J2" s="166" t="s">
        <v>13</v>
      </c>
      <c r="K2" s="145"/>
      <c r="L2" s="145"/>
      <c r="M2" s="145"/>
      <c r="N2" s="145"/>
      <c r="O2" s="145"/>
      <c r="P2" s="145"/>
      <c r="Q2" s="145"/>
    </row>
    <row r="3" spans="1:17" ht="97.25" customHeight="1" thickBot="1" x14ac:dyDescent="0.4">
      <c r="A3" s="32"/>
      <c r="B3" s="569" t="s">
        <v>1194</v>
      </c>
      <c r="C3" s="516"/>
      <c r="D3" s="516"/>
      <c r="E3" s="516"/>
      <c r="F3" s="516"/>
      <c r="G3" s="516"/>
      <c r="H3" s="516"/>
      <c r="I3" s="516"/>
      <c r="J3" s="516"/>
      <c r="K3" s="145"/>
      <c r="L3" s="145"/>
      <c r="M3" s="145"/>
      <c r="N3" s="145"/>
      <c r="O3" s="145"/>
      <c r="P3" s="145"/>
      <c r="Q3" s="145"/>
    </row>
    <row r="4" spans="1:17" ht="88.25" customHeight="1" x14ac:dyDescent="0.35">
      <c r="A4" s="32"/>
      <c r="B4" s="569" t="s">
        <v>1072</v>
      </c>
      <c r="C4" s="516"/>
      <c r="D4" s="516"/>
      <c r="E4" s="516"/>
      <c r="F4" s="516"/>
      <c r="G4" s="516"/>
      <c r="H4" s="516"/>
      <c r="I4" s="516"/>
      <c r="J4" s="516"/>
      <c r="K4" s="145"/>
      <c r="L4" s="145"/>
      <c r="M4" s="145"/>
      <c r="N4" s="145"/>
      <c r="O4" s="75"/>
      <c r="P4" s="66"/>
    </row>
    <row r="5" spans="1:17" x14ac:dyDescent="0.35">
      <c r="A5" s="11"/>
      <c r="B5" s="33"/>
      <c r="C5" s="169"/>
      <c r="D5" s="169"/>
      <c r="E5" s="33"/>
      <c r="F5" s="33"/>
      <c r="G5" s="33"/>
      <c r="H5" s="33"/>
      <c r="I5" s="33"/>
      <c r="J5" s="33"/>
    </row>
    <row r="6" spans="1:17" ht="18.5" x14ac:dyDescent="0.35">
      <c r="B6" s="37" t="s">
        <v>1192</v>
      </c>
      <c r="E6" s="180"/>
      <c r="F6" s="261" t="str">
        <f>IF(K8&lt;&gt;(L8+N8+M8), "Error - Total kWh generated must equal the sum of kWh used onsite and kWh exported", "")</f>
        <v/>
      </c>
      <c r="G6"/>
      <c r="H6"/>
      <c r="I6"/>
      <c r="J6" s="33"/>
      <c r="K6" s="33"/>
      <c r="L6" s="33"/>
      <c r="M6" s="33"/>
      <c r="N6" s="33"/>
      <c r="O6" s="33"/>
    </row>
    <row r="7" spans="1:17" ht="29.5" thickBot="1" x14ac:dyDescent="0.4">
      <c r="A7" s="33"/>
      <c r="B7" s="96" t="s">
        <v>1161</v>
      </c>
      <c r="C7" s="95" t="s">
        <v>1193</v>
      </c>
      <c r="D7" s="95" t="s">
        <v>316</v>
      </c>
      <c r="E7" s="96" t="s">
        <v>317</v>
      </c>
      <c r="F7" s="96" t="s">
        <v>159</v>
      </c>
      <c r="G7" s="96" t="s">
        <v>1152</v>
      </c>
      <c r="H7" s="96" t="s">
        <v>1195</v>
      </c>
      <c r="I7" s="96" t="s">
        <v>116</v>
      </c>
      <c r="J7" s="96" t="s">
        <v>1169</v>
      </c>
      <c r="K7" s="96" t="s">
        <v>318</v>
      </c>
      <c r="L7" s="96" t="s">
        <v>1198</v>
      </c>
      <c r="M7" s="96" t="s">
        <v>1153</v>
      </c>
      <c r="N7" s="96" t="s">
        <v>1154</v>
      </c>
      <c r="O7" s="96" t="s">
        <v>1168</v>
      </c>
      <c r="P7" s="96" t="s">
        <v>122</v>
      </c>
      <c r="Q7" s="97" t="s">
        <v>123</v>
      </c>
    </row>
    <row r="8" spans="1:17" ht="15" thickBot="1" x14ac:dyDescent="0.4">
      <c r="B8" s="213"/>
      <c r="C8" s="212"/>
      <c r="D8" s="212"/>
      <c r="E8" s="213"/>
      <c r="F8" s="213"/>
      <c r="G8" s="213"/>
      <c r="H8" s="213"/>
      <c r="I8" s="381" t="str">
        <f>IF(F8="","",INDEX(Lists!$BA$4:$BC$37,MATCH(OnsiteRenewablesTable[[#This Row],[Renewable Type]],Lists!$AZ$4:$AZ$37,0),MATCH(OnsiteRenewablesTable[[#This Row],[Methodology used]],Lists!$BA$3:$BC$3,0)))</f>
        <v/>
      </c>
      <c r="J8" s="216"/>
      <c r="K8" s="216"/>
      <c r="L8" s="216"/>
      <c r="M8" s="216"/>
      <c r="N8" s="216"/>
      <c r="O8" s="218"/>
      <c r="P8" s="218"/>
      <c r="Q8" s="218"/>
    </row>
    <row r="9" spans="1:17" ht="15" thickBot="1" x14ac:dyDescent="0.4">
      <c r="B9" s="213"/>
      <c r="C9" s="212"/>
      <c r="D9" s="212"/>
      <c r="E9" s="213"/>
      <c r="F9" s="213"/>
      <c r="G9" s="213"/>
      <c r="H9" s="213"/>
      <c r="I9" s="381" t="str">
        <f>IF(F9="","",INDEX(Lists!$BA$4:$BC$37,MATCH(OnsiteRenewablesTable[[#This Row],[Renewable Type]],Lists!$AZ$4:$AZ$37,0),MATCH(OnsiteRenewablesTable[[#This Row],[Methodology used]],Lists!$BA$3:$BC$3,0)))</f>
        <v/>
      </c>
      <c r="J9" s="216"/>
      <c r="K9" s="216"/>
      <c r="L9" s="216"/>
      <c r="M9" s="216"/>
      <c r="N9" s="216"/>
      <c r="O9" s="218"/>
      <c r="P9" s="218"/>
      <c r="Q9" s="218"/>
    </row>
    <row r="10" spans="1:17" ht="15" thickBot="1" x14ac:dyDescent="0.4">
      <c r="B10" s="213"/>
      <c r="C10" s="212"/>
      <c r="D10" s="212"/>
      <c r="E10" s="213"/>
      <c r="F10" s="213"/>
      <c r="G10" s="213"/>
      <c r="H10" s="213"/>
      <c r="I10" s="381" t="str">
        <f>IF(F10="","",INDEX(Lists!$BA$4:$BC$37,MATCH(OnsiteRenewablesTable[[#This Row],[Renewable Type]],Lists!$AZ$4:$AZ$37,0),MATCH(OnsiteRenewablesTable[[#This Row],[Methodology used]],Lists!$BA$3:$BC$3,0)))</f>
        <v/>
      </c>
      <c r="J10" s="216"/>
      <c r="K10" s="216"/>
      <c r="L10" s="216"/>
      <c r="M10" s="216"/>
      <c r="N10" s="216"/>
      <c r="O10" s="218"/>
      <c r="P10" s="218"/>
      <c r="Q10" s="218"/>
    </row>
    <row r="11" spans="1:17" ht="15" thickBot="1" x14ac:dyDescent="0.4">
      <c r="B11" s="213"/>
      <c r="C11" s="212"/>
      <c r="D11" s="212"/>
      <c r="E11" s="213"/>
      <c r="F11" s="213"/>
      <c r="G11" s="213"/>
      <c r="H11" s="213"/>
      <c r="I11" s="381" t="str">
        <f>IF(F11="","",INDEX(Lists!$BA$4:$BC$37,MATCH(OnsiteRenewablesTable[[#This Row],[Renewable Type]],Lists!$AZ$4:$AZ$37,0),MATCH(OnsiteRenewablesTable[[#This Row],[Methodology used]],Lists!$BA$3:$BC$3,0)))</f>
        <v/>
      </c>
      <c r="J11" s="216"/>
      <c r="K11" s="216"/>
      <c r="L11" s="216"/>
      <c r="M11" s="216"/>
      <c r="N11" s="216"/>
      <c r="O11" s="218"/>
      <c r="P11" s="218"/>
      <c r="Q11" s="218"/>
    </row>
    <row r="12" spans="1:17" ht="15" thickBot="1" x14ac:dyDescent="0.4">
      <c r="B12" s="213"/>
      <c r="C12" s="212"/>
      <c r="D12" s="212"/>
      <c r="E12" s="213"/>
      <c r="F12" s="213"/>
      <c r="G12" s="213"/>
      <c r="H12" s="213"/>
      <c r="I12" s="381" t="str">
        <f>IF(F12="","",INDEX(Lists!$BA$4:$BC$37,MATCH(OnsiteRenewablesTable[[#This Row],[Renewable Type]],Lists!$AZ$4:$AZ$37,0),MATCH(OnsiteRenewablesTable[[#This Row],[Methodology used]],Lists!$BA$3:$BC$3,0)))</f>
        <v/>
      </c>
      <c r="J12" s="216"/>
      <c r="K12" s="216"/>
      <c r="L12" s="216"/>
      <c r="M12" s="216"/>
      <c r="N12" s="216"/>
      <c r="O12" s="218"/>
      <c r="P12" s="218"/>
      <c r="Q12" s="218"/>
    </row>
    <row r="13" spans="1:17" ht="15" thickBot="1" x14ac:dyDescent="0.4">
      <c r="B13" s="213"/>
      <c r="C13" s="212"/>
      <c r="D13" s="212"/>
      <c r="E13" s="213"/>
      <c r="F13" s="213"/>
      <c r="G13" s="213"/>
      <c r="H13" s="213"/>
      <c r="I13" s="381" t="str">
        <f>IF(F13="","",INDEX(Lists!$BA$4:$BC$37,MATCH(OnsiteRenewablesTable[[#This Row],[Renewable Type]],Lists!$AZ$4:$AZ$37,0),MATCH(OnsiteRenewablesTable[[#This Row],[Methodology used]],Lists!$BA$3:$BC$3,0)))</f>
        <v/>
      </c>
      <c r="J13" s="216"/>
      <c r="K13" s="216"/>
      <c r="L13" s="216"/>
      <c r="M13" s="216"/>
      <c r="N13" s="216"/>
      <c r="O13" s="218"/>
      <c r="P13" s="218"/>
      <c r="Q13" s="218"/>
    </row>
    <row r="14" spans="1:17" ht="15" thickBot="1" x14ac:dyDescent="0.4">
      <c r="B14" s="213"/>
      <c r="C14" s="212"/>
      <c r="D14" s="212"/>
      <c r="E14" s="213"/>
      <c r="F14" s="213"/>
      <c r="G14" s="213"/>
      <c r="H14" s="213"/>
      <c r="I14" s="381" t="str">
        <f>IF(F14="","",INDEX(Lists!$BA$4:$BC$37,MATCH(OnsiteRenewablesTable[[#This Row],[Renewable Type]],Lists!$AZ$4:$AZ$37,0),MATCH(OnsiteRenewablesTable[[#This Row],[Methodology used]],Lists!$BA$3:$BC$3,0)))</f>
        <v/>
      </c>
      <c r="J14" s="216"/>
      <c r="K14" s="216"/>
      <c r="L14" s="216"/>
      <c r="M14" s="216"/>
      <c r="N14" s="216"/>
      <c r="O14" s="218"/>
      <c r="P14" s="218"/>
      <c r="Q14" s="218"/>
    </row>
    <row r="15" spans="1:17" ht="15" thickBot="1" x14ac:dyDescent="0.4">
      <c r="B15" s="213"/>
      <c r="C15" s="212"/>
      <c r="D15" s="212"/>
      <c r="E15" s="213"/>
      <c r="F15" s="213"/>
      <c r="G15" s="213"/>
      <c r="H15" s="213"/>
      <c r="I15" s="381" t="str">
        <f>IF(F15="","",INDEX(Lists!$BA$4:$BC$37,MATCH(OnsiteRenewablesTable[[#This Row],[Renewable Type]],Lists!$AZ$4:$AZ$37,0),MATCH(OnsiteRenewablesTable[[#This Row],[Methodology used]],Lists!$BA$3:$BC$3,0)))</f>
        <v/>
      </c>
      <c r="J15" s="216"/>
      <c r="K15" s="216"/>
      <c r="L15" s="216"/>
      <c r="M15" s="216"/>
      <c r="N15" s="216"/>
      <c r="O15" s="218"/>
      <c r="P15" s="218"/>
      <c r="Q15" s="218"/>
    </row>
    <row r="16" spans="1:17" ht="15" thickBot="1" x14ac:dyDescent="0.4">
      <c r="B16" s="213"/>
      <c r="C16" s="212"/>
      <c r="D16" s="212"/>
      <c r="E16" s="213"/>
      <c r="F16" s="213"/>
      <c r="G16" s="213"/>
      <c r="H16" s="213"/>
      <c r="I16" s="381" t="str">
        <f>IF(F16="","",INDEX(Lists!$BA$4:$BC$37,MATCH(OnsiteRenewablesTable[[#This Row],[Renewable Type]],Lists!$AZ$4:$AZ$37,0),MATCH(OnsiteRenewablesTable[[#This Row],[Methodology used]],Lists!$BA$3:$BC$3,0)))</f>
        <v/>
      </c>
      <c r="J16" s="216"/>
      <c r="K16" s="216"/>
      <c r="L16" s="216"/>
      <c r="M16" s="216"/>
      <c r="N16" s="216"/>
      <c r="O16" s="218"/>
      <c r="P16" s="218"/>
      <c r="Q16" s="218"/>
    </row>
    <row r="17" spans="2:17" ht="15" thickBot="1" x14ac:dyDescent="0.4">
      <c r="B17" s="213"/>
      <c r="C17" s="212"/>
      <c r="D17" s="212"/>
      <c r="E17" s="213"/>
      <c r="F17" s="213"/>
      <c r="G17" s="213"/>
      <c r="H17" s="213"/>
      <c r="I17" s="381" t="str">
        <f>IF(F17="","",INDEX(Lists!$BA$4:$BC$37,MATCH(OnsiteRenewablesTable[[#This Row],[Renewable Type]],Lists!$AZ$4:$AZ$37,0),MATCH(OnsiteRenewablesTable[[#This Row],[Methodology used]],Lists!$BA$3:$BC$3,0)))</f>
        <v/>
      </c>
      <c r="J17" s="216"/>
      <c r="K17" s="216"/>
      <c r="L17" s="216"/>
      <c r="M17" s="216"/>
      <c r="N17" s="216"/>
      <c r="O17" s="218"/>
      <c r="P17" s="218"/>
      <c r="Q17" s="218"/>
    </row>
    <row r="18" spans="2:17" ht="15" thickBot="1" x14ac:dyDescent="0.4">
      <c r="B18" s="213"/>
      <c r="C18" s="212"/>
      <c r="D18" s="212"/>
      <c r="E18" s="213"/>
      <c r="F18" s="213"/>
      <c r="G18" s="213"/>
      <c r="H18" s="213"/>
      <c r="I18" s="381" t="str">
        <f>IF(F18="","",INDEX(Lists!$BA$4:$BC$37,MATCH(OnsiteRenewablesTable[[#This Row],[Renewable Type]],Lists!$AZ$4:$AZ$37,0),MATCH(OnsiteRenewablesTable[[#This Row],[Methodology used]],Lists!$BA$3:$BC$3,0)))</f>
        <v/>
      </c>
      <c r="J18" s="216"/>
      <c r="K18" s="216"/>
      <c r="L18" s="216"/>
      <c r="M18" s="216"/>
      <c r="N18" s="216"/>
      <c r="O18" s="218"/>
      <c r="P18" s="218"/>
      <c r="Q18" s="218"/>
    </row>
    <row r="19" spans="2:17" ht="15" thickBot="1" x14ac:dyDescent="0.4">
      <c r="B19" s="213"/>
      <c r="C19" s="212"/>
      <c r="D19" s="212"/>
      <c r="E19" s="213"/>
      <c r="F19" s="213"/>
      <c r="G19" s="213"/>
      <c r="H19" s="213"/>
      <c r="I19" s="381" t="str">
        <f>IF(F19="","",INDEX(Lists!$BA$4:$BC$37,MATCH(OnsiteRenewablesTable[[#This Row],[Renewable Type]],Lists!$AZ$4:$AZ$37,0),MATCH(OnsiteRenewablesTable[[#This Row],[Methodology used]],Lists!$BA$3:$BC$3,0)))</f>
        <v/>
      </c>
      <c r="J19" s="216"/>
      <c r="K19" s="216"/>
      <c r="L19" s="216"/>
      <c r="M19" s="216"/>
      <c r="N19" s="216"/>
      <c r="O19" s="218"/>
      <c r="P19" s="218"/>
      <c r="Q19" s="218"/>
    </row>
    <row r="20" spans="2:17" ht="15" thickBot="1" x14ac:dyDescent="0.4">
      <c r="B20" s="213"/>
      <c r="C20" s="212"/>
      <c r="D20" s="212"/>
      <c r="E20" s="213"/>
      <c r="F20" s="213"/>
      <c r="G20" s="213"/>
      <c r="H20" s="213"/>
      <c r="I20" s="381" t="str">
        <f>IF(F20="","",INDEX(Lists!$BA$4:$BC$37,MATCH(OnsiteRenewablesTable[[#This Row],[Renewable Type]],Lists!$AZ$4:$AZ$37,0),MATCH(OnsiteRenewablesTable[[#This Row],[Methodology used]],Lists!$BA$3:$BC$3,0)))</f>
        <v/>
      </c>
      <c r="J20" s="216"/>
      <c r="K20" s="216"/>
      <c r="L20" s="216"/>
      <c r="M20" s="216"/>
      <c r="N20" s="216"/>
      <c r="O20" s="218"/>
      <c r="P20" s="218"/>
      <c r="Q20" s="218"/>
    </row>
    <row r="21" spans="2:17" ht="15" thickBot="1" x14ac:dyDescent="0.4">
      <c r="B21" s="213"/>
      <c r="C21" s="212"/>
      <c r="D21" s="212"/>
      <c r="E21" s="213"/>
      <c r="F21" s="213"/>
      <c r="G21" s="213"/>
      <c r="H21" s="213"/>
      <c r="I21" s="381" t="str">
        <f>IF(F21="","",INDEX(Lists!$BA$4:$BC$37,MATCH(OnsiteRenewablesTable[[#This Row],[Renewable Type]],Lists!$AZ$4:$AZ$37,0),MATCH(OnsiteRenewablesTable[[#This Row],[Methodology used]],Lists!$BA$3:$BC$3,0)))</f>
        <v/>
      </c>
      <c r="J21" s="216"/>
      <c r="K21" s="216"/>
      <c r="L21" s="216"/>
      <c r="M21" s="216"/>
      <c r="N21" s="216"/>
      <c r="O21" s="218"/>
      <c r="P21" s="218"/>
      <c r="Q21" s="218"/>
    </row>
    <row r="22" spans="2:17" ht="15" thickBot="1" x14ac:dyDescent="0.4">
      <c r="B22" s="213"/>
      <c r="C22" s="212"/>
      <c r="D22" s="212"/>
      <c r="E22" s="213"/>
      <c r="F22" s="213"/>
      <c r="G22" s="213"/>
      <c r="H22" s="213"/>
      <c r="I22" s="381" t="str">
        <f>IF(F22="","",INDEX(Lists!$BA$4:$BC$37,MATCH(OnsiteRenewablesTable[[#This Row],[Renewable Type]],Lists!$AZ$4:$AZ$37,0),MATCH(OnsiteRenewablesTable[[#This Row],[Methodology used]],Lists!$BA$3:$BC$3,0)))</f>
        <v/>
      </c>
      <c r="J22" s="216"/>
      <c r="K22" s="216"/>
      <c r="L22" s="216"/>
      <c r="M22" s="216"/>
      <c r="N22" s="216"/>
      <c r="O22" s="218"/>
      <c r="P22" s="218"/>
      <c r="Q22" s="218"/>
    </row>
    <row r="23" spans="2:17" ht="15" thickBot="1" x14ac:dyDescent="0.4">
      <c r="B23" s="213"/>
      <c r="C23" s="212"/>
      <c r="D23" s="212"/>
      <c r="E23" s="213"/>
      <c r="F23" s="213"/>
      <c r="G23" s="213"/>
      <c r="H23" s="213"/>
      <c r="I23" s="381" t="str">
        <f>IF(F23="","",INDEX(Lists!$BA$4:$BC$37,MATCH(OnsiteRenewablesTable[[#This Row],[Renewable Type]],Lists!$AZ$4:$AZ$37,0),MATCH(OnsiteRenewablesTable[[#This Row],[Methodology used]],Lists!$BA$3:$BC$3,0)))</f>
        <v/>
      </c>
      <c r="J23" s="216"/>
      <c r="K23" s="216"/>
      <c r="L23" s="216"/>
      <c r="M23" s="216"/>
      <c r="N23" s="216"/>
      <c r="O23" s="218"/>
      <c r="P23" s="218"/>
      <c r="Q23" s="218"/>
    </row>
    <row r="24" spans="2:17" ht="15" thickBot="1" x14ac:dyDescent="0.4">
      <c r="B24" s="213"/>
      <c r="C24" s="212"/>
      <c r="D24" s="212"/>
      <c r="E24" s="213"/>
      <c r="F24" s="213"/>
      <c r="G24" s="213"/>
      <c r="H24" s="213"/>
      <c r="I24" s="381" t="str">
        <f>IF(F24="","",INDEX(Lists!$BA$4:$BC$37,MATCH(OnsiteRenewablesTable[[#This Row],[Renewable Type]],Lists!$AZ$4:$AZ$37,0),MATCH(OnsiteRenewablesTable[[#This Row],[Methodology used]],Lists!$BA$3:$BC$3,0)))</f>
        <v/>
      </c>
      <c r="J24" s="216"/>
      <c r="K24" s="216"/>
      <c r="L24" s="216"/>
      <c r="M24" s="216"/>
      <c r="N24" s="216"/>
      <c r="O24" s="218"/>
      <c r="P24" s="218"/>
      <c r="Q24" s="218"/>
    </row>
    <row r="25" spans="2:17" ht="15" thickBot="1" x14ac:dyDescent="0.4">
      <c r="B25" s="213"/>
      <c r="C25" s="212"/>
      <c r="D25" s="212"/>
      <c r="E25" s="213"/>
      <c r="F25" s="213"/>
      <c r="G25" s="213"/>
      <c r="H25" s="213"/>
      <c r="I25" s="381" t="str">
        <f>IF(F25="","",INDEX(Lists!$BA$4:$BC$37,MATCH(OnsiteRenewablesTable[[#This Row],[Renewable Type]],Lists!$AZ$4:$AZ$37,0),MATCH(OnsiteRenewablesTable[[#This Row],[Methodology used]],Lists!$BA$3:$BC$3,0)))</f>
        <v/>
      </c>
      <c r="J25" s="216"/>
      <c r="K25" s="216"/>
      <c r="L25" s="216"/>
      <c r="M25" s="216"/>
      <c r="N25" s="216"/>
      <c r="O25" s="218"/>
      <c r="P25" s="218"/>
      <c r="Q25" s="218"/>
    </row>
    <row r="26" spans="2:17" ht="15" thickBot="1" x14ac:dyDescent="0.4">
      <c r="B26" s="213"/>
      <c r="C26" s="212"/>
      <c r="D26" s="212"/>
      <c r="E26" s="213"/>
      <c r="F26" s="213"/>
      <c r="G26" s="213"/>
      <c r="H26" s="213"/>
      <c r="I26" s="381" t="str">
        <f>IF(F26="","",INDEX(Lists!$BA$4:$BC$37,MATCH(OnsiteRenewablesTable[[#This Row],[Renewable Type]],Lists!$AZ$4:$AZ$37,0),MATCH(OnsiteRenewablesTable[[#This Row],[Methodology used]],Lists!$BA$3:$BC$3,0)))</f>
        <v/>
      </c>
      <c r="J26" s="216"/>
      <c r="K26" s="216"/>
      <c r="L26" s="216"/>
      <c r="M26" s="216"/>
      <c r="N26" s="216"/>
      <c r="O26" s="218"/>
      <c r="P26" s="218"/>
      <c r="Q26" s="218"/>
    </row>
    <row r="27" spans="2:17" ht="15" thickBot="1" x14ac:dyDescent="0.4">
      <c r="B27" s="213"/>
      <c r="C27" s="212"/>
      <c r="D27" s="212"/>
      <c r="E27" s="213"/>
      <c r="F27" s="213"/>
      <c r="G27" s="213"/>
      <c r="H27" s="213"/>
      <c r="I27" s="381" t="str">
        <f>IF(F27="","",INDEX(Lists!$BA$4:$BC$37,MATCH(OnsiteRenewablesTable[[#This Row],[Renewable Type]],Lists!$AZ$4:$AZ$37,0),MATCH(OnsiteRenewablesTable[[#This Row],[Methodology used]],Lists!$BA$3:$BC$3,0)))</f>
        <v/>
      </c>
      <c r="J27" s="216"/>
      <c r="K27" s="216"/>
      <c r="L27" s="216"/>
      <c r="M27" s="216"/>
      <c r="N27" s="216"/>
      <c r="O27" s="218"/>
      <c r="P27" s="218"/>
      <c r="Q27" s="218"/>
    </row>
    <row r="28" spans="2:17" ht="15" thickBot="1" x14ac:dyDescent="0.4">
      <c r="B28" s="213"/>
      <c r="C28" s="212"/>
      <c r="D28" s="212"/>
      <c r="E28" s="213"/>
      <c r="F28" s="213"/>
      <c r="G28" s="213"/>
      <c r="H28" s="213"/>
      <c r="I28" s="381" t="str">
        <f>IF(F28="","",INDEX(Lists!$BA$4:$BC$37,MATCH(OnsiteRenewablesTable[[#This Row],[Renewable Type]],Lists!$AZ$4:$AZ$37,0),MATCH(OnsiteRenewablesTable[[#This Row],[Methodology used]],Lists!$BA$3:$BC$3,0)))</f>
        <v/>
      </c>
      <c r="J28" s="216"/>
      <c r="K28" s="216"/>
      <c r="L28" s="216"/>
      <c r="M28" s="216"/>
      <c r="N28" s="216"/>
      <c r="O28" s="218"/>
      <c r="P28" s="218"/>
      <c r="Q28" s="218"/>
    </row>
    <row r="29" spans="2:17" ht="15" thickBot="1" x14ac:dyDescent="0.4">
      <c r="B29" s="213"/>
      <c r="C29" s="212"/>
      <c r="D29" s="212"/>
      <c r="E29" s="213"/>
      <c r="F29" s="213"/>
      <c r="G29" s="213"/>
      <c r="H29" s="213"/>
      <c r="I29" s="381" t="str">
        <f>IF(F29="","",INDEX(Lists!$BA$4:$BC$37,MATCH(OnsiteRenewablesTable[[#This Row],[Renewable Type]],Lists!$AZ$4:$AZ$37,0),MATCH(OnsiteRenewablesTable[[#This Row],[Methodology used]],Lists!$BA$3:$BC$3,0)))</f>
        <v/>
      </c>
      <c r="J29" s="216"/>
      <c r="K29" s="216"/>
      <c r="L29" s="216"/>
      <c r="M29" s="216"/>
      <c r="N29" s="216"/>
      <c r="O29" s="218"/>
      <c r="P29" s="218"/>
      <c r="Q29" s="218"/>
    </row>
    <row r="30" spans="2:17" ht="15" thickBot="1" x14ac:dyDescent="0.4">
      <c r="B30" s="213"/>
      <c r="C30" s="212"/>
      <c r="D30" s="212"/>
      <c r="E30" s="213"/>
      <c r="F30" s="213"/>
      <c r="G30" s="213"/>
      <c r="H30" s="213"/>
      <c r="I30" s="381" t="str">
        <f>IF(F30="","",INDEX(Lists!$BA$4:$BC$37,MATCH(OnsiteRenewablesTable[[#This Row],[Renewable Type]],Lists!$AZ$4:$AZ$37,0),MATCH(OnsiteRenewablesTable[[#This Row],[Methodology used]],Lists!$BA$3:$BC$3,0)))</f>
        <v/>
      </c>
      <c r="J30" s="216"/>
      <c r="K30" s="216"/>
      <c r="L30" s="216"/>
      <c r="M30" s="216"/>
      <c r="N30" s="216"/>
      <c r="O30" s="218"/>
      <c r="P30" s="218"/>
      <c r="Q30" s="218"/>
    </row>
    <row r="31" spans="2:17" ht="15" thickBot="1" x14ac:dyDescent="0.4">
      <c r="B31" s="213"/>
      <c r="C31" s="214"/>
      <c r="D31" s="214"/>
      <c r="E31" s="215"/>
      <c r="F31" s="215"/>
      <c r="G31" s="215"/>
      <c r="H31" s="215"/>
      <c r="I31" s="381" t="str">
        <f>IF(F31="","",INDEX(Lists!$BA$4:$BC$37,MATCH(OnsiteRenewablesTable[[#This Row],[Renewable Type]],Lists!$AZ$4:$AZ$37,0),MATCH(OnsiteRenewablesTable[[#This Row],[Methodology used]],Lists!$BA$3:$BC$3,0)))</f>
        <v/>
      </c>
      <c r="J31" s="216"/>
      <c r="K31" s="217"/>
      <c r="L31" s="217"/>
      <c r="M31" s="217"/>
      <c r="N31" s="217"/>
      <c r="O31" s="218"/>
      <c r="P31" s="218"/>
      <c r="Q31" s="219"/>
    </row>
    <row r="33" spans="2:10" ht="18.5" x14ac:dyDescent="0.35">
      <c r="B33" s="37" t="s">
        <v>324</v>
      </c>
      <c r="D33" s="18" t="s">
        <v>1068</v>
      </c>
    </row>
    <row r="34" spans="2:10" ht="15" thickBot="1" x14ac:dyDescent="0.4">
      <c r="B34" s="95" t="s">
        <v>316</v>
      </c>
      <c r="C34" s="96" t="s">
        <v>325</v>
      </c>
      <c r="D34" s="96" t="s">
        <v>159</v>
      </c>
      <c r="E34" s="96" t="s">
        <v>116</v>
      </c>
      <c r="F34" s="96" t="s">
        <v>326</v>
      </c>
      <c r="G34" s="185" t="s">
        <v>18</v>
      </c>
      <c r="H34" s="185" t="s">
        <v>744</v>
      </c>
      <c r="I34" s="96" t="s">
        <v>122</v>
      </c>
      <c r="J34" s="97" t="s">
        <v>123</v>
      </c>
    </row>
    <row r="35" spans="2:10" ht="15" thickBot="1" x14ac:dyDescent="0.4">
      <c r="B35" s="212"/>
      <c r="C35" s="213"/>
      <c r="D35" s="213"/>
      <c r="E35" s="182" t="str">
        <f>IF(D35="","",INDEX(Lists!$BA$4:$BC$37,MATCH(PurchasedRenewablesTable[[#This Row],[Renewable Type]],Lists!$AZ$4:$AZ$37,0),MATCH(PurchasedRenewablesTable[[#This Row],[Methodology used]],Lists!$BA$3:$BC$3,0)))</f>
        <v/>
      </c>
      <c r="F35" s="216"/>
      <c r="G35" s="380"/>
      <c r="H35" s="184"/>
      <c r="I35" s="218"/>
      <c r="J35" s="218"/>
    </row>
    <row r="36" spans="2:10" ht="15" thickBot="1" x14ac:dyDescent="0.4">
      <c r="B36" s="212"/>
      <c r="C36" s="213"/>
      <c r="D36" s="213"/>
      <c r="E36" s="182" t="str">
        <f>IF(D36="","",INDEX(Lists!$BA$4:$BC$37,MATCH(PurchasedRenewablesTable[[#This Row],[Renewable Type]],Lists!$AZ$4:$AZ$37,0),MATCH(PurchasedRenewablesTable[[#This Row],[Methodology used]],Lists!$BA$3:$BC$3,0)))</f>
        <v/>
      </c>
      <c r="F36" s="216"/>
      <c r="G36" s="380"/>
      <c r="H36" s="184"/>
      <c r="I36" s="218"/>
      <c r="J36" s="218"/>
    </row>
    <row r="37" spans="2:10" ht="15" thickBot="1" x14ac:dyDescent="0.4">
      <c r="B37" s="212"/>
      <c r="C37" s="213"/>
      <c r="D37" s="213"/>
      <c r="E37" s="182" t="str">
        <f>IF(D37="","",INDEX(Lists!$BA$4:$BC$37,MATCH(PurchasedRenewablesTable[[#This Row],[Renewable Type]],Lists!$AZ$4:$AZ$37,0),MATCH(PurchasedRenewablesTable[[#This Row],[Methodology used]],Lists!$BA$3:$BC$3,0)))</f>
        <v/>
      </c>
      <c r="F37" s="216"/>
      <c r="G37" s="380"/>
      <c r="H37" s="184"/>
      <c r="I37" s="218"/>
      <c r="J37" s="218"/>
    </row>
    <row r="38" spans="2:10" ht="15" thickBot="1" x14ac:dyDescent="0.4">
      <c r="B38" s="212"/>
      <c r="C38" s="213"/>
      <c r="D38" s="213"/>
      <c r="E38" s="182" t="str">
        <f>IF(D38="","",INDEX(Lists!$BA$4:$BC$37,MATCH(PurchasedRenewablesTable[[#This Row],[Renewable Type]],Lists!$AZ$4:$AZ$37,0),MATCH(PurchasedRenewablesTable[[#This Row],[Methodology used]],Lists!$BA$3:$BC$3,0)))</f>
        <v/>
      </c>
      <c r="F38" s="216"/>
      <c r="G38" s="380"/>
      <c r="H38" s="184"/>
      <c r="I38" s="218"/>
      <c r="J38" s="218"/>
    </row>
    <row r="39" spans="2:10" ht="15" thickBot="1" x14ac:dyDescent="0.4">
      <c r="B39" s="212"/>
      <c r="C39" s="213"/>
      <c r="D39" s="213"/>
      <c r="E39" s="182" t="str">
        <f>IF(D39="","",INDEX(Lists!$BA$4:$BC$37,MATCH(PurchasedRenewablesTable[[#This Row],[Renewable Type]],Lists!$AZ$4:$AZ$37,0),MATCH(PurchasedRenewablesTable[[#This Row],[Methodology used]],Lists!$BA$3:$BC$3,0)))</f>
        <v/>
      </c>
      <c r="F39" s="216"/>
      <c r="G39" s="380"/>
      <c r="H39" s="184"/>
      <c r="I39" s="218"/>
      <c r="J39" s="218"/>
    </row>
    <row r="40" spans="2:10" ht="15" thickBot="1" x14ac:dyDescent="0.4">
      <c r="B40" s="212"/>
      <c r="C40" s="213"/>
      <c r="D40" s="213"/>
      <c r="E40" s="182" t="str">
        <f>IF(D40="","",INDEX(Lists!$BA$4:$BC$37,MATCH(PurchasedRenewablesTable[[#This Row],[Renewable Type]],Lists!$AZ$4:$AZ$37,0),MATCH(PurchasedRenewablesTable[[#This Row],[Methodology used]],Lists!$BA$3:$BC$3,0)))</f>
        <v/>
      </c>
      <c r="F40" s="216"/>
      <c r="G40" s="380"/>
      <c r="H40" s="184"/>
      <c r="I40" s="218"/>
      <c r="J40" s="218"/>
    </row>
    <row r="41" spans="2:10" ht="15" thickBot="1" x14ac:dyDescent="0.4">
      <c r="B41" s="212"/>
      <c r="C41" s="213"/>
      <c r="D41" s="213"/>
      <c r="E41" s="182" t="str">
        <f>IF(D41="","",INDEX(Lists!$BA$4:$BC$37,MATCH(PurchasedRenewablesTable[[#This Row],[Renewable Type]],Lists!$AZ$4:$AZ$37,0),MATCH(PurchasedRenewablesTable[[#This Row],[Methodology used]],Lists!$BA$3:$BC$3,0)))</f>
        <v/>
      </c>
      <c r="F41" s="216"/>
      <c r="G41" s="380"/>
      <c r="H41" s="184"/>
      <c r="I41" s="218"/>
      <c r="J41" s="218"/>
    </row>
    <row r="42" spans="2:10" ht="15" thickBot="1" x14ac:dyDescent="0.4">
      <c r="B42" s="212"/>
      <c r="C42" s="213"/>
      <c r="D42" s="213"/>
      <c r="E42" s="182" t="str">
        <f>IF(D42="","",INDEX(Lists!$BA$4:$BC$37,MATCH(PurchasedRenewablesTable[[#This Row],[Renewable Type]],Lists!$AZ$4:$AZ$37,0),MATCH(PurchasedRenewablesTable[[#This Row],[Methodology used]],Lists!$BA$3:$BC$3,0)))</f>
        <v/>
      </c>
      <c r="F42" s="216"/>
      <c r="G42" s="380"/>
      <c r="H42" s="184"/>
      <c r="I42" s="218"/>
      <c r="J42" s="218"/>
    </row>
    <row r="43" spans="2:10" ht="15" thickBot="1" x14ac:dyDescent="0.4">
      <c r="B43" s="212"/>
      <c r="C43" s="213"/>
      <c r="D43" s="213"/>
      <c r="E43" s="182" t="str">
        <f>IF(D43="","",INDEX(Lists!$BA$4:$BC$37,MATCH(PurchasedRenewablesTable[[#This Row],[Renewable Type]],Lists!$AZ$4:$AZ$37,0),MATCH(PurchasedRenewablesTable[[#This Row],[Methodology used]],Lists!$BA$3:$BC$3,0)))</f>
        <v/>
      </c>
      <c r="F43" s="216"/>
      <c r="G43" s="380"/>
      <c r="H43" s="184"/>
      <c r="I43" s="218"/>
      <c r="J43" s="218"/>
    </row>
    <row r="44" spans="2:10" ht="15" thickBot="1" x14ac:dyDescent="0.4">
      <c r="B44" s="212"/>
      <c r="C44" s="213"/>
      <c r="D44" s="213"/>
      <c r="E44" s="182" t="str">
        <f>IF(D44="","",INDEX(Lists!$BA$4:$BC$37,MATCH(PurchasedRenewablesTable[[#This Row],[Renewable Type]],Lists!$AZ$4:$AZ$37,0),MATCH(PurchasedRenewablesTable[[#This Row],[Methodology used]],Lists!$BA$3:$BC$3,0)))</f>
        <v/>
      </c>
      <c r="F44" s="216"/>
      <c r="G44" s="380"/>
      <c r="H44" s="184"/>
      <c r="I44" s="218"/>
      <c r="J44" s="218"/>
    </row>
    <row r="45" spans="2:10" ht="14.15" customHeight="1" thickBot="1" x14ac:dyDescent="0.4">
      <c r="B45" s="212"/>
      <c r="C45" s="213"/>
      <c r="D45" s="213"/>
      <c r="E45" s="182" t="str">
        <f>IF(D45="","",INDEX(Lists!$BA$4:$BC$37,MATCH(PurchasedRenewablesTable[[#This Row],[Renewable Type]],Lists!$AZ$4:$AZ$37,0),MATCH(PurchasedRenewablesTable[[#This Row],[Methodology used]],Lists!$BA$3:$BC$3,0)))</f>
        <v/>
      </c>
      <c r="F45" s="216"/>
      <c r="G45" s="380"/>
      <c r="H45" s="184"/>
      <c r="I45" s="218"/>
      <c r="J45" s="218"/>
    </row>
    <row r="46" spans="2:10" ht="15" thickBot="1" x14ac:dyDescent="0.4">
      <c r="B46" s="212"/>
      <c r="C46" s="213"/>
      <c r="D46" s="213"/>
      <c r="E46" s="182" t="str">
        <f>IF(D46="","",INDEX(Lists!$BA$4:$BC$37,MATCH(PurchasedRenewablesTable[[#This Row],[Renewable Type]],Lists!$AZ$4:$AZ$37,0),MATCH(PurchasedRenewablesTable[[#This Row],[Methodology used]],Lists!$BA$3:$BC$3,0)))</f>
        <v/>
      </c>
      <c r="F46" s="216"/>
      <c r="G46" s="380"/>
      <c r="H46" s="184"/>
      <c r="I46" s="218"/>
      <c r="J46" s="218"/>
    </row>
    <row r="47" spans="2:10" ht="15" thickBot="1" x14ac:dyDescent="0.4">
      <c r="B47" s="212"/>
      <c r="C47" s="213"/>
      <c r="D47" s="213"/>
      <c r="E47" s="182" t="str">
        <f>IF(D47="","",INDEX(Lists!$BA$4:$BC$37,MATCH(PurchasedRenewablesTable[[#This Row],[Renewable Type]],Lists!$AZ$4:$AZ$37,0),MATCH(PurchasedRenewablesTable[[#This Row],[Methodology used]],Lists!$BA$3:$BC$3,0)))</f>
        <v/>
      </c>
      <c r="F47" s="216"/>
      <c r="G47" s="380"/>
      <c r="H47" s="184"/>
      <c r="I47" s="218"/>
      <c r="J47" s="218"/>
    </row>
    <row r="48" spans="2:10" ht="15" thickBot="1" x14ac:dyDescent="0.4">
      <c r="B48" s="214"/>
      <c r="C48" s="215"/>
      <c r="D48" s="215"/>
      <c r="E48" s="182" t="str">
        <f>IF(D48="","",INDEX(Lists!$BA$4:$BC$37,MATCH(PurchasedRenewablesTable[[#This Row],[Renewable Type]],Lists!$AZ$4:$AZ$37,0),MATCH(PurchasedRenewablesTable[[#This Row],[Methodology used]],Lists!$BA$3:$BC$3,0)))</f>
        <v/>
      </c>
      <c r="F48" s="217"/>
      <c r="G48" s="380"/>
      <c r="H48" s="184"/>
      <c r="I48" s="218"/>
      <c r="J48" s="219"/>
    </row>
  </sheetData>
  <sheetProtection algorithmName="SHA-512" hashValue="ty8kljVroTjFZAAONcuGL0lcFTzK40BY8rI1HwUbpr7bRVgoVlteHakwzCv+m+KCCxKRHNkhF0gXzUlkLaQWLQ==" saltValue="cveqQwLXUB9TV4E6+QvVrA==" spinCount="100000" sheet="1" objects="1" scenarios="1"/>
  <mergeCells count="3">
    <mergeCell ref="B3:J3"/>
    <mergeCell ref="B4:J4"/>
    <mergeCell ref="B1:G2"/>
  </mergeCells>
  <conditionalFormatting sqref="B3:B4">
    <cfRule type="expression" dxfId="12" priority="4">
      <formula>ISERROR($L3)</formula>
    </cfRule>
  </conditionalFormatting>
  <conditionalFormatting sqref="O8:O31">
    <cfRule type="expression" dxfId="11" priority="1">
      <formula>IF(OR($N8="",$N8=0),1,0)</formula>
    </cfRule>
  </conditionalFormatting>
  <dataValidations count="23">
    <dataValidation type="list" allowBlank="1" showInputMessage="1" showErrorMessage="1" sqref="Q8:Q31 J35:J48" xr:uid="{00000000-0002-0000-0800-000000000000}">
      <formula1>Ease</formula1>
    </dataValidation>
    <dataValidation type="list" allowBlank="1" showInputMessage="1" showErrorMessage="1" sqref="D8:D31" xr:uid="{00000000-0002-0000-0800-000002000000}">
      <formula1>INDIRECT(SUBSTITUTE($B$6," ",""))</formula1>
    </dataValidation>
    <dataValidation type="list" allowBlank="1" showInputMessage="1" showErrorMessage="1" sqref="E8:E31" xr:uid="{00000000-0002-0000-0800-000003000000}">
      <formula1>INDIRECT(CONCATENATE(SUBSTITUTE(D8," ","")&amp;SUBSTITUTE(E$7," ","")))</formula1>
    </dataValidation>
    <dataValidation type="list" allowBlank="1" showInputMessage="1" showErrorMessage="1" sqref="B35:B48" xr:uid="{00000000-0002-0000-0800-000004000000}">
      <formula1>INDIRECT(SUBSTITUTE($B$33," ",""))</formula1>
    </dataValidation>
    <dataValidation type="list" allowBlank="1" showInputMessage="1" showErrorMessage="1" sqref="C35:C48" xr:uid="{00000000-0002-0000-0800-000005000000}">
      <formula1>INDIRECT(CONCATENATE(SUBSTITUTE(B35," ","")&amp;SUBSTITUTE(C$34," ","")))</formula1>
    </dataValidation>
    <dataValidation type="list" allowBlank="1" showInputMessage="1" showErrorMessage="1" sqref="D35:D48" xr:uid="{90BBAA99-ED03-4F4B-A697-8C533EEF011F}">
      <formula1>Methodologytier3</formula1>
    </dataValidation>
    <dataValidation type="list" allowBlank="1" showInputMessage="1" showErrorMessage="1" sqref="F8 F9:F19 F20:F31" xr:uid="{00000000-0002-0000-0800-000001000000}">
      <formula1>Methodologyall</formula1>
    </dataValidation>
    <dataValidation type="list" allowBlank="1" showInputMessage="1" showErrorMessage="1" sqref="G8:G31" xr:uid="{20B61A10-DC96-4B4A-8885-2CB3974F06F1}">
      <formula1>Renewableelectricityownership</formula1>
    </dataValidation>
    <dataValidation allowBlank="1" showInputMessage="1" showErrorMessage="1" promptTitle="Info" prompt="Please enter the name of the site if known, or if aggregating all g renewable generation then please write 'All sites'" sqref="B7" xr:uid="{412287A2-0531-42B7-A7A9-10EFCA4AF994}"/>
    <dataValidation allowBlank="1" showInputMessage="1" showErrorMessage="1" promptTitle="Info" prompt="Please use the dropdown to select the type of generation" sqref="D7" xr:uid="{26D9273E-374A-46BE-BF1A-3EE50E1A19D9}"/>
    <dataValidation allowBlank="1" showInputMessage="1" showErrorMessage="1" promptTitle="Info" prompt="Please use the dropdown to select the renewable generation technology" sqref="E7" xr:uid="{61798D9D-636D-49BD-B7AF-414C13D3F319}"/>
    <dataValidation allowBlank="1" showInputMessage="1" showErrorMessage="1" promptTitle="Info" prompt="Please select the methodology tier, see guidance - table 34 for more info" sqref="F7" xr:uid="{907E9D19-99B6-49BE-8E7C-D99A84FBF6CB}"/>
    <dataValidation allowBlank="1" showInputMessage="1" showErrorMessage="1" promptTitle="Info" prompt="Please use the dropdown to select the onwership type of the generating asset" sqref="G7" xr:uid="{4BD50CEA-402E-4EEC-A674-2D1B69E08E2B}"/>
    <dataValidation allowBlank="1" showInputMessage="1" showErrorMessage="1" promptTitle="Info" prompt="Please enter the total maximum potential elecrical output capacity in Megawatts of the generating asset as measured at the inverter. If unknown then use the rated capacity of the assets themselves." sqref="J7" xr:uid="{ECE9CD79-E783-498D-87AE-7EA4CC736B58}"/>
    <dataValidation allowBlank="1" showInputMessage="1" showErrorMessage="1" promptTitle="Info" prompt="Please enter data in kWh for the total energy generated by the asset in the reporting year." sqref="K7" xr:uid="{C03F52CA-2D2F-4291-9D7C-AA5238282345}"/>
    <dataValidation allowBlank="1" showInputMessage="1" showErrorMessage="1" promptTitle="Info" prompt="Please enter data for how much of the energy genertaed in the reporting year was consumed by the reporting organisation" sqref="L7" xr:uid="{1338E05B-1BBB-416C-8A9D-69F4B645BD8D}"/>
    <dataValidation allowBlank="1" showInputMessage="1" showErrorMessage="1" promptTitle="Info" prompt="Please enter how much energy (in kWh) was exported to the grid by the generation asset within the reporting year" sqref="M7" xr:uid="{F2BC5CB3-76AF-4A87-B23B-17667CDDEF8F}"/>
    <dataValidation allowBlank="1" showInputMessage="1" showErrorMessage="1" promptTitle="Info" prompt="Please enter data for the amount of energy that was exported to another Welsh Public Sector Body in kWh during the reporting year" sqref="N7" xr:uid="{069EC8F9-93E7-4876-9253-9C779678302F}"/>
    <dataValidation allowBlank="1" showInputMessage="1" showErrorMessage="1" promptTitle="Info" prompt="If energy is exported to another Welsh Public Sector Body during the reporting year then please enter the name of that organisation here." sqref="O7" xr:uid="{99F97E27-61BE-44E0-99CF-A10B8A77BF98}"/>
    <dataValidation allowBlank="1" showInputMessage="1" showErrorMessage="1" promptTitle="Info" prompt="Please state whether this generating asset is onsite or offsite" sqref="C7" xr:uid="{E1382A43-0728-4BF1-AC34-FB0BC5136221}"/>
    <dataValidation type="list" allowBlank="1" showInputMessage="1" showErrorMessage="1" sqref="C8:C31" xr:uid="{B1B94E94-3114-481D-B244-13450450EFEE}">
      <formula1>"Onsite,Offsite"</formula1>
    </dataValidation>
    <dataValidation allowBlank="1" showInputMessage="1" showErrorMessage="1" promptTitle="Info" prompt="Please enter the age of the genrating asset to the nearest year, since first generation" sqref="H7" xr:uid="{19BE510F-920F-48A3-A9D3-06027E92B42D}"/>
    <dataValidation type="whole" allowBlank="1" showInputMessage="1" showErrorMessage="1" errorTitle="Error" error="Please enter a whole number" sqref="H8:H31" xr:uid="{4569174F-9324-48D6-83C0-5DD8B328D62F}">
      <formula1>0</formula1>
      <formula2>30</formula2>
    </dataValidation>
  </dataValidations>
  <pageMargins left="0.7" right="0.7" top="0.75" bottom="0.75" header="0.3" footer="0.3"/>
  <pageSetup paperSize="9" orientation="portrait" r:id="rId1"/>
  <tableParts count="2">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theme="7" tint="0.79998168889431442"/>
  </sheetPr>
  <dimension ref="A1:BA381"/>
  <sheetViews>
    <sheetView zoomScale="80" zoomScaleNormal="80" workbookViewId="0"/>
  </sheetViews>
  <sheetFormatPr defaultColWidth="8.81640625" defaultRowHeight="14.5" x14ac:dyDescent="0.35"/>
  <cols>
    <col min="1" max="9" width="6.1796875" style="1" customWidth="1"/>
    <col min="10" max="10" width="15" style="1" customWidth="1"/>
    <col min="11" max="11" width="22.1796875" style="1" customWidth="1"/>
    <col min="12" max="12" width="14" style="1" customWidth="1"/>
    <col min="13" max="13" width="11.54296875" style="1" customWidth="1"/>
    <col min="14" max="14" width="15.81640625" style="1" customWidth="1"/>
    <col min="15" max="15" width="11.54296875" style="1" customWidth="1"/>
    <col min="16" max="22" width="13.81640625" style="1" customWidth="1"/>
    <col min="23" max="26" width="8.81640625" style="1" customWidth="1"/>
    <col min="27" max="27" width="5.1796875" style="1" customWidth="1"/>
    <col min="28" max="28" width="4.81640625" style="1" customWidth="1"/>
    <col min="29" max="29" width="5.54296875" style="1" customWidth="1"/>
    <col min="30" max="52" width="4.81640625" style="1" customWidth="1"/>
    <col min="53" max="53" width="47.453125" style="1" customWidth="1"/>
    <col min="54" max="16384" width="8.81640625" style="1"/>
  </cols>
  <sheetData>
    <row r="1" spans="1:53" ht="23.5" customHeight="1" thickBot="1" x14ac:dyDescent="0.4">
      <c r="D1" s="18"/>
      <c r="K1" s="371"/>
      <c r="P1" s="18"/>
      <c r="U1" s="32"/>
      <c r="V1" s="112" t="s">
        <v>836</v>
      </c>
      <c r="W1" s="574" t="s">
        <v>1121</v>
      </c>
      <c r="X1" s="575"/>
      <c r="Y1" s="575"/>
      <c r="Z1" s="575"/>
      <c r="AA1" s="575"/>
      <c r="AB1" s="575"/>
      <c r="AC1" s="575"/>
      <c r="AD1" s="575"/>
      <c r="AE1" s="575"/>
      <c r="AF1" s="575"/>
      <c r="AG1" s="575"/>
      <c r="AH1" s="575"/>
      <c r="AI1" s="575"/>
      <c r="AJ1" s="575"/>
      <c r="AK1" s="575"/>
      <c r="AL1" s="575"/>
      <c r="AM1" s="575"/>
      <c r="AN1" s="575"/>
      <c r="AO1" s="575"/>
      <c r="AP1" s="575"/>
      <c r="AQ1" s="575"/>
      <c r="AR1" s="575"/>
      <c r="AS1" s="575"/>
      <c r="AT1" s="575"/>
      <c r="AU1" s="576"/>
      <c r="AV1" s="574" t="s">
        <v>330</v>
      </c>
      <c r="AW1" s="575"/>
      <c r="AX1" s="576"/>
      <c r="AY1" s="131"/>
      <c r="AZ1" s="131"/>
      <c r="BA1" s="66"/>
    </row>
    <row r="2" spans="1:53" ht="91.5" customHeight="1" thickBot="1" x14ac:dyDescent="0.4">
      <c r="A2" s="31" t="s">
        <v>110</v>
      </c>
      <c r="B2" s="31" t="s">
        <v>143</v>
      </c>
      <c r="C2" s="31" t="s">
        <v>331</v>
      </c>
      <c r="D2" s="31" t="s">
        <v>152</v>
      </c>
      <c r="E2" s="31" t="s">
        <v>73</v>
      </c>
      <c r="F2" s="31" t="s">
        <v>70</v>
      </c>
      <c r="G2" s="31" t="s">
        <v>71</v>
      </c>
      <c r="H2" s="31" t="s">
        <v>72</v>
      </c>
      <c r="I2" s="174" t="s">
        <v>332</v>
      </c>
      <c r="J2" s="16" t="s">
        <v>147</v>
      </c>
      <c r="K2" s="16" t="s">
        <v>114</v>
      </c>
      <c r="L2" s="16" t="s">
        <v>158</v>
      </c>
      <c r="M2" s="16" t="s">
        <v>120</v>
      </c>
      <c r="N2" s="16" t="s">
        <v>333</v>
      </c>
      <c r="O2" s="16" t="s">
        <v>119</v>
      </c>
      <c r="P2" s="12" t="s">
        <v>59</v>
      </c>
      <c r="Q2" s="12" t="s">
        <v>124</v>
      </c>
      <c r="R2" s="12" t="s">
        <v>125</v>
      </c>
      <c r="S2" s="12" t="s">
        <v>126</v>
      </c>
      <c r="T2" s="12" t="s">
        <v>127</v>
      </c>
      <c r="U2" s="12" t="s">
        <v>63</v>
      </c>
      <c r="V2" s="12" t="s">
        <v>121</v>
      </c>
      <c r="W2" s="111" t="s">
        <v>334</v>
      </c>
      <c r="X2" s="111" t="s">
        <v>1005</v>
      </c>
      <c r="Y2" s="39" t="s">
        <v>335</v>
      </c>
      <c r="Z2" s="39" t="s">
        <v>336</v>
      </c>
      <c r="AA2" s="39" t="s">
        <v>337</v>
      </c>
      <c r="AB2" s="39" t="s">
        <v>338</v>
      </c>
      <c r="AC2" s="39" t="s">
        <v>339</v>
      </c>
      <c r="AD2" s="39" t="s">
        <v>340</v>
      </c>
      <c r="AE2" s="39" t="s">
        <v>341</v>
      </c>
      <c r="AF2" s="39" t="s">
        <v>342</v>
      </c>
      <c r="AG2" s="39" t="s">
        <v>343</v>
      </c>
      <c r="AH2" s="39" t="s">
        <v>344</v>
      </c>
      <c r="AI2" s="39" t="s">
        <v>345</v>
      </c>
      <c r="AJ2" s="39" t="s">
        <v>346</v>
      </c>
      <c r="AK2" s="39" t="s">
        <v>347</v>
      </c>
      <c r="AL2" s="39" t="s">
        <v>348</v>
      </c>
      <c r="AM2" s="39" t="s">
        <v>349</v>
      </c>
      <c r="AN2" s="39" t="s">
        <v>350</v>
      </c>
      <c r="AO2" s="39" t="s">
        <v>351</v>
      </c>
      <c r="AP2" s="39" t="s">
        <v>748</v>
      </c>
      <c r="AQ2" s="39" t="s">
        <v>747</v>
      </c>
      <c r="AR2" s="39" t="s">
        <v>352</v>
      </c>
      <c r="AS2" s="39" t="s">
        <v>353</v>
      </c>
      <c r="AT2" s="39" t="s">
        <v>72</v>
      </c>
      <c r="AU2" s="39" t="s">
        <v>63</v>
      </c>
      <c r="AV2" s="39" t="s">
        <v>354</v>
      </c>
      <c r="AW2" s="39" t="s">
        <v>355</v>
      </c>
      <c r="AX2" s="39" t="s">
        <v>356</v>
      </c>
      <c r="AY2" s="39" t="s">
        <v>357</v>
      </c>
      <c r="AZ2" s="39" t="s">
        <v>1140</v>
      </c>
      <c r="BA2" s="22"/>
    </row>
    <row r="3" spans="1:53" ht="26.5" thickBot="1" x14ac:dyDescent="0.4">
      <c r="A3" s="30" t="s">
        <v>358</v>
      </c>
      <c r="B3" s="30" t="s">
        <v>359</v>
      </c>
      <c r="C3" s="30" t="s">
        <v>359</v>
      </c>
      <c r="D3" s="30" t="s">
        <v>359</v>
      </c>
      <c r="E3" s="30" t="s">
        <v>359</v>
      </c>
      <c r="F3" s="30" t="s">
        <v>359</v>
      </c>
      <c r="G3" s="30" t="s">
        <v>359</v>
      </c>
      <c r="H3" s="30" t="s">
        <v>359</v>
      </c>
      <c r="I3" s="30" t="s">
        <v>359</v>
      </c>
      <c r="J3" s="4" t="s">
        <v>129</v>
      </c>
      <c r="K3" s="5" t="s">
        <v>130</v>
      </c>
      <c r="L3" s="5" t="s">
        <v>360</v>
      </c>
      <c r="M3" s="5" t="s">
        <v>132</v>
      </c>
      <c r="N3" s="5" t="s">
        <v>361</v>
      </c>
      <c r="O3" s="406">
        <f>(0.8*14.01)</f>
        <v>11.208</v>
      </c>
      <c r="P3" s="404">
        <v>0.18292892617449666</v>
      </c>
      <c r="Q3" s="110"/>
      <c r="R3" s="110"/>
      <c r="S3" s="110"/>
      <c r="T3" s="405">
        <v>3.0210000000000001E-2</v>
      </c>
      <c r="U3" s="110"/>
      <c r="V3" s="121">
        <f>SUM(P3:U3)</f>
        <v>0.21313892617449665</v>
      </c>
      <c r="W3" s="30" t="s">
        <v>358</v>
      </c>
      <c r="X3" s="30"/>
      <c r="Y3" s="30"/>
      <c r="Z3" s="30"/>
      <c r="AA3" s="30"/>
      <c r="AB3" s="30" t="s">
        <v>358</v>
      </c>
      <c r="AC3" s="30"/>
      <c r="AD3" s="30"/>
      <c r="AE3" s="30"/>
      <c r="AF3" s="40"/>
      <c r="AG3" s="40"/>
      <c r="AH3" s="40"/>
      <c r="AI3" s="40"/>
      <c r="AJ3" s="40"/>
      <c r="AK3" s="40"/>
      <c r="AL3" s="40"/>
      <c r="AM3" s="40"/>
      <c r="AN3" s="40"/>
      <c r="AO3" s="40"/>
      <c r="AP3" s="40"/>
      <c r="AQ3" s="40"/>
      <c r="AR3" s="40"/>
      <c r="AS3" s="40"/>
      <c r="AT3" s="40"/>
      <c r="AU3" s="40"/>
      <c r="AV3" s="40"/>
      <c r="AW3" s="40"/>
      <c r="AX3" s="40"/>
      <c r="AY3" s="40"/>
      <c r="AZ3" s="40"/>
      <c r="BA3" s="5" t="s">
        <v>362</v>
      </c>
    </row>
    <row r="4" spans="1:53" ht="15" thickBot="1" x14ac:dyDescent="0.4">
      <c r="A4" s="30" t="s">
        <v>358</v>
      </c>
      <c r="B4" s="30" t="s">
        <v>359</v>
      </c>
      <c r="C4" s="30" t="s">
        <v>358</v>
      </c>
      <c r="D4" s="30" t="s">
        <v>359</v>
      </c>
      <c r="E4" s="30" t="s">
        <v>359</v>
      </c>
      <c r="F4" s="30" t="s">
        <v>359</v>
      </c>
      <c r="G4" s="30" t="s">
        <v>359</v>
      </c>
      <c r="H4" s="30" t="s">
        <v>359</v>
      </c>
      <c r="I4" s="30" t="s">
        <v>359</v>
      </c>
      <c r="J4" s="4" t="s">
        <v>135</v>
      </c>
      <c r="K4" s="5" t="s">
        <v>136</v>
      </c>
      <c r="L4" s="5" t="s">
        <v>360</v>
      </c>
      <c r="M4" s="5" t="s">
        <v>132</v>
      </c>
      <c r="N4" s="5" t="s">
        <v>363</v>
      </c>
      <c r="O4" s="406">
        <v>7.28</v>
      </c>
      <c r="P4" s="404">
        <v>0.21449600402684563</v>
      </c>
      <c r="Q4" s="110"/>
      <c r="R4" s="110"/>
      <c r="S4" s="110"/>
      <c r="T4" s="405">
        <v>2.5479999999999999E-2</v>
      </c>
      <c r="U4" s="110"/>
      <c r="V4" s="121">
        <f t="shared" ref="V4:V67" si="0">SUM(P4:U4)</f>
        <v>0.23997600402684563</v>
      </c>
      <c r="W4" s="30" t="s">
        <v>358</v>
      </c>
      <c r="X4" s="40"/>
      <c r="Y4" s="40"/>
      <c r="Z4" s="40"/>
      <c r="AA4" s="40"/>
      <c r="AB4" s="40" t="s">
        <v>358</v>
      </c>
      <c r="AC4" s="40"/>
      <c r="AD4" s="40"/>
      <c r="AE4" s="40"/>
      <c r="AF4" s="40"/>
      <c r="AG4" s="40"/>
      <c r="AH4" s="40"/>
      <c r="AI4" s="40"/>
      <c r="AJ4" s="40"/>
      <c r="AK4" s="40"/>
      <c r="AL4" s="40"/>
      <c r="AM4" s="40"/>
      <c r="AN4" s="40"/>
      <c r="AO4" s="40"/>
      <c r="AP4" s="40"/>
      <c r="AQ4" s="40"/>
      <c r="AR4" s="40"/>
      <c r="AS4" s="40"/>
      <c r="AT4" s="40"/>
      <c r="AU4" s="40"/>
      <c r="AV4" s="40"/>
      <c r="AW4" s="40"/>
      <c r="AX4" s="40"/>
      <c r="AY4" s="40"/>
      <c r="AZ4" s="40"/>
      <c r="BA4" s="5"/>
    </row>
    <row r="5" spans="1:53" ht="26.5" thickBot="1" x14ac:dyDescent="0.4">
      <c r="A5" s="30" t="s">
        <v>358</v>
      </c>
      <c r="B5" s="30" t="s">
        <v>359</v>
      </c>
      <c r="C5" s="30" t="s">
        <v>359</v>
      </c>
      <c r="D5" s="30" t="s">
        <v>359</v>
      </c>
      <c r="E5" s="30" t="s">
        <v>359</v>
      </c>
      <c r="F5" s="30" t="s">
        <v>359</v>
      </c>
      <c r="G5" s="30" t="s">
        <v>359</v>
      </c>
      <c r="H5" s="30" t="s">
        <v>359</v>
      </c>
      <c r="I5" s="30" t="s">
        <v>359</v>
      </c>
      <c r="J5" s="4" t="s">
        <v>141</v>
      </c>
      <c r="K5" s="5" t="s">
        <v>142</v>
      </c>
      <c r="L5" s="5" t="s">
        <v>360</v>
      </c>
      <c r="M5" s="5" t="s">
        <v>132</v>
      </c>
      <c r="N5" s="5" t="s">
        <v>363</v>
      </c>
      <c r="O5" s="406">
        <v>10.301</v>
      </c>
      <c r="P5" s="404">
        <v>0.24677324966442954</v>
      </c>
      <c r="Q5" s="110"/>
      <c r="R5" s="110"/>
      <c r="S5" s="110"/>
      <c r="T5" s="405">
        <v>5.1529999999999999E-2</v>
      </c>
      <c r="U5" s="110"/>
      <c r="V5" s="121">
        <f t="shared" si="0"/>
        <v>0.29830324966442956</v>
      </c>
      <c r="W5" s="30" t="s">
        <v>358</v>
      </c>
      <c r="X5" s="40"/>
      <c r="Y5" s="40"/>
      <c r="Z5" s="40"/>
      <c r="AA5" s="40"/>
      <c r="AB5" s="40" t="s">
        <v>358</v>
      </c>
      <c r="AC5" s="40"/>
      <c r="AD5" s="40"/>
      <c r="AE5" s="40"/>
      <c r="AF5" s="40"/>
      <c r="AG5" s="40"/>
      <c r="AH5" s="40"/>
      <c r="AI5" s="40"/>
      <c r="AJ5" s="40"/>
      <c r="AK5" s="40"/>
      <c r="AL5" s="40"/>
      <c r="AM5" s="40"/>
      <c r="AN5" s="40"/>
      <c r="AO5" s="40"/>
      <c r="AP5" s="40"/>
      <c r="AQ5" s="40"/>
      <c r="AR5" s="40"/>
      <c r="AS5" s="40"/>
      <c r="AT5" s="40"/>
      <c r="AU5" s="40"/>
      <c r="AV5" s="40"/>
      <c r="AW5" s="40"/>
      <c r="AX5" s="40"/>
      <c r="AY5" s="40"/>
      <c r="AZ5" s="40"/>
      <c r="BA5" s="5" t="s">
        <v>1027</v>
      </c>
    </row>
    <row r="6" spans="1:53" ht="15" thickBot="1" x14ac:dyDescent="0.4">
      <c r="A6" s="30" t="s">
        <v>358</v>
      </c>
      <c r="B6" s="30" t="s">
        <v>359</v>
      </c>
      <c r="C6" s="30" t="s">
        <v>358</v>
      </c>
      <c r="D6" s="30" t="s">
        <v>359</v>
      </c>
      <c r="E6" s="30" t="s">
        <v>359</v>
      </c>
      <c r="F6" s="30" t="s">
        <v>359</v>
      </c>
      <c r="G6" s="30" t="s">
        <v>359</v>
      </c>
      <c r="H6" s="30" t="s">
        <v>359</v>
      </c>
      <c r="I6" s="30" t="s">
        <v>359</v>
      </c>
      <c r="J6" s="4" t="s">
        <v>137</v>
      </c>
      <c r="K6" s="5" t="s">
        <v>138</v>
      </c>
      <c r="L6" s="5" t="s">
        <v>360</v>
      </c>
      <c r="M6" s="5" t="s">
        <v>132</v>
      </c>
      <c r="N6" s="5" t="s">
        <v>363</v>
      </c>
      <c r="O6" s="406">
        <v>10.598000000000001</v>
      </c>
      <c r="P6" s="404">
        <v>0.25649562953020133</v>
      </c>
      <c r="Q6" s="110"/>
      <c r="R6" s="110"/>
      <c r="S6" s="110"/>
      <c r="T6" s="405">
        <v>5.9130000000000002E-2</v>
      </c>
      <c r="U6" s="110"/>
      <c r="V6" s="121">
        <f t="shared" si="0"/>
        <v>0.31562562953020135</v>
      </c>
      <c r="W6" s="40" t="s">
        <v>358</v>
      </c>
      <c r="X6" s="40"/>
      <c r="Y6" s="40"/>
      <c r="Z6" s="40"/>
      <c r="AA6" s="40"/>
      <c r="AB6" s="40" t="s">
        <v>358</v>
      </c>
      <c r="AC6" s="40"/>
      <c r="AD6" s="40"/>
      <c r="AE6" s="40"/>
      <c r="AF6" s="40"/>
      <c r="AG6" s="40"/>
      <c r="AH6" s="40"/>
      <c r="AI6" s="40"/>
      <c r="AJ6" s="40"/>
      <c r="AK6" s="40"/>
      <c r="AL6" s="40"/>
      <c r="AM6" s="40"/>
      <c r="AN6" s="40"/>
      <c r="AO6" s="40"/>
      <c r="AP6" s="40"/>
      <c r="AQ6" s="40"/>
      <c r="AR6" s="40"/>
      <c r="AS6" s="40"/>
      <c r="AT6" s="40"/>
      <c r="AU6" s="40"/>
      <c r="AV6" s="40"/>
      <c r="AW6" s="40"/>
      <c r="AX6" s="40"/>
      <c r="AY6" s="40"/>
      <c r="AZ6" s="40"/>
      <c r="BA6" s="5"/>
    </row>
    <row r="7" spans="1:53" ht="15" thickBot="1" x14ac:dyDescent="0.4">
      <c r="A7" s="30" t="s">
        <v>358</v>
      </c>
      <c r="B7" s="30" t="s">
        <v>359</v>
      </c>
      <c r="C7" s="30" t="s">
        <v>359</v>
      </c>
      <c r="D7" s="30" t="s">
        <v>359</v>
      </c>
      <c r="E7" s="30" t="s">
        <v>359</v>
      </c>
      <c r="F7" s="30" t="s">
        <v>359</v>
      </c>
      <c r="G7" s="30" t="s">
        <v>359</v>
      </c>
      <c r="H7" s="30" t="s">
        <v>359</v>
      </c>
      <c r="I7" s="30" t="s">
        <v>359</v>
      </c>
      <c r="J7" s="4" t="s">
        <v>335</v>
      </c>
      <c r="K7" s="5" t="s">
        <v>364</v>
      </c>
      <c r="L7" s="5" t="s">
        <v>360</v>
      </c>
      <c r="M7" s="5" t="s">
        <v>132</v>
      </c>
      <c r="N7" s="5" t="s">
        <v>172</v>
      </c>
      <c r="O7" s="406">
        <f>5.193*1000</f>
        <v>5193</v>
      </c>
      <c r="P7" s="405">
        <v>1.074E-2</v>
      </c>
      <c r="Q7" s="110"/>
      <c r="R7" s="110"/>
      <c r="S7" s="110"/>
      <c r="T7" s="405">
        <v>3.7440000000000001E-2</v>
      </c>
      <c r="U7" s="404">
        <v>0.35</v>
      </c>
      <c r="V7" s="121">
        <f t="shared" si="0"/>
        <v>0.39817999999999998</v>
      </c>
      <c r="W7" s="40"/>
      <c r="X7" s="40"/>
      <c r="Y7" s="40" t="s">
        <v>358</v>
      </c>
      <c r="Z7" s="40"/>
      <c r="AA7" s="40"/>
      <c r="AB7" s="40"/>
      <c r="AC7" s="40" t="s">
        <v>358</v>
      </c>
      <c r="AD7" s="40"/>
      <c r="AE7" s="40"/>
      <c r="AF7" s="40"/>
      <c r="AG7" s="40"/>
      <c r="AH7" s="40"/>
      <c r="AI7" s="40"/>
      <c r="AJ7" s="40"/>
      <c r="AK7" s="40"/>
      <c r="AL7" s="40"/>
      <c r="AM7" s="40"/>
      <c r="AN7" s="40"/>
      <c r="AO7" s="40"/>
      <c r="AP7" s="40"/>
      <c r="AQ7" s="40"/>
      <c r="AR7" s="40"/>
      <c r="AS7" s="40"/>
      <c r="AT7" s="40"/>
      <c r="AU7" s="40" t="s">
        <v>358</v>
      </c>
      <c r="AV7" s="40"/>
      <c r="AW7" s="40"/>
      <c r="AX7" s="40"/>
      <c r="AY7" s="40"/>
      <c r="AZ7" s="40"/>
      <c r="BA7" s="5"/>
    </row>
    <row r="8" spans="1:53" ht="15" thickBot="1" x14ac:dyDescent="0.4">
      <c r="A8" s="30" t="s">
        <v>358</v>
      </c>
      <c r="B8" s="30" t="s">
        <v>359</v>
      </c>
      <c r="C8" s="30" t="s">
        <v>359</v>
      </c>
      <c r="D8" s="30" t="s">
        <v>359</v>
      </c>
      <c r="E8" s="30" t="s">
        <v>359</v>
      </c>
      <c r="F8" s="30" t="s">
        <v>359</v>
      </c>
      <c r="G8" s="30" t="s">
        <v>359</v>
      </c>
      <c r="H8" s="30" t="s">
        <v>359</v>
      </c>
      <c r="I8" s="30" t="s">
        <v>359</v>
      </c>
      <c r="J8" s="4" t="s">
        <v>335</v>
      </c>
      <c r="K8" s="5" t="s">
        <v>365</v>
      </c>
      <c r="L8" s="5" t="s">
        <v>360</v>
      </c>
      <c r="M8" s="5" t="s">
        <v>132</v>
      </c>
      <c r="N8" s="5" t="s">
        <v>172</v>
      </c>
      <c r="O8" s="406">
        <f>4.087*1000</f>
        <v>4086.9999999999995</v>
      </c>
      <c r="P8" s="405">
        <v>1.074E-2</v>
      </c>
      <c r="Q8" s="110"/>
      <c r="R8" s="110"/>
      <c r="S8" s="110"/>
      <c r="T8" s="405">
        <v>7.92E-3</v>
      </c>
      <c r="U8" s="404">
        <v>0.35</v>
      </c>
      <c r="V8" s="121">
        <f t="shared" si="0"/>
        <v>0.36865999999999999</v>
      </c>
      <c r="W8" s="40"/>
      <c r="X8" s="40"/>
      <c r="Y8" s="40" t="s">
        <v>358</v>
      </c>
      <c r="Z8" s="40"/>
      <c r="AA8" s="40"/>
      <c r="AB8" s="40"/>
      <c r="AC8" s="40" t="s">
        <v>358</v>
      </c>
      <c r="AD8" s="40"/>
      <c r="AE8" s="40"/>
      <c r="AF8" s="40"/>
      <c r="AG8" s="40"/>
      <c r="AH8" s="40"/>
      <c r="AI8" s="40"/>
      <c r="AJ8" s="40"/>
      <c r="AK8" s="40"/>
      <c r="AL8" s="40"/>
      <c r="AM8" s="40"/>
      <c r="AN8" s="40"/>
      <c r="AO8" s="40"/>
      <c r="AP8" s="40"/>
      <c r="AQ8" s="40"/>
      <c r="AR8" s="40"/>
      <c r="AS8" s="40"/>
      <c r="AT8" s="40"/>
      <c r="AU8" s="40" t="s">
        <v>358</v>
      </c>
      <c r="AV8" s="40"/>
      <c r="AW8" s="40"/>
      <c r="AX8" s="40"/>
      <c r="AY8" s="40"/>
      <c r="AZ8" s="40"/>
      <c r="BA8" s="5"/>
    </row>
    <row r="9" spans="1:53" ht="15" thickBot="1" x14ac:dyDescent="0.4">
      <c r="A9" s="30" t="s">
        <v>358</v>
      </c>
      <c r="B9" s="30" t="s">
        <v>359</v>
      </c>
      <c r="C9" s="30" t="s">
        <v>359</v>
      </c>
      <c r="D9" s="30" t="s">
        <v>359</v>
      </c>
      <c r="E9" s="30" t="s">
        <v>359</v>
      </c>
      <c r="F9" s="30" t="s">
        <v>359</v>
      </c>
      <c r="G9" s="30" t="s">
        <v>359</v>
      </c>
      <c r="H9" s="30" t="s">
        <v>359</v>
      </c>
      <c r="I9" s="30" t="s">
        <v>359</v>
      </c>
      <c r="J9" s="4" t="s">
        <v>335</v>
      </c>
      <c r="K9" s="5" t="s">
        <v>366</v>
      </c>
      <c r="L9" s="5" t="s">
        <v>360</v>
      </c>
      <c r="M9" s="5" t="s">
        <v>132</v>
      </c>
      <c r="N9" s="5" t="s">
        <v>172</v>
      </c>
      <c r="O9" s="406">
        <f>6.105*1000</f>
        <v>6105</v>
      </c>
      <c r="P9" s="405">
        <v>2.2000000000000001E-4</v>
      </c>
      <c r="Q9" s="110"/>
      <c r="R9" s="110"/>
      <c r="S9" s="110"/>
      <c r="T9" s="405">
        <v>2.8410000000000001E-2</v>
      </c>
      <c r="U9" s="404">
        <v>0.199020509949457</v>
      </c>
      <c r="V9" s="121">
        <f t="shared" si="0"/>
        <v>0.22765050994945701</v>
      </c>
      <c r="W9" s="40"/>
      <c r="X9" s="40"/>
      <c r="Y9" s="40" t="s">
        <v>358</v>
      </c>
      <c r="Z9" s="40"/>
      <c r="AA9" s="40"/>
      <c r="AB9" s="40"/>
      <c r="AC9" s="40" t="s">
        <v>358</v>
      </c>
      <c r="AD9" s="40"/>
      <c r="AE9" s="40"/>
      <c r="AF9" s="40"/>
      <c r="AG9" s="40"/>
      <c r="AH9" s="40"/>
      <c r="AI9" s="40"/>
      <c r="AJ9" s="40"/>
      <c r="AK9" s="40"/>
      <c r="AL9" s="40"/>
      <c r="AM9" s="40"/>
      <c r="AN9" s="40"/>
      <c r="AO9" s="40"/>
      <c r="AP9" s="40"/>
      <c r="AQ9" s="40"/>
      <c r="AR9" s="40"/>
      <c r="AS9" s="40"/>
      <c r="AT9" s="40"/>
      <c r="AU9" s="40" t="s">
        <v>358</v>
      </c>
      <c r="AV9" s="40"/>
      <c r="AW9" s="40"/>
      <c r="AX9" s="40"/>
      <c r="AY9" s="40"/>
      <c r="AZ9" s="40"/>
      <c r="BA9" s="5"/>
    </row>
    <row r="10" spans="1:53" ht="15" thickBot="1" x14ac:dyDescent="0.4">
      <c r="A10" s="30" t="s">
        <v>358</v>
      </c>
      <c r="B10" s="30" t="s">
        <v>359</v>
      </c>
      <c r="C10" s="30" t="s">
        <v>359</v>
      </c>
      <c r="D10" s="30" t="s">
        <v>359</v>
      </c>
      <c r="E10" s="30" t="s">
        <v>359</v>
      </c>
      <c r="F10" s="30" t="s">
        <v>359</v>
      </c>
      <c r="G10" s="30" t="s">
        <v>359</v>
      </c>
      <c r="H10" s="30" t="s">
        <v>359</v>
      </c>
      <c r="I10" s="30" t="s">
        <v>359</v>
      </c>
      <c r="J10" s="4" t="s">
        <v>501</v>
      </c>
      <c r="K10" s="5" t="s">
        <v>439</v>
      </c>
      <c r="L10" s="5" t="s">
        <v>360</v>
      </c>
      <c r="M10" s="5" t="s">
        <v>132</v>
      </c>
      <c r="N10" s="5" t="s">
        <v>172</v>
      </c>
      <c r="O10" s="406">
        <f>8.366*1000</f>
        <v>8366</v>
      </c>
      <c r="P10" s="404">
        <v>0.34721296644295302</v>
      </c>
      <c r="Q10" s="110"/>
      <c r="R10" s="110"/>
      <c r="S10" s="110"/>
      <c r="T10" s="405">
        <v>5.629E-2</v>
      </c>
      <c r="U10" s="110"/>
      <c r="V10" s="121">
        <f t="shared" si="0"/>
        <v>0.40350296644295303</v>
      </c>
      <c r="W10" s="40" t="s">
        <v>358</v>
      </c>
      <c r="X10" s="40"/>
      <c r="Y10" s="40"/>
      <c r="Z10" s="40"/>
      <c r="AA10" s="40"/>
      <c r="AB10" s="40" t="s">
        <v>358</v>
      </c>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5"/>
    </row>
    <row r="11" spans="1:53" ht="39.5" thickBot="1" x14ac:dyDescent="0.4">
      <c r="A11" s="30" t="s">
        <v>358</v>
      </c>
      <c r="B11" s="30" t="s">
        <v>358</v>
      </c>
      <c r="C11" s="30" t="s">
        <v>358</v>
      </c>
      <c r="D11" s="30" t="s">
        <v>359</v>
      </c>
      <c r="E11" s="30" t="s">
        <v>359</v>
      </c>
      <c r="F11" s="30" t="s">
        <v>358</v>
      </c>
      <c r="G11" s="30" t="s">
        <v>358</v>
      </c>
      <c r="H11" s="30" t="s">
        <v>359</v>
      </c>
      <c r="I11" s="30" t="s">
        <v>359</v>
      </c>
      <c r="J11" s="4" t="s">
        <v>139</v>
      </c>
      <c r="K11" s="5" t="s">
        <v>140</v>
      </c>
      <c r="L11" s="5"/>
      <c r="M11" s="5" t="s">
        <v>132</v>
      </c>
      <c r="N11" s="5"/>
      <c r="O11" s="5"/>
      <c r="P11" s="110"/>
      <c r="Q11" s="404">
        <v>0.20707428859060403</v>
      </c>
      <c r="R11" s="110"/>
      <c r="S11" s="404">
        <v>1.7915111409395973E-2</v>
      </c>
      <c r="T11" s="405">
        <v>4.9869999999999998E-2</v>
      </c>
      <c r="U11" s="404">
        <f>0.115069241546259</f>
        <v>0.115069241546259</v>
      </c>
      <c r="V11" s="121">
        <f t="shared" si="0"/>
        <v>0.38992864154625895</v>
      </c>
      <c r="W11" s="40"/>
      <c r="X11" s="40"/>
      <c r="Y11" s="40"/>
      <c r="Z11" s="40" t="s">
        <v>358</v>
      </c>
      <c r="AA11" s="40"/>
      <c r="AB11" s="40"/>
      <c r="AC11" s="40"/>
      <c r="AD11" s="40" t="s">
        <v>358</v>
      </c>
      <c r="AE11" s="40" t="s">
        <v>358</v>
      </c>
      <c r="AF11" s="40"/>
      <c r="AG11" s="40"/>
      <c r="AH11" s="40"/>
      <c r="AI11" s="40"/>
      <c r="AJ11" s="40"/>
      <c r="AK11" s="40"/>
      <c r="AL11" s="40"/>
      <c r="AM11" s="40"/>
      <c r="AN11" s="40"/>
      <c r="AO11" s="40"/>
      <c r="AP11" s="40"/>
      <c r="AQ11" s="40"/>
      <c r="AR11" s="40"/>
      <c r="AS11" s="40"/>
      <c r="AT11" s="40"/>
      <c r="AU11" s="40"/>
      <c r="AV11" s="40"/>
      <c r="AW11" s="40"/>
      <c r="AX11" s="40"/>
      <c r="AY11" s="40"/>
      <c r="AZ11" s="40"/>
      <c r="BA11" s="5" t="s">
        <v>367</v>
      </c>
    </row>
    <row r="12" spans="1:53" ht="15" thickBot="1" x14ac:dyDescent="0.4">
      <c r="A12" s="30" t="s">
        <v>358</v>
      </c>
      <c r="B12" s="30" t="s">
        <v>359</v>
      </c>
      <c r="C12" s="30" t="s">
        <v>359</v>
      </c>
      <c r="D12" s="30" t="s">
        <v>359</v>
      </c>
      <c r="E12" s="30" t="s">
        <v>359</v>
      </c>
      <c r="F12" s="30" t="s">
        <v>359</v>
      </c>
      <c r="G12" s="30" t="s">
        <v>359</v>
      </c>
      <c r="H12" s="30" t="s">
        <v>359</v>
      </c>
      <c r="I12" s="30" t="s">
        <v>359</v>
      </c>
      <c r="J12" s="4" t="s">
        <v>337</v>
      </c>
      <c r="K12" s="5" t="s">
        <v>368</v>
      </c>
      <c r="L12" s="5"/>
      <c r="M12" s="5" t="s">
        <v>132</v>
      </c>
      <c r="N12" s="5"/>
      <c r="O12" s="5"/>
      <c r="P12" s="110"/>
      <c r="Q12" s="404">
        <v>0.17964657181208055</v>
      </c>
      <c r="R12" s="110"/>
      <c r="S12" s="110"/>
      <c r="T12" s="405">
        <v>3.3410000000000002E-2</v>
      </c>
      <c r="U12" s="110"/>
      <c r="V12" s="121">
        <f t="shared" si="0"/>
        <v>0.21305657181208054</v>
      </c>
      <c r="W12" s="40"/>
      <c r="X12" s="40"/>
      <c r="Y12" s="40"/>
      <c r="Z12" s="40"/>
      <c r="AA12" s="40" t="s">
        <v>358</v>
      </c>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5" t="s">
        <v>369</v>
      </c>
    </row>
    <row r="13" spans="1:53" ht="26.5" thickBot="1" x14ac:dyDescent="0.4">
      <c r="A13" s="30" t="s">
        <v>358</v>
      </c>
      <c r="B13" s="30" t="s">
        <v>359</v>
      </c>
      <c r="C13" s="30" t="s">
        <v>359</v>
      </c>
      <c r="D13" s="30" t="s">
        <v>359</v>
      </c>
      <c r="E13" s="30" t="s">
        <v>359</v>
      </c>
      <c r="F13" s="30" t="s">
        <v>359</v>
      </c>
      <c r="G13" s="30" t="s">
        <v>359</v>
      </c>
      <c r="H13" s="30" t="s">
        <v>359</v>
      </c>
      <c r="I13" s="30" t="s">
        <v>359</v>
      </c>
      <c r="J13" s="4" t="s">
        <v>337</v>
      </c>
      <c r="K13" s="5" t="s">
        <v>370</v>
      </c>
      <c r="L13" s="5"/>
      <c r="M13" s="5" t="s">
        <v>132</v>
      </c>
      <c r="N13" s="5"/>
      <c r="O13" s="5"/>
      <c r="P13" s="110"/>
      <c r="Q13" s="404">
        <v>0.17964657181208055</v>
      </c>
      <c r="R13" s="110"/>
      <c r="S13" s="404">
        <v>9.4538778523489929E-3</v>
      </c>
      <c r="T13" s="405">
        <v>3.5167999999999998E-2</v>
      </c>
      <c r="U13" s="110"/>
      <c r="V13" s="121">
        <f t="shared" si="0"/>
        <v>0.22426844966442955</v>
      </c>
      <c r="W13" s="40"/>
      <c r="X13" s="40"/>
      <c r="Y13" s="40"/>
      <c r="Z13" s="40"/>
      <c r="AA13" s="40" t="s">
        <v>358</v>
      </c>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5" t="s">
        <v>371</v>
      </c>
    </row>
    <row r="14" spans="1:53" ht="15" thickBot="1" x14ac:dyDescent="0.4">
      <c r="A14" s="30" t="s">
        <v>358</v>
      </c>
      <c r="B14" s="30" t="s">
        <v>359</v>
      </c>
      <c r="C14" s="30" t="s">
        <v>359</v>
      </c>
      <c r="D14" s="30" t="s">
        <v>359</v>
      </c>
      <c r="E14" s="30" t="s">
        <v>359</v>
      </c>
      <c r="F14" s="30" t="s">
        <v>359</v>
      </c>
      <c r="G14" s="30" t="s">
        <v>359</v>
      </c>
      <c r="H14" s="30" t="s">
        <v>359</v>
      </c>
      <c r="I14" s="30" t="s">
        <v>359</v>
      </c>
      <c r="J14" s="4" t="s">
        <v>372</v>
      </c>
      <c r="K14" s="5" t="s">
        <v>373</v>
      </c>
      <c r="L14" s="5"/>
      <c r="M14" s="5" t="s">
        <v>361</v>
      </c>
      <c r="N14" s="5" t="s">
        <v>363</v>
      </c>
      <c r="O14" s="406">
        <v>1E-3</v>
      </c>
      <c r="P14" s="110"/>
      <c r="Q14" s="110"/>
      <c r="R14" s="404">
        <v>0.1766845465790137</v>
      </c>
      <c r="S14" s="110"/>
      <c r="T14" s="110"/>
      <c r="U14" s="110"/>
      <c r="V14" s="121">
        <f t="shared" si="0"/>
        <v>0.1766845465790137</v>
      </c>
      <c r="W14" s="40"/>
      <c r="X14" s="40"/>
      <c r="Y14" s="40"/>
      <c r="Z14" s="40"/>
      <c r="AA14" s="40"/>
      <c r="AB14" s="40"/>
      <c r="AC14" s="40"/>
      <c r="AD14" s="40"/>
      <c r="AE14" s="40"/>
      <c r="AF14" s="40"/>
      <c r="AG14" s="40" t="s">
        <v>358</v>
      </c>
      <c r="AH14" s="40"/>
      <c r="AI14" s="40"/>
      <c r="AJ14" s="40"/>
      <c r="AK14" s="40"/>
      <c r="AL14" s="40"/>
      <c r="AM14" s="40"/>
      <c r="AN14" s="40"/>
      <c r="AO14" s="40"/>
      <c r="AP14" s="40"/>
      <c r="AQ14" s="40"/>
      <c r="AR14" s="40"/>
      <c r="AS14" s="40"/>
      <c r="AT14" s="40"/>
      <c r="AU14" s="40"/>
      <c r="AV14" s="40"/>
      <c r="AW14" s="40"/>
      <c r="AX14" s="40"/>
      <c r="AY14" s="40"/>
      <c r="AZ14" s="40"/>
      <c r="BA14" s="5"/>
    </row>
    <row r="15" spans="1:53" ht="15" thickBot="1" x14ac:dyDescent="0.4">
      <c r="A15" s="30" t="s">
        <v>358</v>
      </c>
      <c r="B15" s="30" t="s">
        <v>359</v>
      </c>
      <c r="C15" s="30" t="s">
        <v>359</v>
      </c>
      <c r="D15" s="30" t="s">
        <v>359</v>
      </c>
      <c r="E15" s="30" t="s">
        <v>359</v>
      </c>
      <c r="F15" s="30" t="s">
        <v>359</v>
      </c>
      <c r="G15" s="30" t="s">
        <v>359</v>
      </c>
      <c r="H15" s="30" t="s">
        <v>359</v>
      </c>
      <c r="I15" s="30" t="s">
        <v>359</v>
      </c>
      <c r="J15" s="4" t="s">
        <v>372</v>
      </c>
      <c r="K15" s="5" t="s">
        <v>374</v>
      </c>
      <c r="L15" s="5"/>
      <c r="M15" s="5" t="s">
        <v>361</v>
      </c>
      <c r="N15" s="5" t="s">
        <v>363</v>
      </c>
      <c r="O15" s="406">
        <v>1E-3</v>
      </c>
      <c r="P15" s="110"/>
      <c r="Q15" s="110"/>
      <c r="R15" s="404">
        <v>0.20131829171065632</v>
      </c>
      <c r="S15" s="110"/>
      <c r="T15" s="110"/>
      <c r="U15" s="110"/>
      <c r="V15" s="121">
        <f t="shared" si="0"/>
        <v>0.20131829171065632</v>
      </c>
      <c r="W15" s="40"/>
      <c r="X15" s="40"/>
      <c r="Y15" s="40"/>
      <c r="Z15" s="40"/>
      <c r="AA15" s="40"/>
      <c r="AB15" s="40"/>
      <c r="AC15" s="40"/>
      <c r="AD15" s="40"/>
      <c r="AE15" s="40"/>
      <c r="AF15" s="40"/>
      <c r="AG15" s="40"/>
      <c r="AH15" s="40" t="s">
        <v>358</v>
      </c>
      <c r="AI15" s="40"/>
      <c r="AJ15" s="40"/>
      <c r="AK15" s="40"/>
      <c r="AL15" s="40"/>
      <c r="AM15" s="40"/>
      <c r="AN15" s="40"/>
      <c r="AO15" s="40"/>
      <c r="AP15" s="40"/>
      <c r="AQ15" s="40"/>
      <c r="AR15" s="40"/>
      <c r="AS15" s="40"/>
      <c r="AT15" s="40"/>
      <c r="AU15" s="40"/>
      <c r="AV15" s="40"/>
      <c r="AW15" s="40"/>
      <c r="AX15" s="40"/>
      <c r="AY15" s="40"/>
      <c r="AZ15" s="40"/>
      <c r="BA15" s="5"/>
    </row>
    <row r="16" spans="1:53" ht="26.5" thickBot="1" x14ac:dyDescent="0.4">
      <c r="A16" s="30" t="s">
        <v>358</v>
      </c>
      <c r="B16" s="30" t="s">
        <v>359</v>
      </c>
      <c r="C16" s="30" t="s">
        <v>359</v>
      </c>
      <c r="D16" s="30" t="s">
        <v>359</v>
      </c>
      <c r="E16" s="30" t="s">
        <v>359</v>
      </c>
      <c r="F16" s="30" t="s">
        <v>359</v>
      </c>
      <c r="G16" s="30" t="s">
        <v>359</v>
      </c>
      <c r="H16" s="30" t="s">
        <v>359</v>
      </c>
      <c r="I16" s="30" t="s">
        <v>359</v>
      </c>
      <c r="J16" s="4" t="s">
        <v>372</v>
      </c>
      <c r="K16" s="5" t="s">
        <v>375</v>
      </c>
      <c r="L16" s="5"/>
      <c r="M16" s="5" t="s">
        <v>361</v>
      </c>
      <c r="N16" s="5" t="s">
        <v>363</v>
      </c>
      <c r="O16" s="406">
        <v>1E-3</v>
      </c>
      <c r="P16" s="110"/>
      <c r="Q16" s="110"/>
      <c r="R16" s="109">
        <v>0</v>
      </c>
      <c r="S16" s="110"/>
      <c r="T16" s="110"/>
      <c r="U16" s="110"/>
      <c r="V16" s="121">
        <f t="shared" si="0"/>
        <v>0</v>
      </c>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5" t="s">
        <v>376</v>
      </c>
    </row>
    <row r="17" spans="1:53" ht="26.5" thickBot="1" x14ac:dyDescent="0.4">
      <c r="A17" s="30" t="s">
        <v>358</v>
      </c>
      <c r="B17" s="30" t="s">
        <v>359</v>
      </c>
      <c r="C17" s="30" t="s">
        <v>359</v>
      </c>
      <c r="D17" s="30" t="s">
        <v>359</v>
      </c>
      <c r="E17" s="30" t="s">
        <v>359</v>
      </c>
      <c r="F17" s="30" t="s">
        <v>359</v>
      </c>
      <c r="G17" s="30" t="s">
        <v>359</v>
      </c>
      <c r="H17" s="30" t="s">
        <v>359</v>
      </c>
      <c r="I17" s="30" t="s">
        <v>359</v>
      </c>
      <c r="J17" s="4" t="s">
        <v>372</v>
      </c>
      <c r="K17" s="5" t="s">
        <v>377</v>
      </c>
      <c r="L17" s="5"/>
      <c r="M17" s="5" t="s">
        <v>361</v>
      </c>
      <c r="N17" s="5" t="s">
        <v>363</v>
      </c>
      <c r="O17" s="406">
        <v>1E-3</v>
      </c>
      <c r="P17" s="110"/>
      <c r="Q17" s="110"/>
      <c r="R17" s="109">
        <v>0</v>
      </c>
      <c r="S17" s="110"/>
      <c r="T17" s="110"/>
      <c r="U17" s="110"/>
      <c r="V17" s="121">
        <f t="shared" si="0"/>
        <v>0</v>
      </c>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5" t="s">
        <v>378</v>
      </c>
    </row>
    <row r="18" spans="1:53" ht="15" thickBot="1" x14ac:dyDescent="0.4">
      <c r="A18" s="30" t="s">
        <v>359</v>
      </c>
      <c r="B18" s="30" t="s">
        <v>359</v>
      </c>
      <c r="C18" s="30" t="s">
        <v>358</v>
      </c>
      <c r="D18" s="30" t="s">
        <v>359</v>
      </c>
      <c r="E18" s="30" t="s">
        <v>359</v>
      </c>
      <c r="F18" s="30" t="s">
        <v>359</v>
      </c>
      <c r="G18" s="30" t="s">
        <v>359</v>
      </c>
      <c r="H18" s="30" t="s">
        <v>359</v>
      </c>
      <c r="I18" s="30" t="s">
        <v>359</v>
      </c>
      <c r="J18" s="4" t="s">
        <v>379</v>
      </c>
      <c r="K18" s="5" t="s">
        <v>380</v>
      </c>
      <c r="L18" s="5"/>
      <c r="M18" s="5" t="s">
        <v>132</v>
      </c>
      <c r="N18" s="5" t="s">
        <v>363</v>
      </c>
      <c r="O18" s="406">
        <v>10.506</v>
      </c>
      <c r="P18" s="404">
        <v>0.2390759234899329</v>
      </c>
      <c r="Q18" s="110"/>
      <c r="R18" s="110"/>
      <c r="S18" s="110"/>
      <c r="T18" s="405">
        <v>5.8160000000000003E-2</v>
      </c>
      <c r="U18" s="405">
        <v>0.01</v>
      </c>
      <c r="V18" s="121">
        <f t="shared" si="0"/>
        <v>0.30723592348993289</v>
      </c>
      <c r="W18" s="40" t="s">
        <v>358</v>
      </c>
      <c r="X18" s="40"/>
      <c r="Y18" s="40"/>
      <c r="Z18" s="40"/>
      <c r="AA18" s="40"/>
      <c r="AB18" s="40" t="s">
        <v>358</v>
      </c>
      <c r="AC18" s="40"/>
      <c r="AD18" s="40"/>
      <c r="AE18" s="40"/>
      <c r="AF18" s="40"/>
      <c r="AG18" s="40"/>
      <c r="AH18" s="40"/>
      <c r="AI18" s="40"/>
      <c r="AJ18" s="40"/>
      <c r="AK18" s="40"/>
      <c r="AL18" s="40"/>
      <c r="AM18" s="40"/>
      <c r="AN18" s="40"/>
      <c r="AO18" s="40"/>
      <c r="AP18" s="40"/>
      <c r="AQ18" s="40"/>
      <c r="AR18" s="40"/>
      <c r="AS18" s="40"/>
      <c r="AT18" s="40"/>
      <c r="AU18" s="40" t="s">
        <v>358</v>
      </c>
      <c r="AV18" s="40"/>
      <c r="AW18" s="40"/>
      <c r="AX18" s="40"/>
      <c r="AY18" s="40"/>
      <c r="AZ18" s="40"/>
      <c r="BA18" s="5"/>
    </row>
    <row r="19" spans="1:53" ht="15" thickBot="1" x14ac:dyDescent="0.4">
      <c r="A19" s="30" t="s">
        <v>359</v>
      </c>
      <c r="B19" s="30" t="s">
        <v>359</v>
      </c>
      <c r="C19" s="30" t="s">
        <v>358</v>
      </c>
      <c r="D19" s="30" t="s">
        <v>359</v>
      </c>
      <c r="E19" s="30" t="s">
        <v>359</v>
      </c>
      <c r="F19" s="30" t="s">
        <v>359</v>
      </c>
      <c r="G19" s="30" t="s">
        <v>359</v>
      </c>
      <c r="H19" s="30" t="s">
        <v>359</v>
      </c>
      <c r="I19" s="30" t="s">
        <v>359</v>
      </c>
      <c r="J19" s="4" t="s">
        <v>379</v>
      </c>
      <c r="K19" s="5" t="s">
        <v>381</v>
      </c>
      <c r="L19" s="5"/>
      <c r="M19" s="5" t="s">
        <v>132</v>
      </c>
      <c r="N19" s="5" t="s">
        <v>363</v>
      </c>
      <c r="O19" s="406">
        <v>10.554</v>
      </c>
      <c r="P19" s="404">
        <v>0.25192703087248325</v>
      </c>
      <c r="Q19" s="110"/>
      <c r="R19" s="110"/>
      <c r="S19" s="110"/>
      <c r="T19" s="405">
        <v>5.9130000000000002E-2</v>
      </c>
      <c r="U19" s="110"/>
      <c r="V19" s="121">
        <f t="shared" si="0"/>
        <v>0.31105703087248326</v>
      </c>
      <c r="W19" s="40" t="s">
        <v>358</v>
      </c>
      <c r="X19" s="40"/>
      <c r="Y19" s="40"/>
      <c r="Z19" s="40"/>
      <c r="AA19" s="40"/>
      <c r="AB19" s="40" t="s">
        <v>358</v>
      </c>
      <c r="AC19" s="40"/>
      <c r="AD19" s="40"/>
      <c r="AE19" s="40"/>
      <c r="AF19" s="40"/>
      <c r="AG19" s="40"/>
      <c r="AH19" s="40"/>
      <c r="AI19" s="40"/>
      <c r="AJ19" s="40"/>
      <c r="AK19" s="40"/>
      <c r="AL19" s="40"/>
      <c r="AM19" s="40"/>
      <c r="AN19" s="40"/>
      <c r="AO19" s="40"/>
      <c r="AP19" s="40"/>
      <c r="AQ19" s="40"/>
      <c r="AR19" s="40"/>
      <c r="AS19" s="40"/>
      <c r="AT19" s="40"/>
      <c r="AU19" s="40" t="s">
        <v>358</v>
      </c>
      <c r="AV19" s="40"/>
      <c r="AW19" s="40"/>
      <c r="AX19" s="40"/>
      <c r="AY19" s="40"/>
      <c r="AZ19" s="40"/>
      <c r="BA19" s="5"/>
    </row>
    <row r="20" spans="1:53" ht="15" thickBot="1" x14ac:dyDescent="0.4">
      <c r="A20" s="30" t="s">
        <v>359</v>
      </c>
      <c r="B20" s="30" t="s">
        <v>359</v>
      </c>
      <c r="C20" s="30" t="s">
        <v>358</v>
      </c>
      <c r="D20" s="30" t="s">
        <v>359</v>
      </c>
      <c r="E20" s="30" t="s">
        <v>359</v>
      </c>
      <c r="F20" s="30" t="s">
        <v>359</v>
      </c>
      <c r="G20" s="30" t="s">
        <v>359</v>
      </c>
      <c r="H20" s="30" t="s">
        <v>359</v>
      </c>
      <c r="I20" s="30" t="s">
        <v>359</v>
      </c>
      <c r="J20" s="5" t="s">
        <v>162</v>
      </c>
      <c r="K20" s="5" t="s">
        <v>380</v>
      </c>
      <c r="L20" s="5"/>
      <c r="M20" s="5" t="s">
        <v>132</v>
      </c>
      <c r="N20" s="5" t="s">
        <v>363</v>
      </c>
      <c r="O20" s="406">
        <v>9.4619999999999997</v>
      </c>
      <c r="P20" s="404">
        <v>0.22166359060402685</v>
      </c>
      <c r="Q20" s="110"/>
      <c r="R20" s="110"/>
      <c r="S20" s="110"/>
      <c r="T20" s="405">
        <v>6.1400000000000003E-2</v>
      </c>
      <c r="U20" s="405">
        <v>0.01</v>
      </c>
      <c r="V20" s="121">
        <f t="shared" si="0"/>
        <v>0.29306359060402687</v>
      </c>
      <c r="W20" s="40" t="s">
        <v>358</v>
      </c>
      <c r="X20" s="40"/>
      <c r="Y20" s="40"/>
      <c r="Z20" s="40"/>
      <c r="AA20" s="40"/>
      <c r="AB20" s="40" t="s">
        <v>358</v>
      </c>
      <c r="AC20" s="40"/>
      <c r="AD20" s="40"/>
      <c r="AE20" s="40"/>
      <c r="AF20" s="40"/>
      <c r="AG20" s="40"/>
      <c r="AH20" s="40"/>
      <c r="AI20" s="40"/>
      <c r="AJ20" s="40"/>
      <c r="AK20" s="40"/>
      <c r="AL20" s="40"/>
      <c r="AM20" s="40"/>
      <c r="AN20" s="40"/>
      <c r="AO20" s="40"/>
      <c r="AP20" s="40"/>
      <c r="AQ20" s="40"/>
      <c r="AR20" s="40"/>
      <c r="AS20" s="40"/>
      <c r="AT20" s="40"/>
      <c r="AU20" s="40" t="s">
        <v>358</v>
      </c>
      <c r="AV20" s="40"/>
      <c r="AW20" s="40"/>
      <c r="AX20" s="40"/>
      <c r="AY20" s="40"/>
      <c r="AZ20" s="40"/>
      <c r="BA20" s="5"/>
    </row>
    <row r="21" spans="1:53" ht="15" thickBot="1" x14ac:dyDescent="0.4">
      <c r="A21" s="30" t="s">
        <v>359</v>
      </c>
      <c r="B21" s="30" t="s">
        <v>359</v>
      </c>
      <c r="C21" s="30" t="s">
        <v>358</v>
      </c>
      <c r="D21" s="30" t="s">
        <v>359</v>
      </c>
      <c r="E21" s="30" t="s">
        <v>359</v>
      </c>
      <c r="F21" s="30" t="s">
        <v>359</v>
      </c>
      <c r="G21" s="30" t="s">
        <v>359</v>
      </c>
      <c r="H21" s="30" t="s">
        <v>359</v>
      </c>
      <c r="I21" s="30" t="s">
        <v>359</v>
      </c>
      <c r="J21" s="5" t="s">
        <v>162</v>
      </c>
      <c r="K21" s="5" t="s">
        <v>382</v>
      </c>
      <c r="L21" s="5"/>
      <c r="M21" s="5" t="s">
        <v>132</v>
      </c>
      <c r="N21" s="5" t="s">
        <v>363</v>
      </c>
      <c r="O21" s="406">
        <v>9.702</v>
      </c>
      <c r="P21" s="404">
        <v>0.24171479060402684</v>
      </c>
      <c r="Q21" s="110"/>
      <c r="R21" s="110"/>
      <c r="S21" s="110"/>
      <c r="T21" s="405">
        <v>6.2530000000000002E-2</v>
      </c>
      <c r="U21" s="110"/>
      <c r="V21" s="121">
        <f t="shared" si="0"/>
        <v>0.30424479060402687</v>
      </c>
      <c r="W21" s="40" t="s">
        <v>358</v>
      </c>
      <c r="X21" s="40"/>
      <c r="Y21" s="40"/>
      <c r="Z21" s="40"/>
      <c r="AA21" s="40"/>
      <c r="AB21" s="40" t="s">
        <v>358</v>
      </c>
      <c r="AC21" s="40"/>
      <c r="AD21" s="40"/>
      <c r="AE21" s="40"/>
      <c r="AF21" s="40"/>
      <c r="AG21" s="40"/>
      <c r="AH21" s="40"/>
      <c r="AI21" s="40"/>
      <c r="AJ21" s="40"/>
      <c r="AK21" s="40"/>
      <c r="AL21" s="40"/>
      <c r="AM21" s="40"/>
      <c r="AN21" s="40"/>
      <c r="AO21" s="40"/>
      <c r="AP21" s="40"/>
      <c r="AQ21" s="40"/>
      <c r="AR21" s="40"/>
      <c r="AS21" s="40"/>
      <c r="AT21" s="40"/>
      <c r="AU21" s="40" t="s">
        <v>358</v>
      </c>
      <c r="AV21" s="40"/>
      <c r="AW21" s="40"/>
      <c r="AX21" s="40"/>
      <c r="AY21" s="40"/>
      <c r="AZ21" s="40"/>
      <c r="BA21" s="5"/>
    </row>
    <row r="22" spans="1:53" ht="26.5" thickBot="1" x14ac:dyDescent="0.4">
      <c r="A22" s="30" t="s">
        <v>358</v>
      </c>
      <c r="B22" s="30" t="s">
        <v>359</v>
      </c>
      <c r="C22" s="30" t="s">
        <v>358</v>
      </c>
      <c r="D22" s="30" t="s">
        <v>359</v>
      </c>
      <c r="E22" s="30" t="s">
        <v>359</v>
      </c>
      <c r="F22" s="30" t="s">
        <v>359</v>
      </c>
      <c r="G22" s="30" t="s">
        <v>359</v>
      </c>
      <c r="H22" s="30" t="s">
        <v>359</v>
      </c>
      <c r="I22" s="30" t="s">
        <v>359</v>
      </c>
      <c r="J22" s="5" t="s">
        <v>383</v>
      </c>
      <c r="K22" s="5" t="s">
        <v>384</v>
      </c>
      <c r="L22" s="5"/>
      <c r="M22" s="5" t="s">
        <v>132</v>
      </c>
      <c r="N22" s="5" t="s">
        <v>363</v>
      </c>
      <c r="O22" s="406">
        <v>9.9309999999999992</v>
      </c>
      <c r="P22" s="404">
        <f>0.03558/O22</f>
        <v>3.5827207733360191E-3</v>
      </c>
      <c r="Q22" s="110"/>
      <c r="R22" s="110"/>
      <c r="S22" s="110"/>
      <c r="T22" s="405">
        <f>0.27844/O22</f>
        <v>2.8037458463397447E-2</v>
      </c>
      <c r="U22" s="405">
        <f>2.43/O22</f>
        <v>0.24468834961232508</v>
      </c>
      <c r="V22" s="121">
        <f t="shared" si="0"/>
        <v>0.27630852884905854</v>
      </c>
      <c r="W22" s="40"/>
      <c r="X22" s="40"/>
      <c r="Y22" s="40" t="s">
        <v>358</v>
      </c>
      <c r="Z22" s="40"/>
      <c r="AA22" s="40"/>
      <c r="AB22" s="40"/>
      <c r="AC22" s="40" t="s">
        <v>358</v>
      </c>
      <c r="AD22" s="40"/>
      <c r="AE22" s="40"/>
      <c r="AF22" s="40"/>
      <c r="AG22" s="40"/>
      <c r="AH22" s="40"/>
      <c r="AI22" s="40"/>
      <c r="AJ22" s="40"/>
      <c r="AK22" s="40"/>
      <c r="AL22" s="40"/>
      <c r="AM22" s="40"/>
      <c r="AN22" s="40"/>
      <c r="AO22" s="40"/>
      <c r="AP22" s="40"/>
      <c r="AQ22" s="40"/>
      <c r="AR22" s="40"/>
      <c r="AS22" s="40"/>
      <c r="AT22" s="40"/>
      <c r="AU22" s="40" t="s">
        <v>358</v>
      </c>
      <c r="AV22" s="40"/>
      <c r="AW22" s="40"/>
      <c r="AX22" s="40"/>
      <c r="AY22" s="40"/>
      <c r="AZ22" s="40"/>
      <c r="BA22" s="5" t="s">
        <v>1028</v>
      </c>
    </row>
    <row r="23" spans="1:53" ht="26.5" thickBot="1" x14ac:dyDescent="0.4">
      <c r="A23" s="30" t="s">
        <v>359</v>
      </c>
      <c r="B23" s="30" t="s">
        <v>359</v>
      </c>
      <c r="C23" s="30" t="s">
        <v>358</v>
      </c>
      <c r="D23" s="30" t="s">
        <v>359</v>
      </c>
      <c r="E23" s="30" t="s">
        <v>359</v>
      </c>
      <c r="F23" s="30" t="s">
        <v>359</v>
      </c>
      <c r="G23" s="30" t="s">
        <v>359</v>
      </c>
      <c r="H23" s="30" t="s">
        <v>359</v>
      </c>
      <c r="I23" s="30" t="s">
        <v>359</v>
      </c>
      <c r="J23" s="5" t="s">
        <v>383</v>
      </c>
      <c r="K23" s="5" t="s">
        <v>385</v>
      </c>
      <c r="L23" s="5"/>
      <c r="M23" s="5" t="s">
        <v>132</v>
      </c>
      <c r="N23" s="5" t="s">
        <v>363</v>
      </c>
      <c r="O23" s="406">
        <v>9.5679999999999996</v>
      </c>
      <c r="P23" s="404">
        <f>0.16751/O23</f>
        <v>1.7507316053511704E-2</v>
      </c>
      <c r="Q23" s="110"/>
      <c r="R23" s="110"/>
      <c r="S23" s="110"/>
      <c r="T23" s="405">
        <f>0.44759/O23</f>
        <v>4.6779891304347829E-2</v>
      </c>
      <c r="U23" s="405">
        <f>2.39/O23</f>
        <v>0.24979096989966557</v>
      </c>
      <c r="V23" s="121">
        <f t="shared" si="0"/>
        <v>0.31407817725752507</v>
      </c>
      <c r="W23" s="40"/>
      <c r="X23" s="40"/>
      <c r="Y23" s="40" t="s">
        <v>358</v>
      </c>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5" t="s">
        <v>1028</v>
      </c>
    </row>
    <row r="24" spans="1:53" ht="52.5" thickBot="1" x14ac:dyDescent="0.4">
      <c r="A24" s="30" t="s">
        <v>359</v>
      </c>
      <c r="B24" s="30" t="s">
        <v>359</v>
      </c>
      <c r="C24" s="30" t="s">
        <v>358</v>
      </c>
      <c r="D24" s="30" t="s">
        <v>359</v>
      </c>
      <c r="E24" s="30" t="s">
        <v>359</v>
      </c>
      <c r="F24" s="30" t="s">
        <v>359</v>
      </c>
      <c r="G24" s="30" t="s">
        <v>359</v>
      </c>
      <c r="H24" s="30" t="s">
        <v>359</v>
      </c>
      <c r="I24" s="30" t="s">
        <v>359</v>
      </c>
      <c r="J24" s="5" t="s">
        <v>386</v>
      </c>
      <c r="K24" s="265" t="s">
        <v>387</v>
      </c>
      <c r="L24" s="5"/>
      <c r="M24" s="5" t="s">
        <v>132</v>
      </c>
      <c r="N24" s="5" t="s">
        <v>363</v>
      </c>
      <c r="O24" s="407">
        <f>0.01402/P24</f>
        <v>9.2056023996787832</v>
      </c>
      <c r="P24" s="404">
        <f>0.42339/278</f>
        <v>1.5229856115107914E-3</v>
      </c>
      <c r="Q24" s="110"/>
      <c r="R24" s="110"/>
      <c r="S24" s="110"/>
      <c r="T24" s="405">
        <f>8.26923/278</f>
        <v>2.974543165467626E-2</v>
      </c>
      <c r="U24" s="405">
        <f>70.21/278</f>
        <v>0.25255395683453236</v>
      </c>
      <c r="V24" s="121">
        <f t="shared" si="0"/>
        <v>0.28382237410071942</v>
      </c>
      <c r="W24" s="40"/>
      <c r="X24" s="40"/>
      <c r="Y24" s="40" t="s">
        <v>358</v>
      </c>
      <c r="Z24" s="40"/>
      <c r="AA24" s="40"/>
      <c r="AB24" s="40"/>
      <c r="AC24" s="40" t="s">
        <v>358</v>
      </c>
      <c r="AD24" s="40"/>
      <c r="AE24" s="40"/>
      <c r="AF24" s="40"/>
      <c r="AG24" s="40"/>
      <c r="AH24" s="40"/>
      <c r="AI24" s="40"/>
      <c r="AJ24" s="40"/>
      <c r="AK24" s="40"/>
      <c r="AL24" s="40"/>
      <c r="AM24" s="40"/>
      <c r="AN24" s="40"/>
      <c r="AO24" s="40"/>
      <c r="AP24" s="40"/>
      <c r="AQ24" s="40"/>
      <c r="AR24" s="40"/>
      <c r="AS24" s="40"/>
      <c r="AT24" s="40"/>
      <c r="AU24" s="40" t="s">
        <v>358</v>
      </c>
      <c r="AV24" s="40"/>
      <c r="AW24" s="40"/>
      <c r="AX24" s="40"/>
      <c r="AY24" s="40"/>
      <c r="AZ24" s="40"/>
      <c r="BA24" s="5" t="s">
        <v>1122</v>
      </c>
    </row>
    <row r="25" spans="1:53" ht="15" thickBot="1" x14ac:dyDescent="0.4">
      <c r="A25" s="30" t="s">
        <v>359</v>
      </c>
      <c r="B25" s="30" t="s">
        <v>359</v>
      </c>
      <c r="C25" s="30" t="s">
        <v>359</v>
      </c>
      <c r="D25" s="30" t="s">
        <v>358</v>
      </c>
      <c r="E25" s="30" t="s">
        <v>359</v>
      </c>
      <c r="F25" s="30" t="s">
        <v>359</v>
      </c>
      <c r="G25" s="30" t="s">
        <v>359</v>
      </c>
      <c r="H25" s="30" t="s">
        <v>359</v>
      </c>
      <c r="I25" s="30" t="s">
        <v>359</v>
      </c>
      <c r="J25" s="5" t="s">
        <v>388</v>
      </c>
      <c r="K25" s="265" t="s">
        <v>389</v>
      </c>
      <c r="L25" s="5"/>
      <c r="M25" s="5" t="s">
        <v>390</v>
      </c>
      <c r="N25" s="5" t="s">
        <v>391</v>
      </c>
      <c r="O25" s="5">
        <v>100</v>
      </c>
      <c r="P25" s="278">
        <v>289.22000000000003</v>
      </c>
      <c r="Q25" s="110"/>
      <c r="R25" s="110"/>
      <c r="S25" s="110"/>
      <c r="T25" s="110"/>
      <c r="U25" s="110"/>
      <c r="V25" s="121">
        <f t="shared" si="0"/>
        <v>289.22000000000003</v>
      </c>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t="s">
        <v>358</v>
      </c>
      <c r="AZ25" s="40"/>
      <c r="BA25" s="5"/>
    </row>
    <row r="26" spans="1:53" ht="15" thickBot="1" x14ac:dyDescent="0.4">
      <c r="A26" s="30" t="s">
        <v>359</v>
      </c>
      <c r="B26" s="30" t="s">
        <v>359</v>
      </c>
      <c r="C26" s="30" t="s">
        <v>359</v>
      </c>
      <c r="D26" s="30" t="s">
        <v>358</v>
      </c>
      <c r="E26" s="30" t="s">
        <v>359</v>
      </c>
      <c r="F26" s="30" t="s">
        <v>359</v>
      </c>
      <c r="G26" s="30" t="s">
        <v>359</v>
      </c>
      <c r="H26" s="30" t="s">
        <v>359</v>
      </c>
      <c r="I26" s="30" t="s">
        <v>359</v>
      </c>
      <c r="J26" s="5" t="s">
        <v>388</v>
      </c>
      <c r="K26" s="265" t="s">
        <v>392</v>
      </c>
      <c r="L26" s="5"/>
      <c r="M26" s="5" t="s">
        <v>390</v>
      </c>
      <c r="N26" s="5" t="s">
        <v>391</v>
      </c>
      <c r="O26" s="5">
        <v>100</v>
      </c>
      <c r="P26" s="278">
        <v>1186.2</v>
      </c>
      <c r="Q26" s="110"/>
      <c r="R26" s="110"/>
      <c r="S26" s="110"/>
      <c r="T26" s="110"/>
      <c r="U26" s="110"/>
      <c r="V26" s="121">
        <f t="shared" si="0"/>
        <v>1186.2</v>
      </c>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t="s">
        <v>358</v>
      </c>
      <c r="AZ26" s="40"/>
      <c r="BA26" s="5"/>
    </row>
    <row r="27" spans="1:53" ht="15" thickBot="1" x14ac:dyDescent="0.4">
      <c r="A27" s="30" t="s">
        <v>359</v>
      </c>
      <c r="B27" s="30" t="s">
        <v>359</v>
      </c>
      <c r="C27" s="30" t="s">
        <v>359</v>
      </c>
      <c r="D27" s="30" t="s">
        <v>358</v>
      </c>
      <c r="E27" s="30" t="s">
        <v>359</v>
      </c>
      <c r="F27" s="30" t="s">
        <v>359</v>
      </c>
      <c r="G27" s="30" t="s">
        <v>359</v>
      </c>
      <c r="H27" s="30" t="s">
        <v>359</v>
      </c>
      <c r="I27" s="30" t="s">
        <v>359</v>
      </c>
      <c r="J27" s="5" t="s">
        <v>393</v>
      </c>
      <c r="K27" s="265" t="s">
        <v>394</v>
      </c>
      <c r="L27" s="5"/>
      <c r="M27" s="5" t="s">
        <v>395</v>
      </c>
      <c r="N27" s="5"/>
      <c r="O27" s="5"/>
      <c r="P27" s="278">
        <v>4726.0787226046687</v>
      </c>
      <c r="Q27" s="110"/>
      <c r="R27" s="110"/>
      <c r="S27" s="110"/>
      <c r="T27" s="110"/>
      <c r="U27" s="110"/>
      <c r="V27" s="121">
        <f t="shared" si="0"/>
        <v>4726.0787226046687</v>
      </c>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t="s">
        <v>358</v>
      </c>
      <c r="AZ27" s="40"/>
      <c r="BA27" s="5"/>
    </row>
    <row r="28" spans="1:53" ht="15" thickBot="1" x14ac:dyDescent="0.4">
      <c r="A28" s="30" t="s">
        <v>359</v>
      </c>
      <c r="B28" s="30" t="s">
        <v>359</v>
      </c>
      <c r="C28" s="30" t="s">
        <v>359</v>
      </c>
      <c r="D28" s="30" t="s">
        <v>358</v>
      </c>
      <c r="E28" s="30" t="s">
        <v>359</v>
      </c>
      <c r="F28" s="30" t="s">
        <v>359</v>
      </c>
      <c r="G28" s="30" t="s">
        <v>359</v>
      </c>
      <c r="H28" s="30" t="s">
        <v>359</v>
      </c>
      <c r="I28" s="30" t="s">
        <v>359</v>
      </c>
      <c r="J28" s="5" t="s">
        <v>393</v>
      </c>
      <c r="K28" s="265" t="s">
        <v>396</v>
      </c>
      <c r="L28" s="5"/>
      <c r="M28" s="5" t="s">
        <v>395</v>
      </c>
      <c r="N28" s="5"/>
      <c r="O28" s="5"/>
      <c r="P28" s="278">
        <v>1870.9743780629465</v>
      </c>
      <c r="Q28" s="110"/>
      <c r="R28" s="110"/>
      <c r="S28" s="110"/>
      <c r="T28" s="110"/>
      <c r="U28" s="110"/>
      <c r="V28" s="121">
        <f t="shared" si="0"/>
        <v>1870.9743780629465</v>
      </c>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t="s">
        <v>358</v>
      </c>
      <c r="AZ28" s="40"/>
      <c r="BA28" s="5"/>
    </row>
    <row r="29" spans="1:53" ht="15" thickBot="1" x14ac:dyDescent="0.4">
      <c r="A29" s="30" t="s">
        <v>359</v>
      </c>
      <c r="B29" s="30" t="s">
        <v>359</v>
      </c>
      <c r="C29" s="30" t="s">
        <v>359</v>
      </c>
      <c r="D29" s="30" t="s">
        <v>358</v>
      </c>
      <c r="E29" s="30" t="s">
        <v>359</v>
      </c>
      <c r="F29" s="30" t="s">
        <v>359</v>
      </c>
      <c r="G29" s="30" t="s">
        <v>359</v>
      </c>
      <c r="H29" s="30" t="s">
        <v>359</v>
      </c>
      <c r="I29" s="30" t="s">
        <v>359</v>
      </c>
      <c r="J29" s="5" t="s">
        <v>393</v>
      </c>
      <c r="K29" s="265" t="s">
        <v>397</v>
      </c>
      <c r="L29" s="5"/>
      <c r="M29" s="5" t="s">
        <v>395</v>
      </c>
      <c r="N29" s="5"/>
      <c r="O29" s="5"/>
      <c r="P29" s="278">
        <v>228.3410090861976</v>
      </c>
      <c r="Q29" s="110"/>
      <c r="R29" s="110"/>
      <c r="S29" s="110"/>
      <c r="T29" s="110"/>
      <c r="U29" s="110"/>
      <c r="V29" s="121">
        <f t="shared" si="0"/>
        <v>228.3410090861976</v>
      </c>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t="s">
        <v>358</v>
      </c>
      <c r="AZ29" s="40"/>
      <c r="BA29" s="5"/>
    </row>
    <row r="30" spans="1:53" ht="15" thickBot="1" x14ac:dyDescent="0.4">
      <c r="A30" s="30" t="s">
        <v>359</v>
      </c>
      <c r="B30" s="30" t="s">
        <v>359</v>
      </c>
      <c r="C30" s="30" t="s">
        <v>359</v>
      </c>
      <c r="D30" s="30" t="s">
        <v>358</v>
      </c>
      <c r="E30" s="30" t="s">
        <v>359</v>
      </c>
      <c r="F30" s="30" t="s">
        <v>359</v>
      </c>
      <c r="G30" s="30" t="s">
        <v>359</v>
      </c>
      <c r="H30" s="30" t="s">
        <v>359</v>
      </c>
      <c r="I30" s="30" t="s">
        <v>359</v>
      </c>
      <c r="J30" s="5" t="s">
        <v>393</v>
      </c>
      <c r="K30" s="265" t="s">
        <v>398</v>
      </c>
      <c r="L30" s="5"/>
      <c r="M30" s="5" t="s">
        <v>395</v>
      </c>
      <c r="N30" s="5"/>
      <c r="O30" s="5"/>
      <c r="P30" s="278">
        <v>4.5933035846345422</v>
      </c>
      <c r="Q30" s="110"/>
      <c r="R30" s="110"/>
      <c r="S30" s="110"/>
      <c r="T30" s="110"/>
      <c r="U30" s="110"/>
      <c r="V30" s="121">
        <f t="shared" si="0"/>
        <v>4.5933035846345422</v>
      </c>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t="s">
        <v>358</v>
      </c>
      <c r="AZ30" s="40"/>
      <c r="BA30" s="5"/>
    </row>
    <row r="31" spans="1:53" ht="15" thickBot="1" x14ac:dyDescent="0.4">
      <c r="A31" s="30" t="s">
        <v>359</v>
      </c>
      <c r="B31" s="30" t="s">
        <v>359</v>
      </c>
      <c r="C31" s="30" t="s">
        <v>359</v>
      </c>
      <c r="D31" s="30" t="s">
        <v>358</v>
      </c>
      <c r="E31" s="30" t="s">
        <v>359</v>
      </c>
      <c r="F31" s="30" t="s">
        <v>359</v>
      </c>
      <c r="G31" s="30" t="s">
        <v>359</v>
      </c>
      <c r="H31" s="30" t="s">
        <v>359</v>
      </c>
      <c r="I31" s="30" t="s">
        <v>359</v>
      </c>
      <c r="J31" s="5" t="s">
        <v>393</v>
      </c>
      <c r="K31" s="265" t="s">
        <v>399</v>
      </c>
      <c r="L31" s="5"/>
      <c r="M31" s="5" t="s">
        <v>395</v>
      </c>
      <c r="N31" s="5"/>
      <c r="O31" s="5"/>
      <c r="P31" s="278">
        <v>785.85391496092552</v>
      </c>
      <c r="Q31" s="110"/>
      <c r="R31" s="110"/>
      <c r="S31" s="110"/>
      <c r="T31" s="110"/>
      <c r="U31" s="110"/>
      <c r="V31" s="121">
        <f t="shared" si="0"/>
        <v>785.85391496092552</v>
      </c>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t="s">
        <v>358</v>
      </c>
      <c r="AZ31" s="40"/>
      <c r="BA31" s="5"/>
    </row>
    <row r="32" spans="1:53" ht="15" thickBot="1" x14ac:dyDescent="0.4">
      <c r="A32" s="30" t="s">
        <v>359</v>
      </c>
      <c r="B32" s="30" t="s">
        <v>359</v>
      </c>
      <c r="C32" s="30" t="s">
        <v>359</v>
      </c>
      <c r="D32" s="30" t="s">
        <v>358</v>
      </c>
      <c r="E32" s="30" t="s">
        <v>359</v>
      </c>
      <c r="F32" s="30" t="s">
        <v>359</v>
      </c>
      <c r="G32" s="30" t="s">
        <v>359</v>
      </c>
      <c r="H32" s="30" t="s">
        <v>359</v>
      </c>
      <c r="I32" s="30" t="s">
        <v>359</v>
      </c>
      <c r="J32" s="5" t="s">
        <v>393</v>
      </c>
      <c r="K32" s="265" t="s">
        <v>400</v>
      </c>
      <c r="L32" s="5"/>
      <c r="M32" s="5" t="s">
        <v>395</v>
      </c>
      <c r="N32" s="5"/>
      <c r="O32" s="5"/>
      <c r="P32" s="278">
        <v>139.1166578013202</v>
      </c>
      <c r="Q32" s="110"/>
      <c r="R32" s="110"/>
      <c r="S32" s="110"/>
      <c r="T32" s="110"/>
      <c r="U32" s="110"/>
      <c r="V32" s="121">
        <f t="shared" si="0"/>
        <v>139.1166578013202</v>
      </c>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t="s">
        <v>358</v>
      </c>
      <c r="AZ32" s="40"/>
      <c r="BA32" s="5"/>
    </row>
    <row r="33" spans="1:53" ht="15" thickBot="1" x14ac:dyDescent="0.4">
      <c r="A33" s="30" t="s">
        <v>359</v>
      </c>
      <c r="B33" s="30" t="s">
        <v>359</v>
      </c>
      <c r="C33" s="30" t="s">
        <v>358</v>
      </c>
      <c r="D33" s="30" t="s">
        <v>359</v>
      </c>
      <c r="E33" s="30" t="s">
        <v>359</v>
      </c>
      <c r="F33" s="30" t="s">
        <v>359</v>
      </c>
      <c r="G33" s="30" t="s">
        <v>359</v>
      </c>
      <c r="H33" s="30" t="s">
        <v>359</v>
      </c>
      <c r="I33" s="30" t="s">
        <v>359</v>
      </c>
      <c r="J33" s="5" t="s">
        <v>401</v>
      </c>
      <c r="K33" s="5" t="s">
        <v>161</v>
      </c>
      <c r="L33" s="5" t="s">
        <v>379</v>
      </c>
      <c r="M33" s="5" t="s">
        <v>403</v>
      </c>
      <c r="N33" s="5" t="s">
        <v>404</v>
      </c>
      <c r="O33" s="5">
        <v>1.609</v>
      </c>
      <c r="P33" s="404">
        <v>0.23128402684563759</v>
      </c>
      <c r="Q33" s="110"/>
      <c r="R33" s="110"/>
      <c r="S33" s="110"/>
      <c r="T33" s="404">
        <v>5.6599999999999998E-2</v>
      </c>
      <c r="U33" s="110"/>
      <c r="V33" s="121">
        <f t="shared" si="0"/>
        <v>0.28788402684563758</v>
      </c>
      <c r="W33" s="40"/>
      <c r="X33" s="40"/>
      <c r="Y33" s="40"/>
      <c r="Z33" s="40"/>
      <c r="AA33" s="40"/>
      <c r="AB33" s="40"/>
      <c r="AC33" s="40"/>
      <c r="AD33" s="40"/>
      <c r="AE33" s="40"/>
      <c r="AF33" s="40"/>
      <c r="AG33" s="40"/>
      <c r="AH33" s="40"/>
      <c r="AI33" s="40"/>
      <c r="AJ33" s="40"/>
      <c r="AK33" s="40"/>
      <c r="AL33" s="40"/>
      <c r="AM33" s="40"/>
      <c r="AN33" s="40"/>
      <c r="AO33" s="40"/>
      <c r="AP33" s="40"/>
      <c r="AQ33" s="40"/>
      <c r="AR33" s="40" t="s">
        <v>358</v>
      </c>
      <c r="AS33" s="40" t="s">
        <v>358</v>
      </c>
      <c r="AT33" s="40"/>
      <c r="AU33" s="40"/>
      <c r="AV33" s="40"/>
      <c r="AW33" s="40"/>
      <c r="AX33" s="40"/>
      <c r="AY33" s="40"/>
      <c r="AZ33" s="40"/>
      <c r="BA33" s="5" t="s">
        <v>402</v>
      </c>
    </row>
    <row r="34" spans="1:53" ht="15" thickBot="1" x14ac:dyDescent="0.4">
      <c r="A34" s="30" t="s">
        <v>359</v>
      </c>
      <c r="B34" s="30" t="s">
        <v>359</v>
      </c>
      <c r="C34" s="30" t="s">
        <v>358</v>
      </c>
      <c r="D34" s="30" t="s">
        <v>359</v>
      </c>
      <c r="E34" s="30" t="s">
        <v>359</v>
      </c>
      <c r="F34" s="30" t="s">
        <v>359</v>
      </c>
      <c r="G34" s="30" t="s">
        <v>359</v>
      </c>
      <c r="H34" s="30" t="s">
        <v>359</v>
      </c>
      <c r="I34" s="30" t="s">
        <v>359</v>
      </c>
      <c r="J34" s="5" t="s">
        <v>401</v>
      </c>
      <c r="K34" s="5" t="s">
        <v>161</v>
      </c>
      <c r="L34" s="5" t="s">
        <v>162</v>
      </c>
      <c r="M34" s="5" t="s">
        <v>403</v>
      </c>
      <c r="N34" s="5" t="s">
        <v>404</v>
      </c>
      <c r="O34" s="5">
        <v>1.609</v>
      </c>
      <c r="P34" s="404">
        <v>0.20132453825503357</v>
      </c>
      <c r="Q34" s="110"/>
      <c r="R34" s="110"/>
      <c r="S34" s="110"/>
      <c r="T34" s="404">
        <v>5.5939999999999997E-2</v>
      </c>
      <c r="U34" s="110"/>
      <c r="V34" s="121">
        <f t="shared" si="0"/>
        <v>0.25726453825503359</v>
      </c>
      <c r="W34" s="40"/>
      <c r="X34" s="40"/>
      <c r="Y34" s="40"/>
      <c r="Z34" s="40"/>
      <c r="AA34" s="40"/>
      <c r="AB34" s="40"/>
      <c r="AC34" s="40"/>
      <c r="AD34" s="40"/>
      <c r="AE34" s="40"/>
      <c r="AF34" s="40"/>
      <c r="AG34" s="40"/>
      <c r="AH34" s="40"/>
      <c r="AI34" s="40"/>
      <c r="AJ34" s="40"/>
      <c r="AK34" s="40"/>
      <c r="AL34" s="40"/>
      <c r="AM34" s="40"/>
      <c r="AN34" s="40"/>
      <c r="AO34" s="40"/>
      <c r="AP34" s="40"/>
      <c r="AQ34" s="40"/>
      <c r="AR34" s="40" t="s">
        <v>358</v>
      </c>
      <c r="AS34" s="40" t="s">
        <v>358</v>
      </c>
      <c r="AT34" s="40"/>
      <c r="AU34" s="40"/>
      <c r="AV34" s="40"/>
      <c r="AW34" s="40"/>
      <c r="AX34" s="40"/>
      <c r="AY34" s="40"/>
      <c r="AZ34" s="40"/>
      <c r="BA34" s="5" t="s">
        <v>402</v>
      </c>
    </row>
    <row r="35" spans="1:53" ht="15" thickBot="1" x14ac:dyDescent="0.4">
      <c r="A35" s="30" t="s">
        <v>359</v>
      </c>
      <c r="B35" s="30" t="s">
        <v>359</v>
      </c>
      <c r="C35" s="30" t="s">
        <v>358</v>
      </c>
      <c r="D35" s="30" t="s">
        <v>359</v>
      </c>
      <c r="E35" s="30" t="s">
        <v>359</v>
      </c>
      <c r="F35" s="30" t="s">
        <v>359</v>
      </c>
      <c r="G35" s="30" t="s">
        <v>359</v>
      </c>
      <c r="H35" s="30" t="s">
        <v>359</v>
      </c>
      <c r="I35" s="30" t="s">
        <v>359</v>
      </c>
      <c r="J35" s="5" t="s">
        <v>401</v>
      </c>
      <c r="K35" s="5" t="s">
        <v>161</v>
      </c>
      <c r="L35" s="5" t="s">
        <v>135</v>
      </c>
      <c r="M35" s="5" t="s">
        <v>403</v>
      </c>
      <c r="N35" s="5" t="s">
        <v>404</v>
      </c>
      <c r="O35" s="5">
        <v>1.609</v>
      </c>
      <c r="P35" s="404">
        <v>0.25504278657718121</v>
      </c>
      <c r="Q35" s="110"/>
      <c r="R35" s="110"/>
      <c r="S35" s="110"/>
      <c r="T35" s="405">
        <v>3.0280000000000001E-2</v>
      </c>
      <c r="U35" s="110"/>
      <c r="V35" s="121">
        <f t="shared" si="0"/>
        <v>0.28532278657718124</v>
      </c>
      <c r="W35" s="40"/>
      <c r="X35" s="40"/>
      <c r="Y35" s="40"/>
      <c r="Z35" s="40"/>
      <c r="AA35" s="40"/>
      <c r="AB35" s="40"/>
      <c r="AC35" s="40"/>
      <c r="AD35" s="40"/>
      <c r="AE35" s="40"/>
      <c r="AF35" s="40"/>
      <c r="AG35" s="40"/>
      <c r="AH35" s="40"/>
      <c r="AI35" s="40"/>
      <c r="AJ35" s="40"/>
      <c r="AK35" s="40"/>
      <c r="AL35" s="40"/>
      <c r="AM35" s="40"/>
      <c r="AN35" s="40"/>
      <c r="AO35" s="40"/>
      <c r="AP35" s="40"/>
      <c r="AQ35" s="40"/>
      <c r="AR35" s="40" t="s">
        <v>358</v>
      </c>
      <c r="AS35" s="40" t="s">
        <v>358</v>
      </c>
      <c r="AT35" s="40"/>
      <c r="AU35" s="40"/>
      <c r="AV35" s="40"/>
      <c r="AW35" s="40"/>
      <c r="AX35" s="40"/>
      <c r="AY35" s="40"/>
      <c r="AZ35" s="40"/>
      <c r="BA35" s="5" t="s">
        <v>402</v>
      </c>
    </row>
    <row r="36" spans="1:53" ht="26.5" thickBot="1" x14ac:dyDescent="0.4">
      <c r="A36" s="30" t="s">
        <v>359</v>
      </c>
      <c r="B36" s="30" t="s">
        <v>359</v>
      </c>
      <c r="C36" s="30" t="s">
        <v>358</v>
      </c>
      <c r="D36" s="30" t="s">
        <v>359</v>
      </c>
      <c r="E36" s="30" t="s">
        <v>359</v>
      </c>
      <c r="F36" s="30" t="s">
        <v>359</v>
      </c>
      <c r="G36" s="30" t="s">
        <v>359</v>
      </c>
      <c r="H36" s="30" t="s">
        <v>359</v>
      </c>
      <c r="I36" s="30" t="s">
        <v>359</v>
      </c>
      <c r="J36" s="5" t="s">
        <v>401</v>
      </c>
      <c r="K36" s="5" t="s">
        <v>161</v>
      </c>
      <c r="L36" s="5" t="s">
        <v>405</v>
      </c>
      <c r="M36" s="5" t="s">
        <v>403</v>
      </c>
      <c r="N36" s="5" t="s">
        <v>404</v>
      </c>
      <c r="O36" s="5">
        <v>1.609</v>
      </c>
      <c r="P36" s="110"/>
      <c r="Q36" s="404">
        <v>6.7617363758389254E-2</v>
      </c>
      <c r="R36" s="110"/>
      <c r="S36" s="404">
        <v>5.8590778523489933E-3</v>
      </c>
      <c r="T36" s="404">
        <v>1.6330000000000001E-2</v>
      </c>
      <c r="U36" s="110"/>
      <c r="V36" s="121">
        <f t="shared" si="0"/>
        <v>8.9806441610738239E-2</v>
      </c>
      <c r="W36" s="40"/>
      <c r="X36" s="40"/>
      <c r="Y36" s="40"/>
      <c r="Z36" s="40"/>
      <c r="AA36" s="40"/>
      <c r="AB36" s="40"/>
      <c r="AC36" s="40"/>
      <c r="AD36" s="40"/>
      <c r="AE36" s="40"/>
      <c r="AF36" s="40"/>
      <c r="AG36" s="40"/>
      <c r="AH36" s="40"/>
      <c r="AI36" s="40"/>
      <c r="AJ36" s="40"/>
      <c r="AK36" s="40"/>
      <c r="AL36" s="40"/>
      <c r="AM36" s="40"/>
      <c r="AN36" s="40"/>
      <c r="AO36" s="40"/>
      <c r="AP36" s="40" t="s">
        <v>358</v>
      </c>
      <c r="AQ36" s="40" t="s">
        <v>358</v>
      </c>
      <c r="AR36" s="40"/>
      <c r="AS36" s="40" t="s">
        <v>358</v>
      </c>
      <c r="AT36" s="40"/>
      <c r="AU36" s="40"/>
      <c r="AV36" s="40"/>
      <c r="AW36" s="40"/>
      <c r="AX36" s="40"/>
      <c r="AY36" s="40"/>
      <c r="AZ36" s="40"/>
      <c r="BA36" s="5" t="s">
        <v>402</v>
      </c>
    </row>
    <row r="37" spans="1:53" ht="15" thickBot="1" x14ac:dyDescent="0.4">
      <c r="A37" s="30" t="s">
        <v>359</v>
      </c>
      <c r="B37" s="30" t="s">
        <v>359</v>
      </c>
      <c r="C37" s="30" t="s">
        <v>358</v>
      </c>
      <c r="D37" s="30" t="s">
        <v>359</v>
      </c>
      <c r="E37" s="30" t="s">
        <v>359</v>
      </c>
      <c r="F37" s="30" t="s">
        <v>359</v>
      </c>
      <c r="G37" s="30" t="s">
        <v>359</v>
      </c>
      <c r="H37" s="30" t="s">
        <v>359</v>
      </c>
      <c r="I37" s="30" t="s">
        <v>359</v>
      </c>
      <c r="J37" s="5" t="s">
        <v>401</v>
      </c>
      <c r="K37" s="5" t="s">
        <v>161</v>
      </c>
      <c r="L37" s="5" t="s">
        <v>406</v>
      </c>
      <c r="M37" s="5" t="s">
        <v>403</v>
      </c>
      <c r="N37" s="5" t="s">
        <v>404</v>
      </c>
      <c r="O37" s="5">
        <v>1.609</v>
      </c>
      <c r="P37" s="404">
        <v>0.23036965637583892</v>
      </c>
      <c r="Q37" s="110"/>
      <c r="R37" s="110"/>
      <c r="S37" s="110"/>
      <c r="T37" s="404">
        <v>5.6579999999999998E-2</v>
      </c>
      <c r="U37" s="110"/>
      <c r="V37" s="121">
        <f t="shared" si="0"/>
        <v>0.28694965637583891</v>
      </c>
      <c r="W37" s="40"/>
      <c r="X37" s="40"/>
      <c r="Y37" s="40"/>
      <c r="Z37" s="40"/>
      <c r="AA37" s="40"/>
      <c r="AB37" s="40"/>
      <c r="AC37" s="40"/>
      <c r="AD37" s="40"/>
      <c r="AE37" s="40"/>
      <c r="AF37" s="40"/>
      <c r="AG37" s="40"/>
      <c r="AH37" s="40"/>
      <c r="AI37" s="40"/>
      <c r="AJ37" s="40"/>
      <c r="AK37" s="40"/>
      <c r="AL37" s="40"/>
      <c r="AM37" s="40"/>
      <c r="AN37" s="40"/>
      <c r="AO37" s="40"/>
      <c r="AP37" s="40"/>
      <c r="AQ37" s="40"/>
      <c r="AR37" s="40" t="s">
        <v>358</v>
      </c>
      <c r="AS37" s="40" t="s">
        <v>358</v>
      </c>
      <c r="AT37" s="40"/>
      <c r="AU37" s="40"/>
      <c r="AV37" s="40"/>
      <c r="AW37" s="40"/>
      <c r="AX37" s="40"/>
      <c r="AY37" s="40"/>
      <c r="AZ37" s="40"/>
      <c r="BA37" s="5" t="s">
        <v>402</v>
      </c>
    </row>
    <row r="38" spans="1:53" ht="15" thickBot="1" x14ac:dyDescent="0.4">
      <c r="A38" s="30" t="s">
        <v>359</v>
      </c>
      <c r="B38" s="30" t="s">
        <v>359</v>
      </c>
      <c r="C38" s="30" t="s">
        <v>358</v>
      </c>
      <c r="D38" s="30" t="s">
        <v>359</v>
      </c>
      <c r="E38" s="30" t="s">
        <v>359</v>
      </c>
      <c r="F38" s="30" t="s">
        <v>359</v>
      </c>
      <c r="G38" s="30" t="s">
        <v>359</v>
      </c>
      <c r="H38" s="30" t="s">
        <v>359</v>
      </c>
      <c r="I38" s="30" t="s">
        <v>359</v>
      </c>
      <c r="J38" s="5" t="s">
        <v>407</v>
      </c>
      <c r="K38" s="5" t="s">
        <v>408</v>
      </c>
      <c r="L38" s="5" t="s">
        <v>379</v>
      </c>
      <c r="M38" s="5" t="s">
        <v>403</v>
      </c>
      <c r="N38" s="5" t="s">
        <v>404</v>
      </c>
      <c r="O38" s="5">
        <v>1.609</v>
      </c>
      <c r="P38" s="404">
        <v>0.82313412483221482</v>
      </c>
      <c r="Q38" s="110"/>
      <c r="R38" s="110"/>
      <c r="S38" s="110"/>
      <c r="T38" s="405">
        <v>0.20019000000000001</v>
      </c>
      <c r="U38" s="110"/>
      <c r="V38" s="121">
        <f t="shared" si="0"/>
        <v>1.0233241248322149</v>
      </c>
      <c r="W38" s="40"/>
      <c r="X38" s="40"/>
      <c r="Y38" s="40"/>
      <c r="Z38" s="40"/>
      <c r="AA38" s="40"/>
      <c r="AB38" s="40"/>
      <c r="AC38" s="40"/>
      <c r="AD38" s="40"/>
      <c r="AE38" s="40"/>
      <c r="AF38" s="40"/>
      <c r="AG38" s="40"/>
      <c r="AH38" s="40"/>
      <c r="AI38" s="40"/>
      <c r="AJ38" s="40"/>
      <c r="AK38" s="40"/>
      <c r="AL38" s="40"/>
      <c r="AM38" s="40"/>
      <c r="AN38" s="40"/>
      <c r="AO38" s="40"/>
      <c r="AP38" s="40"/>
      <c r="AQ38" s="40"/>
      <c r="AR38" s="40" t="s">
        <v>358</v>
      </c>
      <c r="AS38" s="40" t="s">
        <v>358</v>
      </c>
      <c r="AT38" s="40"/>
      <c r="AU38" s="40"/>
      <c r="AV38" s="40"/>
      <c r="AW38" s="40"/>
      <c r="AX38" s="40"/>
      <c r="AY38" s="40"/>
      <c r="AZ38" s="40"/>
      <c r="BA38" s="5" t="s">
        <v>409</v>
      </c>
    </row>
    <row r="39" spans="1:53" ht="15" thickBot="1" x14ac:dyDescent="0.4">
      <c r="A39" s="30" t="s">
        <v>359</v>
      </c>
      <c r="B39" s="30" t="s">
        <v>359</v>
      </c>
      <c r="C39" s="30" t="s">
        <v>358</v>
      </c>
      <c r="D39" s="30" t="s">
        <v>359</v>
      </c>
      <c r="E39" s="30" t="s">
        <v>359</v>
      </c>
      <c r="F39" s="30" t="s">
        <v>359</v>
      </c>
      <c r="G39" s="30" t="s">
        <v>359</v>
      </c>
      <c r="H39" s="30" t="s">
        <v>359</v>
      </c>
      <c r="I39" s="30" t="s">
        <v>359</v>
      </c>
      <c r="J39" s="5" t="s">
        <v>407</v>
      </c>
      <c r="K39" s="5" t="s">
        <v>410</v>
      </c>
      <c r="L39" s="5" t="s">
        <v>379</v>
      </c>
      <c r="M39" s="5" t="s">
        <v>403</v>
      </c>
      <c r="N39" s="5" t="s">
        <v>404</v>
      </c>
      <c r="O39" s="5">
        <v>1.609</v>
      </c>
      <c r="P39" s="404">
        <v>0.90643714362416106</v>
      </c>
      <c r="Q39" s="110"/>
      <c r="R39" s="110"/>
      <c r="S39" s="110"/>
      <c r="T39" s="405">
        <v>0.21915999999999999</v>
      </c>
      <c r="U39" s="110"/>
      <c r="V39" s="121">
        <f t="shared" si="0"/>
        <v>1.125597143624161</v>
      </c>
      <c r="W39" s="40"/>
      <c r="X39" s="40"/>
      <c r="Y39" s="40"/>
      <c r="Z39" s="40"/>
      <c r="AA39" s="40"/>
      <c r="AB39" s="40"/>
      <c r="AC39" s="40"/>
      <c r="AD39" s="40"/>
      <c r="AE39" s="40"/>
      <c r="AF39" s="40"/>
      <c r="AG39" s="40"/>
      <c r="AH39" s="40"/>
      <c r="AI39" s="40"/>
      <c r="AJ39" s="40"/>
      <c r="AK39" s="40"/>
      <c r="AL39" s="40"/>
      <c r="AM39" s="40"/>
      <c r="AN39" s="40"/>
      <c r="AO39" s="40"/>
      <c r="AP39" s="40"/>
      <c r="AQ39" s="40"/>
      <c r="AR39" s="40" t="s">
        <v>358</v>
      </c>
      <c r="AS39" s="40" t="s">
        <v>358</v>
      </c>
      <c r="AT39" s="40"/>
      <c r="AU39" s="40"/>
      <c r="AV39" s="40"/>
      <c r="AW39" s="40"/>
      <c r="AX39" s="40"/>
      <c r="AY39" s="40"/>
      <c r="AZ39" s="40"/>
      <c r="BA39" s="5" t="s">
        <v>409</v>
      </c>
    </row>
    <row r="40" spans="1:53" ht="15" thickBot="1" x14ac:dyDescent="0.4">
      <c r="A40" s="30" t="s">
        <v>359</v>
      </c>
      <c r="B40" s="30" t="s">
        <v>359</v>
      </c>
      <c r="C40" s="30" t="s">
        <v>358</v>
      </c>
      <c r="D40" s="30" t="s">
        <v>359</v>
      </c>
      <c r="E40" s="30" t="s">
        <v>359</v>
      </c>
      <c r="F40" s="30" t="s">
        <v>359</v>
      </c>
      <c r="G40" s="30" t="s">
        <v>359</v>
      </c>
      <c r="H40" s="30" t="s">
        <v>359</v>
      </c>
      <c r="I40" s="30" t="s">
        <v>359</v>
      </c>
      <c r="J40" s="5" t="s">
        <v>407</v>
      </c>
      <c r="K40" s="5" t="s">
        <v>411</v>
      </c>
      <c r="L40" s="5" t="s">
        <v>379</v>
      </c>
      <c r="M40" s="5" t="s">
        <v>403</v>
      </c>
      <c r="N40" s="5" t="s">
        <v>404</v>
      </c>
      <c r="O40" s="5">
        <v>1.609</v>
      </c>
      <c r="P40" s="404">
        <v>0.87204847785234896</v>
      </c>
      <c r="Q40" s="110"/>
      <c r="R40" s="110"/>
      <c r="S40" s="110"/>
      <c r="T40" s="405">
        <v>0.21135000000000001</v>
      </c>
      <c r="U40" s="110"/>
      <c r="V40" s="121">
        <f t="shared" si="0"/>
        <v>1.0833984778523489</v>
      </c>
      <c r="W40" s="40"/>
      <c r="X40" s="40"/>
      <c r="Y40" s="40"/>
      <c r="Z40" s="40"/>
      <c r="AA40" s="40"/>
      <c r="AB40" s="40"/>
      <c r="AC40" s="40"/>
      <c r="AD40" s="40"/>
      <c r="AE40" s="40"/>
      <c r="AF40" s="40"/>
      <c r="AG40" s="40"/>
      <c r="AH40" s="40"/>
      <c r="AI40" s="40"/>
      <c r="AJ40" s="40"/>
      <c r="AK40" s="40"/>
      <c r="AL40" s="40"/>
      <c r="AM40" s="40"/>
      <c r="AN40" s="40"/>
      <c r="AO40" s="40"/>
      <c r="AP40" s="40"/>
      <c r="AQ40" s="40"/>
      <c r="AR40" s="40" t="s">
        <v>358</v>
      </c>
      <c r="AS40" s="40" t="s">
        <v>358</v>
      </c>
      <c r="AT40" s="40"/>
      <c r="AU40" s="40"/>
      <c r="AV40" s="40"/>
      <c r="AW40" s="40"/>
      <c r="AX40" s="40"/>
      <c r="AY40" s="40"/>
      <c r="AZ40" s="40"/>
      <c r="BA40" s="5" t="s">
        <v>409</v>
      </c>
    </row>
    <row r="41" spans="1:53" ht="15" thickBot="1" x14ac:dyDescent="0.4">
      <c r="A41" s="30" t="s">
        <v>359</v>
      </c>
      <c r="B41" s="30" t="s">
        <v>359</v>
      </c>
      <c r="C41" s="30" t="s">
        <v>358</v>
      </c>
      <c r="D41" s="30" t="s">
        <v>359</v>
      </c>
      <c r="E41" s="30" t="s">
        <v>359</v>
      </c>
      <c r="F41" s="30" t="s">
        <v>359</v>
      </c>
      <c r="G41" s="30" t="s">
        <v>359</v>
      </c>
      <c r="H41" s="30" t="s">
        <v>359</v>
      </c>
      <c r="I41" s="30" t="s">
        <v>359</v>
      </c>
      <c r="J41" s="5" t="s">
        <v>412</v>
      </c>
      <c r="K41" s="5" t="s">
        <v>161</v>
      </c>
      <c r="L41" s="5" t="s">
        <v>379</v>
      </c>
      <c r="M41" s="5" t="s">
        <v>403</v>
      </c>
      <c r="N41" s="5" t="s">
        <v>404</v>
      </c>
      <c r="O41" s="5">
        <v>1.609</v>
      </c>
      <c r="P41" s="404">
        <v>0.16982644888053691</v>
      </c>
      <c r="Q41" s="110"/>
      <c r="R41" s="110"/>
      <c r="S41" s="110"/>
      <c r="T41" s="405">
        <v>4.1450000000000001E-2</v>
      </c>
      <c r="U41" s="110"/>
      <c r="V41" s="121">
        <f t="shared" si="0"/>
        <v>0.21127644888053693</v>
      </c>
      <c r="W41" s="40"/>
      <c r="X41" s="40"/>
      <c r="Y41" s="40"/>
      <c r="Z41" s="40"/>
      <c r="AA41" s="40"/>
      <c r="AB41" s="40"/>
      <c r="AC41" s="40"/>
      <c r="AD41" s="40"/>
      <c r="AE41" s="40"/>
      <c r="AF41" s="40"/>
      <c r="AG41" s="40"/>
      <c r="AH41" s="40"/>
      <c r="AI41" s="40"/>
      <c r="AJ41" s="40"/>
      <c r="AK41" s="40"/>
      <c r="AL41" s="40"/>
      <c r="AM41" s="40"/>
      <c r="AN41" s="40" t="s">
        <v>358</v>
      </c>
      <c r="AO41" s="40" t="s">
        <v>358</v>
      </c>
      <c r="AP41" s="40"/>
      <c r="AQ41" s="40"/>
      <c r="AR41" s="40"/>
      <c r="AS41" s="40"/>
      <c r="AT41" s="40"/>
      <c r="AU41" s="40"/>
      <c r="AV41" s="40"/>
      <c r="AW41" s="40"/>
      <c r="AX41" s="40"/>
      <c r="AY41" s="40"/>
      <c r="AZ41" s="40"/>
      <c r="BA41" s="5"/>
    </row>
    <row r="42" spans="1:53" ht="15" thickBot="1" x14ac:dyDescent="0.4">
      <c r="A42" s="30" t="s">
        <v>359</v>
      </c>
      <c r="B42" s="30" t="s">
        <v>359</v>
      </c>
      <c r="C42" s="30" t="s">
        <v>358</v>
      </c>
      <c r="D42" s="30" t="s">
        <v>359</v>
      </c>
      <c r="E42" s="30" t="s">
        <v>359</v>
      </c>
      <c r="F42" s="30" t="s">
        <v>359</v>
      </c>
      <c r="G42" s="30" t="s">
        <v>359</v>
      </c>
      <c r="H42" s="30" t="s">
        <v>359</v>
      </c>
      <c r="I42" s="30" t="s">
        <v>359</v>
      </c>
      <c r="J42" s="5" t="s">
        <v>412</v>
      </c>
      <c r="K42" s="5" t="s">
        <v>161</v>
      </c>
      <c r="L42" s="5" t="s">
        <v>162</v>
      </c>
      <c r="M42" s="5" t="s">
        <v>403</v>
      </c>
      <c r="N42" s="5" t="s">
        <v>404</v>
      </c>
      <c r="O42" s="5">
        <v>1.609</v>
      </c>
      <c r="P42" s="404">
        <v>0.16390853422818791</v>
      </c>
      <c r="Q42" s="110"/>
      <c r="R42" s="110"/>
      <c r="S42" s="110"/>
      <c r="T42" s="405">
        <v>4.5510000000000002E-2</v>
      </c>
      <c r="U42" s="110"/>
      <c r="V42" s="121">
        <f t="shared" si="0"/>
        <v>0.2094185342281879</v>
      </c>
      <c r="W42" s="40"/>
      <c r="X42" s="40"/>
      <c r="Y42" s="40"/>
      <c r="Z42" s="40"/>
      <c r="AA42" s="40"/>
      <c r="AB42" s="40"/>
      <c r="AC42" s="40"/>
      <c r="AD42" s="40"/>
      <c r="AE42" s="40"/>
      <c r="AF42" s="40"/>
      <c r="AG42" s="40"/>
      <c r="AH42" s="40"/>
      <c r="AI42" s="40"/>
      <c r="AJ42" s="40"/>
      <c r="AK42" s="40"/>
      <c r="AL42" s="40"/>
      <c r="AM42" s="40"/>
      <c r="AN42" s="40" t="s">
        <v>358</v>
      </c>
      <c r="AO42" s="40" t="s">
        <v>358</v>
      </c>
      <c r="AP42" s="40"/>
      <c r="AQ42" s="40"/>
      <c r="AR42" s="40"/>
      <c r="AS42" s="40"/>
      <c r="AT42" s="40"/>
      <c r="AU42" s="40"/>
      <c r="AV42" s="40"/>
      <c r="AW42" s="40"/>
      <c r="AX42" s="40"/>
      <c r="AY42" s="40"/>
      <c r="AZ42" s="40"/>
      <c r="BA42" s="5"/>
    </row>
    <row r="43" spans="1:53" ht="15" thickBot="1" x14ac:dyDescent="0.4">
      <c r="A43" s="30" t="s">
        <v>359</v>
      </c>
      <c r="B43" s="30" t="s">
        <v>359</v>
      </c>
      <c r="C43" s="30" t="s">
        <v>358</v>
      </c>
      <c r="D43" s="30" t="s">
        <v>359</v>
      </c>
      <c r="E43" s="30" t="s">
        <v>359</v>
      </c>
      <c r="F43" s="30" t="s">
        <v>359</v>
      </c>
      <c r="G43" s="30" t="s">
        <v>359</v>
      </c>
      <c r="H43" s="30" t="s">
        <v>359</v>
      </c>
      <c r="I43" s="30" t="s">
        <v>359</v>
      </c>
      <c r="J43" s="5" t="s">
        <v>412</v>
      </c>
      <c r="K43" s="5" t="s">
        <v>161</v>
      </c>
      <c r="L43" s="5" t="s">
        <v>413</v>
      </c>
      <c r="M43" s="5" t="s">
        <v>403</v>
      </c>
      <c r="N43" s="5" t="s">
        <v>404</v>
      </c>
      <c r="O43" s="5">
        <v>1.609</v>
      </c>
      <c r="P43" s="404">
        <v>0.11897858791946307</v>
      </c>
      <c r="Q43" s="110"/>
      <c r="R43" s="110"/>
      <c r="S43" s="110"/>
      <c r="T43" s="405">
        <v>3.109E-2</v>
      </c>
      <c r="U43" s="110"/>
      <c r="V43" s="121">
        <f t="shared" si="0"/>
        <v>0.15006858791946306</v>
      </c>
      <c r="W43" s="40"/>
      <c r="X43" s="40"/>
      <c r="Y43" s="40"/>
      <c r="Z43" s="40"/>
      <c r="AA43" s="40"/>
      <c r="AB43" s="40"/>
      <c r="AC43" s="40"/>
      <c r="AD43" s="40"/>
      <c r="AE43" s="40"/>
      <c r="AF43" s="40"/>
      <c r="AG43" s="40"/>
      <c r="AH43" s="40"/>
      <c r="AI43" s="40"/>
      <c r="AJ43" s="40"/>
      <c r="AK43" s="40"/>
      <c r="AL43" s="40"/>
      <c r="AM43" s="40"/>
      <c r="AN43" s="40" t="s">
        <v>358</v>
      </c>
      <c r="AO43" s="40" t="s">
        <v>358</v>
      </c>
      <c r="AP43" s="40"/>
      <c r="AQ43" s="40"/>
      <c r="AR43" s="40"/>
      <c r="AS43" s="40"/>
      <c r="AT43" s="40"/>
      <c r="AU43" s="40"/>
      <c r="AV43" s="40"/>
      <c r="AW43" s="40"/>
      <c r="AX43" s="40"/>
      <c r="AY43" s="40"/>
      <c r="AZ43" s="40"/>
      <c r="BA43" s="5"/>
    </row>
    <row r="44" spans="1:53" ht="26.5" thickBot="1" x14ac:dyDescent="0.4">
      <c r="A44" s="30" t="s">
        <v>359</v>
      </c>
      <c r="B44" s="30" t="s">
        <v>359</v>
      </c>
      <c r="C44" s="30" t="s">
        <v>358</v>
      </c>
      <c r="D44" s="30" t="s">
        <v>359</v>
      </c>
      <c r="E44" s="30" t="s">
        <v>359</v>
      </c>
      <c r="F44" s="30" t="s">
        <v>359</v>
      </c>
      <c r="G44" s="30" t="s">
        <v>359</v>
      </c>
      <c r="H44" s="30" t="s">
        <v>359</v>
      </c>
      <c r="I44" s="30" t="s">
        <v>359</v>
      </c>
      <c r="J44" s="5" t="s">
        <v>412</v>
      </c>
      <c r="K44" s="5" t="s">
        <v>161</v>
      </c>
      <c r="L44" s="5" t="s">
        <v>414</v>
      </c>
      <c r="M44" s="5" t="s">
        <v>403</v>
      </c>
      <c r="N44" s="5" t="s">
        <v>404</v>
      </c>
      <c r="O44" s="5">
        <v>1.609</v>
      </c>
      <c r="P44" s="404">
        <v>6.5882130201342287E-2</v>
      </c>
      <c r="Q44" s="404">
        <v>2.5794189261744968E-2</v>
      </c>
      <c r="R44" s="110"/>
      <c r="S44" s="404">
        <v>2.2300926174496642E-3</v>
      </c>
      <c r="T44" s="404">
        <v>2.4400000000000002E-2</v>
      </c>
      <c r="U44" s="110"/>
      <c r="V44" s="121">
        <f t="shared" si="0"/>
        <v>0.11830641208053692</v>
      </c>
      <c r="W44" s="40"/>
      <c r="X44" s="40"/>
      <c r="Y44" s="40"/>
      <c r="Z44" s="40"/>
      <c r="AA44" s="40"/>
      <c r="AB44" s="40"/>
      <c r="AC44" s="40"/>
      <c r="AD44" s="40"/>
      <c r="AE44" s="40"/>
      <c r="AF44" s="40"/>
      <c r="AG44" s="40"/>
      <c r="AH44" s="40"/>
      <c r="AI44" s="40"/>
      <c r="AJ44" s="40"/>
      <c r="AK44" s="40"/>
      <c r="AL44" s="40"/>
      <c r="AM44" s="40"/>
      <c r="AN44" s="40" t="s">
        <v>358</v>
      </c>
      <c r="AO44" s="40" t="s">
        <v>358</v>
      </c>
      <c r="AP44" s="40" t="s">
        <v>358</v>
      </c>
      <c r="AQ44" s="40" t="s">
        <v>358</v>
      </c>
      <c r="AR44" s="40"/>
      <c r="AS44" s="40"/>
      <c r="AT44" s="40"/>
      <c r="AU44" s="40"/>
      <c r="AV44" s="40"/>
      <c r="AW44" s="40"/>
      <c r="AX44" s="40"/>
      <c r="AY44" s="40"/>
      <c r="AZ44" s="40"/>
      <c r="BA44" s="5"/>
    </row>
    <row r="45" spans="1:53" ht="26.5" thickBot="1" x14ac:dyDescent="0.4">
      <c r="A45" s="30" t="s">
        <v>359</v>
      </c>
      <c r="B45" s="30" t="s">
        <v>359</v>
      </c>
      <c r="C45" s="30" t="s">
        <v>358</v>
      </c>
      <c r="D45" s="30" t="s">
        <v>359</v>
      </c>
      <c r="E45" s="30" t="s">
        <v>359</v>
      </c>
      <c r="F45" s="30" t="s">
        <v>359</v>
      </c>
      <c r="G45" s="30" t="s">
        <v>359</v>
      </c>
      <c r="H45" s="30" t="s">
        <v>359</v>
      </c>
      <c r="I45" s="30" t="s">
        <v>359</v>
      </c>
      <c r="J45" s="5" t="s">
        <v>412</v>
      </c>
      <c r="K45" s="5" t="s">
        <v>161</v>
      </c>
      <c r="L45" s="5" t="s">
        <v>405</v>
      </c>
      <c r="M45" s="5" t="s">
        <v>403</v>
      </c>
      <c r="N45" s="5" t="s">
        <v>404</v>
      </c>
      <c r="O45" s="5">
        <v>1.609</v>
      </c>
      <c r="P45" s="110"/>
      <c r="Q45" s="404">
        <v>5.0427363758389264E-2</v>
      </c>
      <c r="R45" s="110"/>
      <c r="S45" s="404">
        <v>4.3690778523489933E-3</v>
      </c>
      <c r="T45" s="405">
        <v>1.2149999999999999E-2</v>
      </c>
      <c r="U45" s="110"/>
      <c r="V45" s="121">
        <f t="shared" si="0"/>
        <v>6.6946441610738261E-2</v>
      </c>
      <c r="W45" s="40"/>
      <c r="X45" s="40"/>
      <c r="Y45" s="40"/>
      <c r="Z45" s="40"/>
      <c r="AA45" s="40"/>
      <c r="AB45" s="40"/>
      <c r="AC45" s="40"/>
      <c r="AD45" s="40"/>
      <c r="AE45" s="40"/>
      <c r="AF45" s="40"/>
      <c r="AG45" s="40"/>
      <c r="AH45" s="40"/>
      <c r="AI45" s="40"/>
      <c r="AJ45" s="40"/>
      <c r="AK45" s="40"/>
      <c r="AL45" s="40"/>
      <c r="AM45" s="40"/>
      <c r="AN45" s="40"/>
      <c r="AO45" s="40" t="s">
        <v>358</v>
      </c>
      <c r="AP45" s="40" t="s">
        <v>358</v>
      </c>
      <c r="AQ45" s="40" t="s">
        <v>358</v>
      </c>
      <c r="AR45" s="40"/>
      <c r="AS45" s="40"/>
      <c r="AT45" s="40"/>
      <c r="AU45" s="40"/>
      <c r="AV45" s="40"/>
      <c r="AW45" s="40"/>
      <c r="AX45" s="40"/>
      <c r="AY45" s="40"/>
      <c r="AZ45" s="40"/>
      <c r="BA45" s="5"/>
    </row>
    <row r="46" spans="1:53" ht="15" thickBot="1" x14ac:dyDescent="0.4">
      <c r="A46" s="30" t="s">
        <v>359</v>
      </c>
      <c r="B46" s="30" t="s">
        <v>359</v>
      </c>
      <c r="C46" s="30" t="s">
        <v>358</v>
      </c>
      <c r="D46" s="30" t="s">
        <v>359</v>
      </c>
      <c r="E46" s="30" t="s">
        <v>359</v>
      </c>
      <c r="F46" s="30" t="s">
        <v>359</v>
      </c>
      <c r="G46" s="30" t="s">
        <v>359</v>
      </c>
      <c r="H46" s="30" t="s">
        <v>359</v>
      </c>
      <c r="I46" s="30" t="s">
        <v>359</v>
      </c>
      <c r="J46" s="5" t="s">
        <v>412</v>
      </c>
      <c r="K46" s="5" t="s">
        <v>161</v>
      </c>
      <c r="L46" s="5" t="s">
        <v>415</v>
      </c>
      <c r="M46" s="5" t="s">
        <v>403</v>
      </c>
      <c r="N46" s="5" t="s">
        <v>404</v>
      </c>
      <c r="O46" s="5">
        <v>1.609</v>
      </c>
      <c r="P46" s="404">
        <v>0.16663858791946309</v>
      </c>
      <c r="Q46" s="110"/>
      <c r="R46" s="110"/>
      <c r="S46" s="110"/>
      <c r="T46" s="405">
        <v>4.3659999999999997E-2</v>
      </c>
      <c r="U46" s="110"/>
      <c r="V46" s="121">
        <f t="shared" si="0"/>
        <v>0.2102985879194631</v>
      </c>
      <c r="W46" s="40"/>
      <c r="X46" s="40"/>
      <c r="Y46" s="40"/>
      <c r="Z46" s="40"/>
      <c r="AA46" s="40"/>
      <c r="AB46" s="40"/>
      <c r="AC46" s="40"/>
      <c r="AD46" s="40"/>
      <c r="AE46" s="40"/>
      <c r="AF46" s="40"/>
      <c r="AG46" s="40"/>
      <c r="AH46" s="40"/>
      <c r="AI46" s="40"/>
      <c r="AJ46" s="40"/>
      <c r="AK46" s="40"/>
      <c r="AL46" s="40"/>
      <c r="AM46" s="40"/>
      <c r="AN46" s="40" t="s">
        <v>358</v>
      </c>
      <c r="AO46" s="40" t="s">
        <v>358</v>
      </c>
      <c r="AP46" s="40"/>
      <c r="AQ46" s="40"/>
      <c r="AR46" s="40"/>
      <c r="AS46" s="40"/>
      <c r="AT46" s="40"/>
      <c r="AU46" s="40"/>
      <c r="AV46" s="40"/>
      <c r="AW46" s="40"/>
      <c r="AX46" s="40"/>
      <c r="AY46" s="40"/>
      <c r="AZ46" s="40"/>
      <c r="BA46" s="5"/>
    </row>
    <row r="47" spans="1:53" ht="15" thickBot="1" x14ac:dyDescent="0.4">
      <c r="A47" s="30" t="s">
        <v>359</v>
      </c>
      <c r="B47" s="30" t="s">
        <v>359</v>
      </c>
      <c r="C47" s="30" t="s">
        <v>359</v>
      </c>
      <c r="D47" s="30" t="s">
        <v>359</v>
      </c>
      <c r="E47" s="30" t="s">
        <v>359</v>
      </c>
      <c r="F47" s="30" t="s">
        <v>358</v>
      </c>
      <c r="G47" s="30" t="s">
        <v>358</v>
      </c>
      <c r="H47" s="30" t="s">
        <v>359</v>
      </c>
      <c r="I47" s="30" t="s">
        <v>359</v>
      </c>
      <c r="J47" s="5" t="s">
        <v>416</v>
      </c>
      <c r="K47" s="5" t="s">
        <v>417</v>
      </c>
      <c r="L47" s="5" t="s">
        <v>379</v>
      </c>
      <c r="M47" s="5" t="s">
        <v>403</v>
      </c>
      <c r="N47" s="5" t="s">
        <v>404</v>
      </c>
      <c r="O47" s="5">
        <v>1.609</v>
      </c>
      <c r="P47" s="110"/>
      <c r="Q47" s="110"/>
      <c r="R47" s="404">
        <v>0.13930644888053692</v>
      </c>
      <c r="S47" s="110"/>
      <c r="T47" s="404">
        <v>3.3919999999999999E-2</v>
      </c>
      <c r="U47" s="110"/>
      <c r="V47" s="121">
        <f t="shared" si="0"/>
        <v>0.17322644888053693</v>
      </c>
      <c r="W47" s="40"/>
      <c r="X47" s="40"/>
      <c r="Y47" s="40"/>
      <c r="Z47" s="40"/>
      <c r="AA47" s="40"/>
      <c r="AB47" s="40"/>
      <c r="AC47" s="40"/>
      <c r="AD47" s="40"/>
      <c r="AE47" s="40"/>
      <c r="AF47" s="40"/>
      <c r="AG47" s="40"/>
      <c r="AH47" s="40"/>
      <c r="AI47" s="40"/>
      <c r="AJ47" s="40"/>
      <c r="AK47" s="40"/>
      <c r="AL47" s="40"/>
      <c r="AM47" s="40"/>
      <c r="AN47" s="40" t="s">
        <v>358</v>
      </c>
      <c r="AO47" s="40" t="s">
        <v>358</v>
      </c>
      <c r="AP47" s="40"/>
      <c r="AQ47" s="40"/>
      <c r="AR47" s="40"/>
      <c r="AS47" s="40"/>
      <c r="AT47" s="40"/>
      <c r="AU47" s="40"/>
      <c r="AV47" s="40"/>
      <c r="AW47" s="40"/>
      <c r="AX47" s="40"/>
      <c r="AY47" s="40"/>
      <c r="AZ47" s="40"/>
      <c r="BA47" s="5"/>
    </row>
    <row r="48" spans="1:53" ht="15" thickBot="1" x14ac:dyDescent="0.4">
      <c r="A48" s="30" t="s">
        <v>359</v>
      </c>
      <c r="B48" s="30" t="s">
        <v>359</v>
      </c>
      <c r="C48" s="30" t="s">
        <v>359</v>
      </c>
      <c r="D48" s="30" t="s">
        <v>359</v>
      </c>
      <c r="E48" s="30" t="s">
        <v>359</v>
      </c>
      <c r="F48" s="30" t="s">
        <v>358</v>
      </c>
      <c r="G48" s="30" t="s">
        <v>358</v>
      </c>
      <c r="H48" s="30" t="s">
        <v>359</v>
      </c>
      <c r="I48" s="30" t="s">
        <v>359</v>
      </c>
      <c r="J48" s="5" t="s">
        <v>416</v>
      </c>
      <c r="K48" s="5" t="s">
        <v>418</v>
      </c>
      <c r="L48" s="5" t="s">
        <v>379</v>
      </c>
      <c r="M48" s="5" t="s">
        <v>403</v>
      </c>
      <c r="N48" s="5" t="s">
        <v>404</v>
      </c>
      <c r="O48" s="5">
        <v>1.609</v>
      </c>
      <c r="P48" s="110"/>
      <c r="Q48" s="110"/>
      <c r="R48" s="404">
        <v>0.16715644888053691</v>
      </c>
      <c r="S48" s="110"/>
      <c r="T48" s="404">
        <v>4.079E-2</v>
      </c>
      <c r="U48" s="110"/>
      <c r="V48" s="121">
        <f t="shared" si="0"/>
        <v>0.2079464488805369</v>
      </c>
      <c r="W48" s="40"/>
      <c r="X48" s="40"/>
      <c r="Y48" s="40"/>
      <c r="Z48" s="40"/>
      <c r="AA48" s="40"/>
      <c r="AB48" s="40"/>
      <c r="AC48" s="40"/>
      <c r="AD48" s="40"/>
      <c r="AE48" s="40"/>
      <c r="AF48" s="40"/>
      <c r="AG48" s="40"/>
      <c r="AH48" s="40"/>
      <c r="AI48" s="40"/>
      <c r="AJ48" s="40"/>
      <c r="AK48" s="40"/>
      <c r="AL48" s="40"/>
      <c r="AM48" s="40"/>
      <c r="AN48" s="40" t="s">
        <v>358</v>
      </c>
      <c r="AO48" s="40" t="s">
        <v>358</v>
      </c>
      <c r="AP48" s="40"/>
      <c r="AQ48" s="40"/>
      <c r="AR48" s="40"/>
      <c r="AS48" s="40"/>
      <c r="AT48" s="40"/>
      <c r="AU48" s="40"/>
      <c r="AV48" s="40"/>
      <c r="AW48" s="40"/>
      <c r="AX48" s="40"/>
      <c r="AY48" s="40"/>
      <c r="AZ48" s="40"/>
      <c r="BA48" s="5"/>
    </row>
    <row r="49" spans="1:53" ht="15" thickBot="1" x14ac:dyDescent="0.4">
      <c r="A49" s="30" t="s">
        <v>359</v>
      </c>
      <c r="B49" s="30" t="s">
        <v>359</v>
      </c>
      <c r="C49" s="30" t="s">
        <v>359</v>
      </c>
      <c r="D49" s="30" t="s">
        <v>359</v>
      </c>
      <c r="E49" s="30" t="s">
        <v>359</v>
      </c>
      <c r="F49" s="30" t="s">
        <v>358</v>
      </c>
      <c r="G49" s="30" t="s">
        <v>358</v>
      </c>
      <c r="H49" s="30" t="s">
        <v>359</v>
      </c>
      <c r="I49" s="30" t="s">
        <v>359</v>
      </c>
      <c r="J49" s="5" t="s">
        <v>416</v>
      </c>
      <c r="K49" s="5" t="s">
        <v>419</v>
      </c>
      <c r="L49" s="5" t="s">
        <v>379</v>
      </c>
      <c r="M49" s="5" t="s">
        <v>403</v>
      </c>
      <c r="N49" s="5" t="s">
        <v>404</v>
      </c>
      <c r="O49" s="5">
        <v>1.609</v>
      </c>
      <c r="P49" s="110"/>
      <c r="Q49" s="110"/>
      <c r="R49" s="404">
        <v>0.20858644888053693</v>
      </c>
      <c r="S49" s="110"/>
      <c r="T49" s="404">
        <v>5.0999999999999997E-2</v>
      </c>
      <c r="U49" s="110"/>
      <c r="V49" s="121">
        <f t="shared" si="0"/>
        <v>0.25958644888053695</v>
      </c>
      <c r="W49" s="40"/>
      <c r="X49" s="40"/>
      <c r="Y49" s="40"/>
      <c r="Z49" s="40"/>
      <c r="AA49" s="40"/>
      <c r="AB49" s="40"/>
      <c r="AC49" s="40"/>
      <c r="AD49" s="40"/>
      <c r="AE49" s="40"/>
      <c r="AF49" s="40"/>
      <c r="AG49" s="40"/>
      <c r="AH49" s="40"/>
      <c r="AI49" s="40"/>
      <c r="AJ49" s="40"/>
      <c r="AK49" s="40"/>
      <c r="AL49" s="40"/>
      <c r="AM49" s="40"/>
      <c r="AN49" s="40" t="s">
        <v>358</v>
      </c>
      <c r="AO49" s="40" t="s">
        <v>358</v>
      </c>
      <c r="AP49" s="40"/>
      <c r="AQ49" s="40"/>
      <c r="AR49" s="40"/>
      <c r="AS49" s="40"/>
      <c r="AT49" s="40"/>
      <c r="AU49" s="40"/>
      <c r="AV49" s="40"/>
      <c r="AW49" s="40"/>
      <c r="AX49" s="40"/>
      <c r="AY49" s="40"/>
      <c r="AZ49" s="40"/>
      <c r="BA49" s="5"/>
    </row>
    <row r="50" spans="1:53" ht="15" thickBot="1" x14ac:dyDescent="0.4">
      <c r="A50" s="30" t="s">
        <v>359</v>
      </c>
      <c r="B50" s="30" t="s">
        <v>359</v>
      </c>
      <c r="C50" s="30" t="s">
        <v>359</v>
      </c>
      <c r="D50" s="30" t="s">
        <v>359</v>
      </c>
      <c r="E50" s="30" t="s">
        <v>359</v>
      </c>
      <c r="F50" s="30" t="s">
        <v>358</v>
      </c>
      <c r="G50" s="30" t="s">
        <v>358</v>
      </c>
      <c r="H50" s="30" t="s">
        <v>359</v>
      </c>
      <c r="I50" s="30" t="s">
        <v>359</v>
      </c>
      <c r="J50" s="5" t="s">
        <v>416</v>
      </c>
      <c r="K50" s="5" t="s">
        <v>161</v>
      </c>
      <c r="L50" s="5" t="s">
        <v>379</v>
      </c>
      <c r="M50" s="5" t="s">
        <v>403</v>
      </c>
      <c r="N50" s="5" t="s">
        <v>404</v>
      </c>
      <c r="O50" s="5">
        <v>1.609</v>
      </c>
      <c r="P50" s="110"/>
      <c r="Q50" s="110"/>
      <c r="R50" s="404">
        <v>0.16982644888053691</v>
      </c>
      <c r="S50" s="110"/>
      <c r="T50" s="404">
        <v>4.1450000000000001E-2</v>
      </c>
      <c r="U50" s="110"/>
      <c r="V50" s="121">
        <f t="shared" si="0"/>
        <v>0.21127644888053693</v>
      </c>
      <c r="W50" s="40"/>
      <c r="X50" s="40"/>
      <c r="Y50" s="40"/>
      <c r="Z50" s="40"/>
      <c r="AA50" s="40"/>
      <c r="AB50" s="40"/>
      <c r="AC50" s="40"/>
      <c r="AD50" s="40"/>
      <c r="AE50" s="40"/>
      <c r="AF50" s="40"/>
      <c r="AG50" s="40"/>
      <c r="AH50" s="40"/>
      <c r="AI50" s="40"/>
      <c r="AJ50" s="40"/>
      <c r="AK50" s="40"/>
      <c r="AL50" s="40"/>
      <c r="AM50" s="40"/>
      <c r="AN50" s="40" t="s">
        <v>358</v>
      </c>
      <c r="AO50" s="40" t="s">
        <v>358</v>
      </c>
      <c r="AP50" s="40"/>
      <c r="AQ50" s="40"/>
      <c r="AR50" s="40"/>
      <c r="AS50" s="40"/>
      <c r="AT50" s="40"/>
      <c r="AU50" s="40"/>
      <c r="AV50" s="40"/>
      <c r="AW50" s="40"/>
      <c r="AX50" s="40"/>
      <c r="AY50" s="40"/>
      <c r="AZ50" s="40"/>
      <c r="BA50" s="5"/>
    </row>
    <row r="51" spans="1:53" ht="15" thickBot="1" x14ac:dyDescent="0.4">
      <c r="A51" s="30" t="s">
        <v>359</v>
      </c>
      <c r="B51" s="30" t="s">
        <v>359</v>
      </c>
      <c r="C51" s="30" t="s">
        <v>359</v>
      </c>
      <c r="D51" s="30" t="s">
        <v>359</v>
      </c>
      <c r="E51" s="30" t="s">
        <v>359</v>
      </c>
      <c r="F51" s="30" t="s">
        <v>358</v>
      </c>
      <c r="G51" s="30" t="s">
        <v>358</v>
      </c>
      <c r="H51" s="30" t="s">
        <v>359</v>
      </c>
      <c r="I51" s="30" t="s">
        <v>359</v>
      </c>
      <c r="J51" s="5" t="s">
        <v>416</v>
      </c>
      <c r="K51" s="5" t="s">
        <v>417</v>
      </c>
      <c r="L51" s="5" t="s">
        <v>162</v>
      </c>
      <c r="M51" s="5" t="s">
        <v>403</v>
      </c>
      <c r="N51" s="5" t="s">
        <v>404</v>
      </c>
      <c r="O51" s="5">
        <v>1.609</v>
      </c>
      <c r="P51" s="110"/>
      <c r="Q51" s="110"/>
      <c r="R51" s="404">
        <v>0.14079853422818792</v>
      </c>
      <c r="S51" s="110"/>
      <c r="T51" s="404">
        <v>3.9070000000000001E-2</v>
      </c>
      <c r="U51" s="110"/>
      <c r="V51" s="121">
        <f t="shared" si="0"/>
        <v>0.17986853422818791</v>
      </c>
      <c r="W51" s="40"/>
      <c r="X51" s="40"/>
      <c r="Y51" s="40"/>
      <c r="Z51" s="40"/>
      <c r="AA51" s="40"/>
      <c r="AB51" s="40"/>
      <c r="AC51" s="40"/>
      <c r="AD51" s="40"/>
      <c r="AE51" s="40"/>
      <c r="AF51" s="40"/>
      <c r="AG51" s="40"/>
      <c r="AH51" s="40"/>
      <c r="AI51" s="40"/>
      <c r="AJ51" s="40"/>
      <c r="AK51" s="40"/>
      <c r="AL51" s="40"/>
      <c r="AM51" s="40"/>
      <c r="AN51" s="40" t="s">
        <v>358</v>
      </c>
      <c r="AO51" s="40" t="s">
        <v>358</v>
      </c>
      <c r="AP51" s="40"/>
      <c r="AQ51" s="40"/>
      <c r="AR51" s="40"/>
      <c r="AS51" s="40"/>
      <c r="AT51" s="40"/>
      <c r="AU51" s="40"/>
      <c r="AV51" s="40"/>
      <c r="AW51" s="40"/>
      <c r="AX51" s="40"/>
      <c r="AY51" s="40"/>
      <c r="AZ51" s="40"/>
      <c r="BA51" s="5"/>
    </row>
    <row r="52" spans="1:53" ht="15" thickBot="1" x14ac:dyDescent="0.4">
      <c r="A52" s="30" t="s">
        <v>359</v>
      </c>
      <c r="B52" s="30" t="s">
        <v>359</v>
      </c>
      <c r="C52" s="30" t="s">
        <v>359</v>
      </c>
      <c r="D52" s="30" t="s">
        <v>359</v>
      </c>
      <c r="E52" s="30" t="s">
        <v>359</v>
      </c>
      <c r="F52" s="30" t="s">
        <v>358</v>
      </c>
      <c r="G52" s="30" t="s">
        <v>358</v>
      </c>
      <c r="H52" s="30" t="s">
        <v>359</v>
      </c>
      <c r="I52" s="30" t="s">
        <v>359</v>
      </c>
      <c r="J52" s="5" t="s">
        <v>416</v>
      </c>
      <c r="K52" s="5" t="s">
        <v>418</v>
      </c>
      <c r="L52" s="5" t="s">
        <v>162</v>
      </c>
      <c r="M52" s="5" t="s">
        <v>403</v>
      </c>
      <c r="N52" s="5" t="s">
        <v>404</v>
      </c>
      <c r="O52" s="5">
        <v>1.609</v>
      </c>
      <c r="P52" s="110"/>
      <c r="Q52" s="110"/>
      <c r="R52" s="404">
        <v>0.17818853422818792</v>
      </c>
      <c r="S52" s="110"/>
      <c r="T52" s="404">
        <v>4.9489999999999999E-2</v>
      </c>
      <c r="U52" s="110"/>
      <c r="V52" s="121">
        <f t="shared" si="0"/>
        <v>0.22767853422818793</v>
      </c>
      <c r="W52" s="40"/>
      <c r="X52" s="40"/>
      <c r="Y52" s="40"/>
      <c r="Z52" s="40"/>
      <c r="AA52" s="40"/>
      <c r="AB52" s="40"/>
      <c r="AC52" s="40"/>
      <c r="AD52" s="40"/>
      <c r="AE52" s="40"/>
      <c r="AF52" s="40"/>
      <c r="AG52" s="40"/>
      <c r="AH52" s="40"/>
      <c r="AI52" s="40"/>
      <c r="AJ52" s="40"/>
      <c r="AK52" s="40"/>
      <c r="AL52" s="40"/>
      <c r="AM52" s="40"/>
      <c r="AN52" s="40" t="s">
        <v>358</v>
      </c>
      <c r="AO52" s="40" t="s">
        <v>358</v>
      </c>
      <c r="AP52" s="40"/>
      <c r="AQ52" s="40"/>
      <c r="AR52" s="40"/>
      <c r="AS52" s="40"/>
      <c r="AT52" s="40"/>
      <c r="AU52" s="40"/>
      <c r="AV52" s="40"/>
      <c r="AW52" s="40"/>
      <c r="AX52" s="40"/>
      <c r="AY52" s="40"/>
      <c r="AZ52" s="40"/>
      <c r="BA52" s="5"/>
    </row>
    <row r="53" spans="1:53" ht="15" thickBot="1" x14ac:dyDescent="0.4">
      <c r="A53" s="30" t="s">
        <v>359</v>
      </c>
      <c r="B53" s="30" t="s">
        <v>359</v>
      </c>
      <c r="C53" s="30" t="s">
        <v>359</v>
      </c>
      <c r="D53" s="30" t="s">
        <v>359</v>
      </c>
      <c r="E53" s="30" t="s">
        <v>359</v>
      </c>
      <c r="F53" s="30" t="s">
        <v>358</v>
      </c>
      <c r="G53" s="30" t="s">
        <v>358</v>
      </c>
      <c r="H53" s="30" t="s">
        <v>359</v>
      </c>
      <c r="I53" s="30" t="s">
        <v>359</v>
      </c>
      <c r="J53" s="5" t="s">
        <v>416</v>
      </c>
      <c r="K53" s="5" t="s">
        <v>419</v>
      </c>
      <c r="L53" s="5" t="s">
        <v>162</v>
      </c>
      <c r="M53" s="5" t="s">
        <v>403</v>
      </c>
      <c r="N53" s="5" t="s">
        <v>404</v>
      </c>
      <c r="O53" s="5">
        <v>1.609</v>
      </c>
      <c r="P53" s="110"/>
      <c r="Q53" s="110"/>
      <c r="R53" s="404">
        <v>0.27223853422818795</v>
      </c>
      <c r="S53" s="110"/>
      <c r="T53" s="404">
        <v>7.5719999999999996E-2</v>
      </c>
      <c r="U53" s="110"/>
      <c r="V53" s="121">
        <f t="shared" si="0"/>
        <v>0.34795853422818795</v>
      </c>
      <c r="W53" s="40"/>
      <c r="X53" s="40"/>
      <c r="Y53" s="40"/>
      <c r="Z53" s="40"/>
      <c r="AA53" s="40"/>
      <c r="AB53" s="40"/>
      <c r="AC53" s="40"/>
      <c r="AD53" s="40"/>
      <c r="AE53" s="40"/>
      <c r="AF53" s="40"/>
      <c r="AG53" s="40"/>
      <c r="AH53" s="40"/>
      <c r="AI53" s="40"/>
      <c r="AJ53" s="40"/>
      <c r="AK53" s="40"/>
      <c r="AL53" s="40"/>
      <c r="AM53" s="40"/>
      <c r="AN53" s="40" t="s">
        <v>358</v>
      </c>
      <c r="AO53" s="40" t="s">
        <v>358</v>
      </c>
      <c r="AP53" s="40"/>
      <c r="AQ53" s="40"/>
      <c r="AR53" s="40"/>
      <c r="AS53" s="40"/>
      <c r="AT53" s="40"/>
      <c r="AU53" s="40"/>
      <c r="AV53" s="40"/>
      <c r="AW53" s="40"/>
      <c r="AX53" s="40"/>
      <c r="AY53" s="40"/>
      <c r="AZ53" s="40"/>
      <c r="BA53" s="5"/>
    </row>
    <row r="54" spans="1:53" ht="15" thickBot="1" x14ac:dyDescent="0.4">
      <c r="A54" s="30" t="s">
        <v>359</v>
      </c>
      <c r="B54" s="30" t="s">
        <v>359</v>
      </c>
      <c r="C54" s="30" t="s">
        <v>359</v>
      </c>
      <c r="D54" s="30" t="s">
        <v>359</v>
      </c>
      <c r="E54" s="30" t="s">
        <v>359</v>
      </c>
      <c r="F54" s="30" t="s">
        <v>358</v>
      </c>
      <c r="G54" s="30" t="s">
        <v>358</v>
      </c>
      <c r="H54" s="30" t="s">
        <v>359</v>
      </c>
      <c r="I54" s="30" t="s">
        <v>359</v>
      </c>
      <c r="J54" s="5" t="s">
        <v>416</v>
      </c>
      <c r="K54" s="5" t="s">
        <v>161</v>
      </c>
      <c r="L54" s="5" t="s">
        <v>162</v>
      </c>
      <c r="M54" s="5" t="s">
        <v>403</v>
      </c>
      <c r="N54" s="5" t="s">
        <v>404</v>
      </c>
      <c r="O54" s="5">
        <v>1.609</v>
      </c>
      <c r="P54" s="110"/>
      <c r="Q54" s="110"/>
      <c r="R54" s="404">
        <v>0.16390853422818791</v>
      </c>
      <c r="S54" s="110"/>
      <c r="T54" s="404">
        <v>4.5510000000000002E-2</v>
      </c>
      <c r="U54" s="110"/>
      <c r="V54" s="121">
        <f t="shared" si="0"/>
        <v>0.2094185342281879</v>
      </c>
      <c r="W54" s="40"/>
      <c r="X54" s="40"/>
      <c r="Y54" s="40"/>
      <c r="Z54" s="40"/>
      <c r="AA54" s="40"/>
      <c r="AB54" s="40"/>
      <c r="AC54" s="40"/>
      <c r="AD54" s="40"/>
      <c r="AE54" s="40"/>
      <c r="AF54" s="40"/>
      <c r="AG54" s="40"/>
      <c r="AH54" s="40"/>
      <c r="AI54" s="40"/>
      <c r="AJ54" s="40"/>
      <c r="AK54" s="40"/>
      <c r="AL54" s="40"/>
      <c r="AM54" s="40"/>
      <c r="AN54" s="40" t="s">
        <v>358</v>
      </c>
      <c r="AO54" s="40" t="s">
        <v>358</v>
      </c>
      <c r="AP54" s="40"/>
      <c r="AQ54" s="40"/>
      <c r="AR54" s="40"/>
      <c r="AS54" s="40"/>
      <c r="AT54" s="40"/>
      <c r="AU54" s="40"/>
      <c r="AV54" s="40"/>
      <c r="AW54" s="40"/>
      <c r="AX54" s="40"/>
      <c r="AY54" s="40"/>
      <c r="AZ54" s="40"/>
      <c r="BA54" s="5"/>
    </row>
    <row r="55" spans="1:53" ht="15" thickBot="1" x14ac:dyDescent="0.4">
      <c r="A55" s="30" t="s">
        <v>359</v>
      </c>
      <c r="B55" s="30" t="s">
        <v>359</v>
      </c>
      <c r="C55" s="30" t="s">
        <v>359</v>
      </c>
      <c r="D55" s="30" t="s">
        <v>359</v>
      </c>
      <c r="E55" s="30" t="s">
        <v>359</v>
      </c>
      <c r="F55" s="30" t="s">
        <v>358</v>
      </c>
      <c r="G55" s="30" t="s">
        <v>358</v>
      </c>
      <c r="H55" s="30" t="s">
        <v>359</v>
      </c>
      <c r="I55" s="30" t="s">
        <v>359</v>
      </c>
      <c r="J55" s="5" t="s">
        <v>416</v>
      </c>
      <c r="K55" s="5" t="s">
        <v>417</v>
      </c>
      <c r="L55" s="5" t="s">
        <v>413</v>
      </c>
      <c r="M55" s="5" t="s">
        <v>403</v>
      </c>
      <c r="N55" s="5" t="s">
        <v>404</v>
      </c>
      <c r="O55" s="5">
        <v>1.609</v>
      </c>
      <c r="P55" s="110"/>
      <c r="Q55" s="110"/>
      <c r="R55" s="404">
        <v>0.10149885771812081</v>
      </c>
      <c r="S55" s="110"/>
      <c r="T55" s="404">
        <v>2.7029999999999998E-2</v>
      </c>
      <c r="U55" s="110"/>
      <c r="V55" s="121">
        <f t="shared" si="0"/>
        <v>0.12852885771812081</v>
      </c>
      <c r="W55" s="40"/>
      <c r="X55" s="40"/>
      <c r="Y55" s="40"/>
      <c r="Z55" s="40"/>
      <c r="AA55" s="40"/>
      <c r="AB55" s="40"/>
      <c r="AC55" s="40"/>
      <c r="AD55" s="40"/>
      <c r="AE55" s="40"/>
      <c r="AF55" s="40"/>
      <c r="AG55" s="40"/>
      <c r="AH55" s="40"/>
      <c r="AI55" s="40"/>
      <c r="AJ55" s="40"/>
      <c r="AK55" s="40"/>
      <c r="AL55" s="40"/>
      <c r="AM55" s="40"/>
      <c r="AN55" s="40" t="s">
        <v>358</v>
      </c>
      <c r="AO55" s="40" t="s">
        <v>358</v>
      </c>
      <c r="AP55" s="40"/>
      <c r="AQ55" s="40"/>
      <c r="AR55" s="40"/>
      <c r="AS55" s="40"/>
      <c r="AT55" s="40"/>
      <c r="AU55" s="40"/>
      <c r="AV55" s="40"/>
      <c r="AW55" s="40"/>
      <c r="AX55" s="40"/>
      <c r="AY55" s="40"/>
      <c r="AZ55" s="40"/>
      <c r="BA55" s="5"/>
    </row>
    <row r="56" spans="1:53" ht="15" thickBot="1" x14ac:dyDescent="0.4">
      <c r="A56" s="30" t="s">
        <v>359</v>
      </c>
      <c r="B56" s="30" t="s">
        <v>359</v>
      </c>
      <c r="C56" s="30" t="s">
        <v>359</v>
      </c>
      <c r="D56" s="30" t="s">
        <v>359</v>
      </c>
      <c r="E56" s="30" t="s">
        <v>359</v>
      </c>
      <c r="F56" s="30" t="s">
        <v>358</v>
      </c>
      <c r="G56" s="30" t="s">
        <v>358</v>
      </c>
      <c r="H56" s="30" t="s">
        <v>359</v>
      </c>
      <c r="I56" s="30" t="s">
        <v>359</v>
      </c>
      <c r="J56" s="5" t="s">
        <v>416</v>
      </c>
      <c r="K56" s="5" t="s">
        <v>418</v>
      </c>
      <c r="L56" s="5" t="s">
        <v>413</v>
      </c>
      <c r="M56" s="5" t="s">
        <v>403</v>
      </c>
      <c r="N56" s="5" t="s">
        <v>404</v>
      </c>
      <c r="O56" s="5">
        <v>1.609</v>
      </c>
      <c r="P56" s="110"/>
      <c r="Q56" s="110"/>
      <c r="R56" s="404">
        <v>0.10903843624161073</v>
      </c>
      <c r="S56" s="110"/>
      <c r="T56" s="404">
        <v>2.8309999999999998E-2</v>
      </c>
      <c r="U56" s="110"/>
      <c r="V56" s="121">
        <f t="shared" si="0"/>
        <v>0.13734843624161072</v>
      </c>
      <c r="W56" s="40"/>
      <c r="X56" s="40"/>
      <c r="Y56" s="40"/>
      <c r="Z56" s="40"/>
      <c r="AA56" s="40"/>
      <c r="AB56" s="40"/>
      <c r="AC56" s="40"/>
      <c r="AD56" s="40"/>
      <c r="AE56" s="40"/>
      <c r="AF56" s="40"/>
      <c r="AG56" s="40"/>
      <c r="AH56" s="40"/>
      <c r="AI56" s="40"/>
      <c r="AJ56" s="40"/>
      <c r="AK56" s="40"/>
      <c r="AL56" s="40"/>
      <c r="AM56" s="40"/>
      <c r="AN56" s="40" t="s">
        <v>358</v>
      </c>
      <c r="AO56" s="40" t="s">
        <v>358</v>
      </c>
      <c r="AP56" s="40"/>
      <c r="AQ56" s="40"/>
      <c r="AR56" s="40"/>
      <c r="AS56" s="40"/>
      <c r="AT56" s="40"/>
      <c r="AU56" s="40"/>
      <c r="AV56" s="40"/>
      <c r="AW56" s="40"/>
      <c r="AX56" s="40"/>
      <c r="AY56" s="40"/>
      <c r="AZ56" s="40"/>
      <c r="BA56" s="5"/>
    </row>
    <row r="57" spans="1:53" ht="15" thickBot="1" x14ac:dyDescent="0.4">
      <c r="A57" s="30" t="s">
        <v>359</v>
      </c>
      <c r="B57" s="30" t="s">
        <v>359</v>
      </c>
      <c r="C57" s="30" t="s">
        <v>359</v>
      </c>
      <c r="D57" s="30" t="s">
        <v>359</v>
      </c>
      <c r="E57" s="30" t="s">
        <v>359</v>
      </c>
      <c r="F57" s="30" t="s">
        <v>358</v>
      </c>
      <c r="G57" s="30" t="s">
        <v>358</v>
      </c>
      <c r="H57" s="30" t="s">
        <v>359</v>
      </c>
      <c r="I57" s="30" t="s">
        <v>359</v>
      </c>
      <c r="J57" s="5" t="s">
        <v>416</v>
      </c>
      <c r="K57" s="5" t="s">
        <v>419</v>
      </c>
      <c r="L57" s="5" t="s">
        <v>413</v>
      </c>
      <c r="M57" s="5" t="s">
        <v>403</v>
      </c>
      <c r="N57" s="5" t="s">
        <v>404</v>
      </c>
      <c r="O57" s="5">
        <v>1.609</v>
      </c>
      <c r="P57" s="110"/>
      <c r="Q57" s="110"/>
      <c r="R57" s="404">
        <v>0.15243580000000001</v>
      </c>
      <c r="S57" s="110"/>
      <c r="T57" s="404">
        <v>3.884E-2</v>
      </c>
      <c r="U57" s="110"/>
      <c r="V57" s="121">
        <f t="shared" si="0"/>
        <v>0.1912758</v>
      </c>
      <c r="W57" s="40"/>
      <c r="X57" s="40"/>
      <c r="Y57" s="40"/>
      <c r="Z57" s="40"/>
      <c r="AA57" s="40"/>
      <c r="AB57" s="40"/>
      <c r="AC57" s="40"/>
      <c r="AD57" s="40"/>
      <c r="AE57" s="40"/>
      <c r="AF57" s="40"/>
      <c r="AG57" s="40"/>
      <c r="AH57" s="40"/>
      <c r="AI57" s="40"/>
      <c r="AJ57" s="40"/>
      <c r="AK57" s="40"/>
      <c r="AL57" s="40"/>
      <c r="AM57" s="40"/>
      <c r="AN57" s="40" t="s">
        <v>358</v>
      </c>
      <c r="AO57" s="40" t="s">
        <v>358</v>
      </c>
      <c r="AP57" s="40"/>
      <c r="AQ57" s="40"/>
      <c r="AR57" s="40"/>
      <c r="AS57" s="40"/>
      <c r="AT57" s="40"/>
      <c r="AU57" s="40"/>
      <c r="AV57" s="40"/>
      <c r="AW57" s="40"/>
      <c r="AX57" s="40"/>
      <c r="AY57" s="40"/>
      <c r="AZ57" s="40"/>
      <c r="BA57" s="5"/>
    </row>
    <row r="58" spans="1:53" ht="15" thickBot="1" x14ac:dyDescent="0.4">
      <c r="A58" s="30" t="s">
        <v>359</v>
      </c>
      <c r="B58" s="30" t="s">
        <v>359</v>
      </c>
      <c r="C58" s="30" t="s">
        <v>359</v>
      </c>
      <c r="D58" s="30" t="s">
        <v>359</v>
      </c>
      <c r="E58" s="30" t="s">
        <v>359</v>
      </c>
      <c r="F58" s="30" t="s">
        <v>358</v>
      </c>
      <c r="G58" s="30" t="s">
        <v>358</v>
      </c>
      <c r="H58" s="30" t="s">
        <v>359</v>
      </c>
      <c r="I58" s="30" t="s">
        <v>359</v>
      </c>
      <c r="J58" s="5" t="s">
        <v>416</v>
      </c>
      <c r="K58" s="5" t="s">
        <v>161</v>
      </c>
      <c r="L58" s="5" t="s">
        <v>413</v>
      </c>
      <c r="M58" s="5" t="s">
        <v>403</v>
      </c>
      <c r="N58" s="5" t="s">
        <v>404</v>
      </c>
      <c r="O58" s="5">
        <v>1.609</v>
      </c>
      <c r="P58" s="110"/>
      <c r="Q58" s="110"/>
      <c r="R58" s="404">
        <v>0.11897858791946307</v>
      </c>
      <c r="S58" s="110"/>
      <c r="T58" s="404">
        <v>3.109E-2</v>
      </c>
      <c r="U58" s="110"/>
      <c r="V58" s="121">
        <f t="shared" si="0"/>
        <v>0.15006858791946306</v>
      </c>
      <c r="W58" s="40"/>
      <c r="X58" s="40"/>
      <c r="Y58" s="40"/>
      <c r="Z58" s="40"/>
      <c r="AA58" s="40"/>
      <c r="AB58" s="40"/>
      <c r="AC58" s="40"/>
      <c r="AD58" s="40"/>
      <c r="AE58" s="40"/>
      <c r="AF58" s="40"/>
      <c r="AG58" s="40"/>
      <c r="AH58" s="40"/>
      <c r="AI58" s="40"/>
      <c r="AJ58" s="40"/>
      <c r="AK58" s="40"/>
      <c r="AL58" s="40"/>
      <c r="AM58" s="40"/>
      <c r="AN58" s="40" t="s">
        <v>358</v>
      </c>
      <c r="AO58" s="40" t="s">
        <v>358</v>
      </c>
      <c r="AP58" s="40"/>
      <c r="AQ58" s="40"/>
      <c r="AR58" s="40"/>
      <c r="AS58" s="40"/>
      <c r="AT58" s="40"/>
      <c r="AU58" s="40"/>
      <c r="AV58" s="40"/>
      <c r="AW58" s="40"/>
      <c r="AX58" s="40"/>
      <c r="AY58" s="40"/>
      <c r="AZ58" s="40"/>
      <c r="BA58" s="5"/>
    </row>
    <row r="59" spans="1:53" ht="26.5" thickBot="1" x14ac:dyDescent="0.4">
      <c r="A59" s="30" t="s">
        <v>359</v>
      </c>
      <c r="B59" s="30" t="s">
        <v>359</v>
      </c>
      <c r="C59" s="30" t="s">
        <v>359</v>
      </c>
      <c r="D59" s="30" t="s">
        <v>359</v>
      </c>
      <c r="E59" s="30" t="s">
        <v>359</v>
      </c>
      <c r="F59" s="30" t="s">
        <v>358</v>
      </c>
      <c r="G59" s="30" t="s">
        <v>358</v>
      </c>
      <c r="H59" s="30" t="s">
        <v>359</v>
      </c>
      <c r="I59" s="30" t="s">
        <v>359</v>
      </c>
      <c r="J59" s="5" t="s">
        <v>416</v>
      </c>
      <c r="K59" s="5" t="s">
        <v>417</v>
      </c>
      <c r="L59" s="5" t="s">
        <v>414</v>
      </c>
      <c r="M59" s="5" t="s">
        <v>403</v>
      </c>
      <c r="N59" s="5" t="s">
        <v>404</v>
      </c>
      <c r="O59" s="5">
        <v>1.609</v>
      </c>
      <c r="P59" s="110"/>
      <c r="Q59" s="110"/>
      <c r="R59" s="404">
        <v>5.1441700671140941E-2</v>
      </c>
      <c r="S59" s="404">
        <v>2.5789852348993289E-3</v>
      </c>
      <c r="T59" s="404">
        <v>1.3169999999999999E-2</v>
      </c>
      <c r="U59" s="110"/>
      <c r="V59" s="121">
        <f t="shared" si="0"/>
        <v>6.7190685906040271E-2</v>
      </c>
      <c r="W59" s="40"/>
      <c r="X59" s="40"/>
      <c r="Y59" s="40"/>
      <c r="Z59" s="40"/>
      <c r="AA59" s="40"/>
      <c r="AB59" s="40"/>
      <c r="AC59" s="40"/>
      <c r="AD59" s="40"/>
      <c r="AE59" s="40"/>
      <c r="AF59" s="40"/>
      <c r="AG59" s="40"/>
      <c r="AH59" s="40"/>
      <c r="AI59" s="40"/>
      <c r="AJ59" s="40"/>
      <c r="AK59" s="40"/>
      <c r="AL59" s="40"/>
      <c r="AM59" s="40"/>
      <c r="AN59" s="40" t="s">
        <v>358</v>
      </c>
      <c r="AO59" s="40" t="s">
        <v>358</v>
      </c>
      <c r="AP59" s="40"/>
      <c r="AQ59" s="40"/>
      <c r="AR59" s="40"/>
      <c r="AS59" s="40"/>
      <c r="AT59" s="40"/>
      <c r="AU59" s="40"/>
      <c r="AV59" s="40"/>
      <c r="AW59" s="40"/>
      <c r="AX59" s="40"/>
      <c r="AY59" s="40"/>
      <c r="AZ59" s="40"/>
      <c r="BA59" s="5"/>
    </row>
    <row r="60" spans="1:53" ht="26.5" thickBot="1" x14ac:dyDescent="0.4">
      <c r="A60" s="30" t="s">
        <v>359</v>
      </c>
      <c r="B60" s="30" t="s">
        <v>359</v>
      </c>
      <c r="C60" s="30" t="s">
        <v>359</v>
      </c>
      <c r="D60" s="30" t="s">
        <v>359</v>
      </c>
      <c r="E60" s="30" t="s">
        <v>359</v>
      </c>
      <c r="F60" s="30" t="s">
        <v>358</v>
      </c>
      <c r="G60" s="30" t="s">
        <v>358</v>
      </c>
      <c r="H60" s="30" t="s">
        <v>359</v>
      </c>
      <c r="I60" s="30" t="s">
        <v>359</v>
      </c>
      <c r="J60" s="5" t="s">
        <v>416</v>
      </c>
      <c r="K60" s="5" t="s">
        <v>418</v>
      </c>
      <c r="L60" s="5" t="s">
        <v>414</v>
      </c>
      <c r="M60" s="5" t="s">
        <v>403</v>
      </c>
      <c r="N60" s="5" t="s">
        <v>404</v>
      </c>
      <c r="O60" s="5">
        <v>1.609</v>
      </c>
      <c r="P60" s="110"/>
      <c r="Q60" s="110"/>
      <c r="R60" s="404">
        <v>8.3126041610738249E-2</v>
      </c>
      <c r="S60" s="404">
        <v>1.8800926174496646E-3</v>
      </c>
      <c r="T60" s="404">
        <v>2.2200000000000001E-2</v>
      </c>
      <c r="U60" s="110"/>
      <c r="V60" s="121">
        <f t="shared" si="0"/>
        <v>0.10720613422818791</v>
      </c>
      <c r="W60" s="40"/>
      <c r="X60" s="40"/>
      <c r="Y60" s="40"/>
      <c r="Z60" s="40"/>
      <c r="AA60" s="40"/>
      <c r="AB60" s="40"/>
      <c r="AC60" s="40"/>
      <c r="AD60" s="40"/>
      <c r="AE60" s="40"/>
      <c r="AF60" s="40"/>
      <c r="AG60" s="40"/>
      <c r="AH60" s="40"/>
      <c r="AI60" s="40"/>
      <c r="AJ60" s="40"/>
      <c r="AK60" s="40"/>
      <c r="AL60" s="40"/>
      <c r="AM60" s="40"/>
      <c r="AN60" s="40" t="s">
        <v>358</v>
      </c>
      <c r="AO60" s="40" t="s">
        <v>358</v>
      </c>
      <c r="AP60" s="40"/>
      <c r="AQ60" s="40"/>
      <c r="AR60" s="40"/>
      <c r="AS60" s="40"/>
      <c r="AT60" s="40"/>
      <c r="AU60" s="40"/>
      <c r="AV60" s="40"/>
      <c r="AW60" s="40"/>
      <c r="AX60" s="40"/>
      <c r="AY60" s="40"/>
      <c r="AZ60" s="40"/>
      <c r="BA60" s="5"/>
    </row>
    <row r="61" spans="1:53" ht="26.5" thickBot="1" x14ac:dyDescent="0.4">
      <c r="A61" s="30" t="s">
        <v>359</v>
      </c>
      <c r="B61" s="30" t="s">
        <v>359</v>
      </c>
      <c r="C61" s="30" t="s">
        <v>359</v>
      </c>
      <c r="D61" s="30" t="s">
        <v>359</v>
      </c>
      <c r="E61" s="30" t="s">
        <v>359</v>
      </c>
      <c r="F61" s="30" t="s">
        <v>358</v>
      </c>
      <c r="G61" s="30" t="s">
        <v>358</v>
      </c>
      <c r="H61" s="30" t="s">
        <v>359</v>
      </c>
      <c r="I61" s="30" t="s">
        <v>359</v>
      </c>
      <c r="J61" s="5" t="s">
        <v>416</v>
      </c>
      <c r="K61" s="5" t="s">
        <v>419</v>
      </c>
      <c r="L61" s="5" t="s">
        <v>414</v>
      </c>
      <c r="M61" s="5" t="s">
        <v>403</v>
      </c>
      <c r="N61" s="5" t="s">
        <v>404</v>
      </c>
      <c r="O61" s="5">
        <v>1.609</v>
      </c>
      <c r="P61" s="110"/>
      <c r="Q61" s="110"/>
      <c r="R61" s="404">
        <v>9.9155489932885907E-2</v>
      </c>
      <c r="S61" s="404">
        <v>2.4500926174496639E-3</v>
      </c>
      <c r="T61" s="404">
        <v>2.6349999999999998E-2</v>
      </c>
      <c r="U61" s="110"/>
      <c r="V61" s="121">
        <f t="shared" si="0"/>
        <v>0.12795558255033557</v>
      </c>
      <c r="W61" s="40"/>
      <c r="X61" s="40"/>
      <c r="Y61" s="40"/>
      <c r="Z61" s="40"/>
      <c r="AA61" s="40"/>
      <c r="AB61" s="40"/>
      <c r="AC61" s="40"/>
      <c r="AD61" s="40"/>
      <c r="AE61" s="40"/>
      <c r="AF61" s="40"/>
      <c r="AG61" s="40"/>
      <c r="AH61" s="40"/>
      <c r="AI61" s="40"/>
      <c r="AJ61" s="40"/>
      <c r="AK61" s="40"/>
      <c r="AL61" s="40"/>
      <c r="AM61" s="40"/>
      <c r="AN61" s="40" t="s">
        <v>358</v>
      </c>
      <c r="AO61" s="40" t="s">
        <v>358</v>
      </c>
      <c r="AP61" s="40"/>
      <c r="AQ61" s="40"/>
      <c r="AR61" s="40"/>
      <c r="AS61" s="40"/>
      <c r="AT61" s="40"/>
      <c r="AU61" s="40"/>
      <c r="AV61" s="40"/>
      <c r="AW61" s="40"/>
      <c r="AX61" s="40"/>
      <c r="AY61" s="40"/>
      <c r="AZ61" s="40"/>
      <c r="BA61" s="5"/>
    </row>
    <row r="62" spans="1:53" ht="26.5" thickBot="1" x14ac:dyDescent="0.4">
      <c r="A62" s="30" t="s">
        <v>359</v>
      </c>
      <c r="B62" s="30" t="s">
        <v>359</v>
      </c>
      <c r="C62" s="30" t="s">
        <v>359</v>
      </c>
      <c r="D62" s="30" t="s">
        <v>359</v>
      </c>
      <c r="E62" s="30" t="s">
        <v>359</v>
      </c>
      <c r="F62" s="30" t="s">
        <v>358</v>
      </c>
      <c r="G62" s="30" t="s">
        <v>358</v>
      </c>
      <c r="H62" s="30" t="s">
        <v>359</v>
      </c>
      <c r="I62" s="30" t="s">
        <v>359</v>
      </c>
      <c r="J62" s="5" t="s">
        <v>416</v>
      </c>
      <c r="K62" s="5" t="s">
        <v>161</v>
      </c>
      <c r="L62" s="5" t="s">
        <v>414</v>
      </c>
      <c r="M62" s="5" t="s">
        <v>403</v>
      </c>
      <c r="N62" s="5" t="s">
        <v>404</v>
      </c>
      <c r="O62" s="5">
        <v>1.609</v>
      </c>
      <c r="P62" s="110"/>
      <c r="Q62" s="110"/>
      <c r="R62" s="404">
        <v>9.1676319463087255E-2</v>
      </c>
      <c r="S62" s="404">
        <v>2.2300926174496642E-3</v>
      </c>
      <c r="T62" s="404">
        <v>2.4400000000000002E-2</v>
      </c>
      <c r="U62" s="110"/>
      <c r="V62" s="121">
        <f t="shared" si="0"/>
        <v>0.11830641208053692</v>
      </c>
      <c r="W62" s="40"/>
      <c r="X62" s="40"/>
      <c r="Y62" s="40"/>
      <c r="Z62" s="40"/>
      <c r="AA62" s="40"/>
      <c r="AB62" s="40"/>
      <c r="AC62" s="40"/>
      <c r="AD62" s="40"/>
      <c r="AE62" s="40"/>
      <c r="AF62" s="40"/>
      <c r="AG62" s="40"/>
      <c r="AH62" s="40"/>
      <c r="AI62" s="40"/>
      <c r="AJ62" s="40"/>
      <c r="AK62" s="40"/>
      <c r="AL62" s="40"/>
      <c r="AM62" s="40"/>
      <c r="AN62" s="40" t="s">
        <v>358</v>
      </c>
      <c r="AO62" s="40" t="s">
        <v>358</v>
      </c>
      <c r="AP62" s="40"/>
      <c r="AQ62" s="40"/>
      <c r="AR62" s="40"/>
      <c r="AS62" s="40"/>
      <c r="AT62" s="40"/>
      <c r="AU62" s="40"/>
      <c r="AV62" s="40"/>
      <c r="AW62" s="40"/>
      <c r="AX62" s="40"/>
      <c r="AY62" s="40"/>
      <c r="AZ62" s="40"/>
      <c r="BA62" s="5"/>
    </row>
    <row r="63" spans="1:53" ht="26.5" thickBot="1" x14ac:dyDescent="0.4">
      <c r="A63" s="30" t="s">
        <v>359</v>
      </c>
      <c r="B63" s="30" t="s">
        <v>359</v>
      </c>
      <c r="C63" s="30" t="s">
        <v>359</v>
      </c>
      <c r="D63" s="30" t="s">
        <v>359</v>
      </c>
      <c r="E63" s="30" t="s">
        <v>359</v>
      </c>
      <c r="F63" s="30" t="s">
        <v>358</v>
      </c>
      <c r="G63" s="30" t="s">
        <v>358</v>
      </c>
      <c r="H63" s="30" t="s">
        <v>359</v>
      </c>
      <c r="I63" s="30" t="s">
        <v>359</v>
      </c>
      <c r="J63" s="5" t="s">
        <v>416</v>
      </c>
      <c r="K63" s="5" t="s">
        <v>417</v>
      </c>
      <c r="L63" s="5" t="s">
        <v>405</v>
      </c>
      <c r="M63" s="5" t="s">
        <v>403</v>
      </c>
      <c r="N63" s="5" t="s">
        <v>404</v>
      </c>
      <c r="O63" s="5">
        <v>1.609</v>
      </c>
      <c r="P63" s="110"/>
      <c r="Q63" s="110"/>
      <c r="R63" s="404">
        <v>4.4399300671140937E-2</v>
      </c>
      <c r="S63" s="404">
        <v>3.8289852348993287E-3</v>
      </c>
      <c r="T63" s="404">
        <v>1.0699999999999999E-2</v>
      </c>
      <c r="U63" s="110"/>
      <c r="V63" s="121">
        <f t="shared" si="0"/>
        <v>5.8928285906040268E-2</v>
      </c>
      <c r="W63" s="40"/>
      <c r="X63" s="40"/>
      <c r="Y63" s="40"/>
      <c r="Z63" s="40"/>
      <c r="AA63" s="40"/>
      <c r="AB63" s="40"/>
      <c r="AC63" s="40"/>
      <c r="AD63" s="40"/>
      <c r="AE63" s="40"/>
      <c r="AF63" s="40"/>
      <c r="AG63" s="40"/>
      <c r="AH63" s="40"/>
      <c r="AI63" s="40"/>
      <c r="AJ63" s="40"/>
      <c r="AK63" s="40"/>
      <c r="AL63" s="40"/>
      <c r="AM63" s="40"/>
      <c r="AN63" s="40" t="s">
        <v>358</v>
      </c>
      <c r="AO63" s="40" t="s">
        <v>358</v>
      </c>
      <c r="AP63" s="40"/>
      <c r="AQ63" s="40"/>
      <c r="AR63" s="40"/>
      <c r="AS63" s="40"/>
      <c r="AT63" s="40"/>
      <c r="AU63" s="40"/>
      <c r="AV63" s="40"/>
      <c r="AW63" s="40"/>
      <c r="AX63" s="40"/>
      <c r="AY63" s="40"/>
      <c r="AZ63" s="40"/>
      <c r="BA63" s="5"/>
    </row>
    <row r="64" spans="1:53" ht="26.5" thickBot="1" x14ac:dyDescent="0.4">
      <c r="A64" s="30" t="s">
        <v>359</v>
      </c>
      <c r="B64" s="30" t="s">
        <v>359</v>
      </c>
      <c r="C64" s="30" t="s">
        <v>359</v>
      </c>
      <c r="D64" s="30" t="s">
        <v>359</v>
      </c>
      <c r="E64" s="30" t="s">
        <v>359</v>
      </c>
      <c r="F64" s="30" t="s">
        <v>358</v>
      </c>
      <c r="G64" s="30" t="s">
        <v>358</v>
      </c>
      <c r="H64" s="30" t="s">
        <v>359</v>
      </c>
      <c r="I64" s="30" t="s">
        <v>359</v>
      </c>
      <c r="J64" s="5" t="s">
        <v>416</v>
      </c>
      <c r="K64" s="5" t="s">
        <v>418</v>
      </c>
      <c r="L64" s="5" t="s">
        <v>405</v>
      </c>
      <c r="M64" s="5" t="s">
        <v>403</v>
      </c>
      <c r="N64" s="5" t="s">
        <v>404</v>
      </c>
      <c r="O64" s="5">
        <v>1.609</v>
      </c>
      <c r="P64" s="110"/>
      <c r="Q64" s="110"/>
      <c r="R64" s="404">
        <v>4.8457271140939603E-2</v>
      </c>
      <c r="S64" s="404">
        <v>4.1990778523489933E-3</v>
      </c>
      <c r="T64" s="404">
        <v>1.167E-2</v>
      </c>
      <c r="U64" s="110"/>
      <c r="V64" s="121">
        <f t="shared" si="0"/>
        <v>6.4326348993288596E-2</v>
      </c>
      <c r="W64" s="40"/>
      <c r="X64" s="40"/>
      <c r="Y64" s="40"/>
      <c r="Z64" s="40"/>
      <c r="AA64" s="40"/>
      <c r="AB64" s="40"/>
      <c r="AC64" s="40"/>
      <c r="AD64" s="40"/>
      <c r="AE64" s="40"/>
      <c r="AF64" s="40"/>
      <c r="AG64" s="40"/>
      <c r="AH64" s="40"/>
      <c r="AI64" s="40"/>
      <c r="AJ64" s="40"/>
      <c r="AK64" s="40"/>
      <c r="AL64" s="40"/>
      <c r="AM64" s="40"/>
      <c r="AN64" s="40" t="s">
        <v>358</v>
      </c>
      <c r="AO64" s="40" t="s">
        <v>358</v>
      </c>
      <c r="AP64" s="40"/>
      <c r="AQ64" s="40"/>
      <c r="AR64" s="40"/>
      <c r="AS64" s="40"/>
      <c r="AT64" s="40"/>
      <c r="AU64" s="40"/>
      <c r="AV64" s="40"/>
      <c r="AW64" s="40"/>
      <c r="AX64" s="40"/>
      <c r="AY64" s="40"/>
      <c r="AZ64" s="40"/>
      <c r="BA64" s="5"/>
    </row>
    <row r="65" spans="1:53" ht="26.5" thickBot="1" x14ac:dyDescent="0.4">
      <c r="A65" s="30" t="s">
        <v>359</v>
      </c>
      <c r="B65" s="30" t="s">
        <v>359</v>
      </c>
      <c r="C65" s="30" t="s">
        <v>359</v>
      </c>
      <c r="D65" s="30" t="s">
        <v>359</v>
      </c>
      <c r="E65" s="30" t="s">
        <v>359</v>
      </c>
      <c r="F65" s="30" t="s">
        <v>358</v>
      </c>
      <c r="G65" s="30" t="s">
        <v>358</v>
      </c>
      <c r="H65" s="30" t="s">
        <v>359</v>
      </c>
      <c r="I65" s="30" t="s">
        <v>359</v>
      </c>
      <c r="J65" s="5" t="s">
        <v>416</v>
      </c>
      <c r="K65" s="5" t="s">
        <v>419</v>
      </c>
      <c r="L65" s="5" t="s">
        <v>405</v>
      </c>
      <c r="M65" s="5" t="s">
        <v>403</v>
      </c>
      <c r="N65" s="5" t="s">
        <v>404</v>
      </c>
      <c r="O65" s="5">
        <v>1.609</v>
      </c>
      <c r="P65" s="110"/>
      <c r="Q65" s="110"/>
      <c r="R65" s="404">
        <v>5.3355334228187917E-2</v>
      </c>
      <c r="S65" s="404">
        <v>4.6190778523489935E-3</v>
      </c>
      <c r="T65" s="404">
        <v>1.285E-2</v>
      </c>
      <c r="U65" s="110"/>
      <c r="V65" s="121">
        <f t="shared" si="0"/>
        <v>7.0824412080536914E-2</v>
      </c>
      <c r="W65" s="40"/>
      <c r="X65" s="40"/>
      <c r="Y65" s="40"/>
      <c r="Z65" s="40"/>
      <c r="AA65" s="40"/>
      <c r="AB65" s="40"/>
      <c r="AC65" s="40"/>
      <c r="AD65" s="40"/>
      <c r="AE65" s="40"/>
      <c r="AF65" s="40"/>
      <c r="AG65" s="40"/>
      <c r="AH65" s="40"/>
      <c r="AI65" s="40"/>
      <c r="AJ65" s="40"/>
      <c r="AK65" s="40"/>
      <c r="AL65" s="40"/>
      <c r="AM65" s="40"/>
      <c r="AN65" s="40" t="s">
        <v>358</v>
      </c>
      <c r="AO65" s="40" t="s">
        <v>358</v>
      </c>
      <c r="AP65" s="40"/>
      <c r="AQ65" s="40"/>
      <c r="AR65" s="40"/>
      <c r="AS65" s="40"/>
      <c r="AT65" s="40"/>
      <c r="AU65" s="40"/>
      <c r="AV65" s="40"/>
      <c r="AW65" s="40"/>
      <c r="AX65" s="40"/>
      <c r="AY65" s="40"/>
      <c r="AZ65" s="40"/>
      <c r="BA65" s="5"/>
    </row>
    <row r="66" spans="1:53" ht="26.5" thickBot="1" x14ac:dyDescent="0.4">
      <c r="A66" s="30" t="s">
        <v>359</v>
      </c>
      <c r="B66" s="30" t="s">
        <v>359</v>
      </c>
      <c r="C66" s="30" t="s">
        <v>359</v>
      </c>
      <c r="D66" s="30" t="s">
        <v>359</v>
      </c>
      <c r="E66" s="30" t="s">
        <v>359</v>
      </c>
      <c r="F66" s="30" t="s">
        <v>358</v>
      </c>
      <c r="G66" s="30" t="s">
        <v>358</v>
      </c>
      <c r="H66" s="30" t="s">
        <v>359</v>
      </c>
      <c r="I66" s="30" t="s">
        <v>359</v>
      </c>
      <c r="J66" s="5" t="s">
        <v>416</v>
      </c>
      <c r="K66" s="5" t="s">
        <v>161</v>
      </c>
      <c r="L66" s="5" t="s">
        <v>405</v>
      </c>
      <c r="M66" s="5" t="s">
        <v>403</v>
      </c>
      <c r="N66" s="5" t="s">
        <v>404</v>
      </c>
      <c r="O66" s="5">
        <v>1.609</v>
      </c>
      <c r="P66" s="110"/>
      <c r="Q66" s="110"/>
      <c r="R66" s="404">
        <v>5.0427363758389264E-2</v>
      </c>
      <c r="S66" s="404">
        <v>4.3690778523489933E-3</v>
      </c>
      <c r="T66" s="404">
        <v>1.2149999999999999E-2</v>
      </c>
      <c r="U66" s="110"/>
      <c r="V66" s="121">
        <f t="shared" si="0"/>
        <v>6.6946441610738261E-2</v>
      </c>
      <c r="W66" s="40"/>
      <c r="X66" s="40"/>
      <c r="Y66" s="40"/>
      <c r="Z66" s="40"/>
      <c r="AA66" s="40"/>
      <c r="AB66" s="40"/>
      <c r="AC66" s="40"/>
      <c r="AD66" s="40"/>
      <c r="AE66" s="40"/>
      <c r="AF66" s="40"/>
      <c r="AG66" s="40"/>
      <c r="AH66" s="40"/>
      <c r="AI66" s="40"/>
      <c r="AJ66" s="40"/>
      <c r="AK66" s="40"/>
      <c r="AL66" s="40"/>
      <c r="AM66" s="40"/>
      <c r="AN66" s="40" t="s">
        <v>358</v>
      </c>
      <c r="AO66" s="40" t="s">
        <v>358</v>
      </c>
      <c r="AP66" s="40"/>
      <c r="AQ66" s="40"/>
      <c r="AR66" s="40"/>
      <c r="AS66" s="40"/>
      <c r="AT66" s="40"/>
      <c r="AU66" s="40"/>
      <c r="AV66" s="40"/>
      <c r="AW66" s="40"/>
      <c r="AX66" s="40"/>
      <c r="AY66" s="40"/>
      <c r="AZ66" s="40"/>
      <c r="BA66" s="5"/>
    </row>
    <row r="67" spans="1:53" ht="15" thickBot="1" x14ac:dyDescent="0.4">
      <c r="A67" s="30" t="s">
        <v>359</v>
      </c>
      <c r="B67" s="30" t="s">
        <v>359</v>
      </c>
      <c r="C67" s="30" t="s">
        <v>359</v>
      </c>
      <c r="D67" s="30" t="s">
        <v>359</v>
      </c>
      <c r="E67" s="30" t="s">
        <v>359</v>
      </c>
      <c r="F67" s="30" t="s">
        <v>358</v>
      </c>
      <c r="G67" s="30" t="s">
        <v>358</v>
      </c>
      <c r="H67" s="30" t="s">
        <v>359</v>
      </c>
      <c r="I67" s="30" t="s">
        <v>359</v>
      </c>
      <c r="J67" s="5" t="s">
        <v>416</v>
      </c>
      <c r="K67" s="5" t="s">
        <v>417</v>
      </c>
      <c r="L67" s="5" t="s">
        <v>415</v>
      </c>
      <c r="M67" s="5" t="s">
        <v>403</v>
      </c>
      <c r="N67" s="5" t="s">
        <v>404</v>
      </c>
      <c r="O67" s="5">
        <v>1.609</v>
      </c>
      <c r="P67" s="110"/>
      <c r="Q67" s="110"/>
      <c r="R67" s="404">
        <v>0.1403688577181208</v>
      </c>
      <c r="S67" s="110"/>
      <c r="T67" s="404">
        <v>3.7490000000000002E-2</v>
      </c>
      <c r="U67" s="110"/>
      <c r="V67" s="121">
        <f t="shared" si="0"/>
        <v>0.17785885771812079</v>
      </c>
      <c r="W67" s="40"/>
      <c r="X67" s="40"/>
      <c r="Y67" s="40"/>
      <c r="Z67" s="40"/>
      <c r="AA67" s="40"/>
      <c r="AB67" s="40"/>
      <c r="AC67" s="40"/>
      <c r="AD67" s="40"/>
      <c r="AE67" s="40"/>
      <c r="AF67" s="40"/>
      <c r="AG67" s="40"/>
      <c r="AH67" s="40"/>
      <c r="AI67" s="40"/>
      <c r="AJ67" s="40"/>
      <c r="AK67" s="40"/>
      <c r="AL67" s="40"/>
      <c r="AM67" s="40"/>
      <c r="AN67" s="40" t="s">
        <v>358</v>
      </c>
      <c r="AO67" s="40" t="s">
        <v>358</v>
      </c>
      <c r="AP67" s="40"/>
      <c r="AQ67" s="40"/>
      <c r="AR67" s="40"/>
      <c r="AS67" s="40"/>
      <c r="AT67" s="40"/>
      <c r="AU67" s="40"/>
      <c r="AV67" s="40"/>
      <c r="AW67" s="40"/>
      <c r="AX67" s="40"/>
      <c r="AY67" s="40"/>
      <c r="AZ67" s="40"/>
      <c r="BA67" s="5"/>
    </row>
    <row r="68" spans="1:53" ht="15" thickBot="1" x14ac:dyDescent="0.4">
      <c r="A68" s="30" t="s">
        <v>359</v>
      </c>
      <c r="B68" s="30" t="s">
        <v>359</v>
      </c>
      <c r="C68" s="30" t="s">
        <v>359</v>
      </c>
      <c r="D68" s="30" t="s">
        <v>359</v>
      </c>
      <c r="E68" s="30" t="s">
        <v>359</v>
      </c>
      <c r="F68" s="30" t="s">
        <v>358</v>
      </c>
      <c r="G68" s="30" t="s">
        <v>358</v>
      </c>
      <c r="H68" s="30" t="s">
        <v>359</v>
      </c>
      <c r="I68" s="30" t="s">
        <v>359</v>
      </c>
      <c r="J68" s="5" t="s">
        <v>416</v>
      </c>
      <c r="K68" s="5" t="s">
        <v>418</v>
      </c>
      <c r="L68" s="5" t="s">
        <v>415</v>
      </c>
      <c r="M68" s="5" t="s">
        <v>403</v>
      </c>
      <c r="N68" s="5" t="s">
        <v>404</v>
      </c>
      <c r="O68" s="5">
        <v>1.609</v>
      </c>
      <c r="P68" s="110"/>
      <c r="Q68" s="110"/>
      <c r="R68" s="404">
        <v>0.17245843624161075</v>
      </c>
      <c r="S68" s="110"/>
      <c r="T68" s="404">
        <v>4.496E-2</v>
      </c>
      <c r="U68" s="110"/>
      <c r="V68" s="121">
        <f t="shared" ref="V68:V116" si="1">SUM(P68:U68)</f>
        <v>0.21741843624161075</v>
      </c>
      <c r="W68" s="40"/>
      <c r="X68" s="40"/>
      <c r="Y68" s="40"/>
      <c r="Z68" s="40"/>
      <c r="AA68" s="40"/>
      <c r="AB68" s="40"/>
      <c r="AC68" s="40"/>
      <c r="AD68" s="40"/>
      <c r="AE68" s="40"/>
      <c r="AF68" s="40"/>
      <c r="AG68" s="40"/>
      <c r="AH68" s="40"/>
      <c r="AI68" s="40"/>
      <c r="AJ68" s="40"/>
      <c r="AK68" s="40"/>
      <c r="AL68" s="40"/>
      <c r="AM68" s="40"/>
      <c r="AN68" s="40" t="s">
        <v>358</v>
      </c>
      <c r="AO68" s="40" t="s">
        <v>358</v>
      </c>
      <c r="AP68" s="40"/>
      <c r="AQ68" s="40"/>
      <c r="AR68" s="40"/>
      <c r="AS68" s="40"/>
      <c r="AT68" s="40"/>
      <c r="AU68" s="40"/>
      <c r="AV68" s="40"/>
      <c r="AW68" s="40"/>
      <c r="AX68" s="40"/>
      <c r="AY68" s="40"/>
      <c r="AZ68" s="40"/>
      <c r="BA68" s="5"/>
    </row>
    <row r="69" spans="1:53" ht="15" thickBot="1" x14ac:dyDescent="0.4">
      <c r="A69" s="30" t="s">
        <v>359</v>
      </c>
      <c r="B69" s="30" t="s">
        <v>359</v>
      </c>
      <c r="C69" s="30" t="s">
        <v>359</v>
      </c>
      <c r="D69" s="30" t="s">
        <v>359</v>
      </c>
      <c r="E69" s="30" t="s">
        <v>359</v>
      </c>
      <c r="F69" s="30" t="s">
        <v>358</v>
      </c>
      <c r="G69" s="30" t="s">
        <v>358</v>
      </c>
      <c r="H69" s="30" t="s">
        <v>359</v>
      </c>
      <c r="I69" s="30" t="s">
        <v>359</v>
      </c>
      <c r="J69" s="5" t="s">
        <v>416</v>
      </c>
      <c r="K69" s="5" t="s">
        <v>419</v>
      </c>
      <c r="L69" s="5" t="s">
        <v>415</v>
      </c>
      <c r="M69" s="5" t="s">
        <v>403</v>
      </c>
      <c r="N69" s="5" t="s">
        <v>404</v>
      </c>
      <c r="O69" s="5">
        <v>1.609</v>
      </c>
      <c r="P69" s="110"/>
      <c r="Q69" s="110"/>
      <c r="R69" s="404">
        <v>0.22611580000000001</v>
      </c>
      <c r="S69" s="110"/>
      <c r="T69" s="404">
        <v>5.7799999999999997E-2</v>
      </c>
      <c r="U69" s="110"/>
      <c r="V69" s="121">
        <f t="shared" si="1"/>
        <v>0.2839158</v>
      </c>
      <c r="W69" s="40"/>
      <c r="X69" s="40"/>
      <c r="Y69" s="40"/>
      <c r="Z69" s="40"/>
      <c r="AA69" s="40"/>
      <c r="AB69" s="40"/>
      <c r="AC69" s="40"/>
      <c r="AD69" s="40"/>
      <c r="AE69" s="40"/>
      <c r="AF69" s="40"/>
      <c r="AG69" s="40"/>
      <c r="AH69" s="40"/>
      <c r="AI69" s="40"/>
      <c r="AJ69" s="40"/>
      <c r="AK69" s="40"/>
      <c r="AL69" s="40"/>
      <c r="AM69" s="40"/>
      <c r="AN69" s="40" t="s">
        <v>358</v>
      </c>
      <c r="AO69" s="40" t="s">
        <v>358</v>
      </c>
      <c r="AP69" s="40"/>
      <c r="AQ69" s="40"/>
      <c r="AR69" s="40"/>
      <c r="AS69" s="40"/>
      <c r="AT69" s="40"/>
      <c r="AU69" s="40"/>
      <c r="AV69" s="40"/>
      <c r="AW69" s="40"/>
      <c r="AX69" s="40"/>
      <c r="AY69" s="40"/>
      <c r="AZ69" s="40"/>
      <c r="BA69" s="5"/>
    </row>
    <row r="70" spans="1:53" ht="15" thickBot="1" x14ac:dyDescent="0.4">
      <c r="A70" s="30" t="s">
        <v>359</v>
      </c>
      <c r="B70" s="30" t="s">
        <v>359</v>
      </c>
      <c r="C70" s="30" t="s">
        <v>359</v>
      </c>
      <c r="D70" s="30" t="s">
        <v>359</v>
      </c>
      <c r="E70" s="30" t="s">
        <v>359</v>
      </c>
      <c r="F70" s="30" t="s">
        <v>358</v>
      </c>
      <c r="G70" s="30" t="s">
        <v>358</v>
      </c>
      <c r="H70" s="30" t="s">
        <v>359</v>
      </c>
      <c r="I70" s="30" t="s">
        <v>359</v>
      </c>
      <c r="J70" s="5" t="s">
        <v>416</v>
      </c>
      <c r="K70" s="5" t="s">
        <v>161</v>
      </c>
      <c r="L70" s="5" t="s">
        <v>415</v>
      </c>
      <c r="M70" s="5" t="s">
        <v>403</v>
      </c>
      <c r="N70" s="5" t="s">
        <v>404</v>
      </c>
      <c r="O70" s="5">
        <v>1.609</v>
      </c>
      <c r="P70" s="110"/>
      <c r="Q70" s="110"/>
      <c r="R70" s="404">
        <v>0.16663858791946309</v>
      </c>
      <c r="S70" s="110"/>
      <c r="T70" s="404">
        <v>4.3659999999999997E-2</v>
      </c>
      <c r="U70" s="110"/>
      <c r="V70" s="121">
        <f t="shared" si="1"/>
        <v>0.2102985879194631</v>
      </c>
      <c r="W70" s="40"/>
      <c r="X70" s="40"/>
      <c r="Y70" s="40"/>
      <c r="Z70" s="40"/>
      <c r="AA70" s="40"/>
      <c r="AB70" s="40"/>
      <c r="AC70" s="40"/>
      <c r="AD70" s="40"/>
      <c r="AE70" s="40"/>
      <c r="AF70" s="40"/>
      <c r="AG70" s="40"/>
      <c r="AH70" s="40"/>
      <c r="AI70" s="40"/>
      <c r="AJ70" s="40"/>
      <c r="AK70" s="40"/>
      <c r="AL70" s="40"/>
      <c r="AM70" s="40"/>
      <c r="AN70" s="40" t="s">
        <v>358</v>
      </c>
      <c r="AO70" s="40" t="s">
        <v>358</v>
      </c>
      <c r="AP70" s="40"/>
      <c r="AQ70" s="40"/>
      <c r="AR70" s="40"/>
      <c r="AS70" s="40"/>
      <c r="AT70" s="40"/>
      <c r="AU70" s="40"/>
      <c r="AV70" s="40"/>
      <c r="AW70" s="40"/>
      <c r="AX70" s="40"/>
      <c r="AY70" s="40"/>
      <c r="AZ70" s="40"/>
      <c r="BA70" s="5"/>
    </row>
    <row r="71" spans="1:53" ht="15" thickBot="1" x14ac:dyDescent="0.4">
      <c r="A71" s="30" t="s">
        <v>359</v>
      </c>
      <c r="B71" s="30" t="s">
        <v>359</v>
      </c>
      <c r="C71" s="30" t="s">
        <v>359</v>
      </c>
      <c r="D71" s="30" t="s">
        <v>359</v>
      </c>
      <c r="E71" s="30" t="s">
        <v>359</v>
      </c>
      <c r="F71" s="30" t="s">
        <v>358</v>
      </c>
      <c r="G71" s="30" t="s">
        <v>358</v>
      </c>
      <c r="H71" s="30" t="s">
        <v>359</v>
      </c>
      <c r="I71" s="30" t="s">
        <v>359</v>
      </c>
      <c r="J71" s="5" t="s">
        <v>420</v>
      </c>
      <c r="K71" s="5" t="s">
        <v>417</v>
      </c>
      <c r="L71" s="5" t="s">
        <v>379</v>
      </c>
      <c r="M71" s="5" t="s">
        <v>403</v>
      </c>
      <c r="N71" s="5" t="s">
        <v>404</v>
      </c>
      <c r="O71" s="5">
        <v>1.609</v>
      </c>
      <c r="P71" s="110"/>
      <c r="Q71" s="110"/>
      <c r="R71" s="404">
        <v>0.13930644888053692</v>
      </c>
      <c r="S71" s="110"/>
      <c r="T71" s="404">
        <v>3.3919999999999999E-2</v>
      </c>
      <c r="U71" s="110"/>
      <c r="V71" s="121">
        <f t="shared" si="1"/>
        <v>0.17322644888053693</v>
      </c>
      <c r="W71" s="40"/>
      <c r="X71" s="40"/>
      <c r="Y71" s="40"/>
      <c r="Z71" s="40"/>
      <c r="AA71" s="40"/>
      <c r="AB71" s="40"/>
      <c r="AC71" s="40"/>
      <c r="AD71" s="40"/>
      <c r="AE71" s="40"/>
      <c r="AF71" s="40"/>
      <c r="AG71" s="40"/>
      <c r="AH71" s="40"/>
      <c r="AI71" s="40"/>
      <c r="AJ71" s="40"/>
      <c r="AK71" s="40"/>
      <c r="AL71" s="40"/>
      <c r="AM71" s="40"/>
      <c r="AN71" s="40" t="s">
        <v>358</v>
      </c>
      <c r="AO71" s="40" t="s">
        <v>358</v>
      </c>
      <c r="AP71" s="40"/>
      <c r="AQ71" s="40"/>
      <c r="AR71" s="40"/>
      <c r="AS71" s="40"/>
      <c r="AT71" s="40"/>
      <c r="AU71" s="40"/>
      <c r="AV71" s="40"/>
      <c r="AW71" s="40"/>
      <c r="AX71" s="40"/>
      <c r="AY71" s="40"/>
      <c r="AZ71" s="40"/>
      <c r="BA71" s="5"/>
    </row>
    <row r="72" spans="1:53" ht="15" thickBot="1" x14ac:dyDescent="0.4">
      <c r="A72" s="30" t="s">
        <v>359</v>
      </c>
      <c r="B72" s="30" t="s">
        <v>359</v>
      </c>
      <c r="C72" s="30" t="s">
        <v>359</v>
      </c>
      <c r="D72" s="30" t="s">
        <v>359</v>
      </c>
      <c r="E72" s="30" t="s">
        <v>359</v>
      </c>
      <c r="F72" s="30" t="s">
        <v>358</v>
      </c>
      <c r="G72" s="30" t="s">
        <v>358</v>
      </c>
      <c r="H72" s="30" t="s">
        <v>359</v>
      </c>
      <c r="I72" s="30" t="s">
        <v>359</v>
      </c>
      <c r="J72" s="5" t="s">
        <v>420</v>
      </c>
      <c r="K72" s="5" t="s">
        <v>418</v>
      </c>
      <c r="L72" s="5" t="s">
        <v>379</v>
      </c>
      <c r="M72" s="5" t="s">
        <v>403</v>
      </c>
      <c r="N72" s="5" t="s">
        <v>404</v>
      </c>
      <c r="O72" s="5">
        <v>1.609</v>
      </c>
      <c r="P72" s="110"/>
      <c r="Q72" s="110"/>
      <c r="R72" s="404">
        <v>0.16715644888053691</v>
      </c>
      <c r="S72" s="110"/>
      <c r="T72" s="404">
        <v>4.079E-2</v>
      </c>
      <c r="U72" s="110"/>
      <c r="V72" s="121">
        <f t="shared" si="1"/>
        <v>0.2079464488805369</v>
      </c>
      <c r="W72" s="40"/>
      <c r="X72" s="40"/>
      <c r="Y72" s="40"/>
      <c r="Z72" s="40"/>
      <c r="AA72" s="40"/>
      <c r="AB72" s="40"/>
      <c r="AC72" s="40"/>
      <c r="AD72" s="40"/>
      <c r="AE72" s="40"/>
      <c r="AF72" s="40"/>
      <c r="AG72" s="40"/>
      <c r="AH72" s="40"/>
      <c r="AI72" s="40"/>
      <c r="AJ72" s="40"/>
      <c r="AK72" s="40"/>
      <c r="AL72" s="40"/>
      <c r="AM72" s="40"/>
      <c r="AN72" s="40" t="s">
        <v>358</v>
      </c>
      <c r="AO72" s="40" t="s">
        <v>358</v>
      </c>
      <c r="AP72" s="40"/>
      <c r="AQ72" s="40"/>
      <c r="AR72" s="40"/>
      <c r="AS72" s="40"/>
      <c r="AT72" s="40"/>
      <c r="AU72" s="40"/>
      <c r="AV72" s="40"/>
      <c r="AW72" s="40"/>
      <c r="AX72" s="40"/>
      <c r="AY72" s="40"/>
      <c r="AZ72" s="40"/>
      <c r="BA72" s="5"/>
    </row>
    <row r="73" spans="1:53" ht="15" thickBot="1" x14ac:dyDescent="0.4">
      <c r="A73" s="30" t="s">
        <v>359</v>
      </c>
      <c r="B73" s="30" t="s">
        <v>359</v>
      </c>
      <c r="C73" s="30" t="s">
        <v>359</v>
      </c>
      <c r="D73" s="30" t="s">
        <v>359</v>
      </c>
      <c r="E73" s="30" t="s">
        <v>359</v>
      </c>
      <c r="F73" s="30" t="s">
        <v>358</v>
      </c>
      <c r="G73" s="30" t="s">
        <v>358</v>
      </c>
      <c r="H73" s="30" t="s">
        <v>359</v>
      </c>
      <c r="I73" s="30" t="s">
        <v>359</v>
      </c>
      <c r="J73" s="5" t="s">
        <v>420</v>
      </c>
      <c r="K73" s="5" t="s">
        <v>419</v>
      </c>
      <c r="L73" s="5" t="s">
        <v>379</v>
      </c>
      <c r="M73" s="5" t="s">
        <v>403</v>
      </c>
      <c r="N73" s="5" t="s">
        <v>404</v>
      </c>
      <c r="O73" s="5">
        <v>1.609</v>
      </c>
      <c r="P73" s="110"/>
      <c r="Q73" s="110"/>
      <c r="R73" s="404">
        <v>0.20858644888053693</v>
      </c>
      <c r="S73" s="110"/>
      <c r="T73" s="404">
        <v>5.0999999999999997E-2</v>
      </c>
      <c r="U73" s="110"/>
      <c r="V73" s="121">
        <f t="shared" si="1"/>
        <v>0.25958644888053695</v>
      </c>
      <c r="W73" s="40"/>
      <c r="X73" s="40"/>
      <c r="Y73" s="40"/>
      <c r="Z73" s="40"/>
      <c r="AA73" s="40"/>
      <c r="AB73" s="40"/>
      <c r="AC73" s="40"/>
      <c r="AD73" s="40"/>
      <c r="AE73" s="40"/>
      <c r="AF73" s="40"/>
      <c r="AG73" s="40"/>
      <c r="AH73" s="40"/>
      <c r="AI73" s="40"/>
      <c r="AJ73" s="40"/>
      <c r="AK73" s="40"/>
      <c r="AL73" s="40"/>
      <c r="AM73" s="40"/>
      <c r="AN73" s="40" t="s">
        <v>358</v>
      </c>
      <c r="AO73" s="40" t="s">
        <v>358</v>
      </c>
      <c r="AP73" s="40"/>
      <c r="AQ73" s="40"/>
      <c r="AR73" s="40"/>
      <c r="AS73" s="40"/>
      <c r="AT73" s="40"/>
      <c r="AU73" s="40"/>
      <c r="AV73" s="40"/>
      <c r="AW73" s="40"/>
      <c r="AX73" s="40"/>
      <c r="AY73" s="40"/>
      <c r="AZ73" s="40"/>
      <c r="BA73" s="5"/>
    </row>
    <row r="74" spans="1:53" ht="15" thickBot="1" x14ac:dyDescent="0.4">
      <c r="A74" s="30" t="s">
        <v>359</v>
      </c>
      <c r="B74" s="30" t="s">
        <v>359</v>
      </c>
      <c r="C74" s="30" t="s">
        <v>359</v>
      </c>
      <c r="D74" s="30" t="s">
        <v>359</v>
      </c>
      <c r="E74" s="30" t="s">
        <v>359</v>
      </c>
      <c r="F74" s="30" t="s">
        <v>358</v>
      </c>
      <c r="G74" s="30" t="s">
        <v>358</v>
      </c>
      <c r="H74" s="30" t="s">
        <v>359</v>
      </c>
      <c r="I74" s="30" t="s">
        <v>359</v>
      </c>
      <c r="J74" s="5" t="s">
        <v>420</v>
      </c>
      <c r="K74" s="5" t="s">
        <v>161</v>
      </c>
      <c r="L74" s="5" t="s">
        <v>379</v>
      </c>
      <c r="M74" s="5" t="s">
        <v>403</v>
      </c>
      <c r="N74" s="5" t="s">
        <v>404</v>
      </c>
      <c r="O74" s="5">
        <v>1.609</v>
      </c>
      <c r="P74" s="110"/>
      <c r="Q74" s="110"/>
      <c r="R74" s="404">
        <v>0.16982644888053691</v>
      </c>
      <c r="S74" s="110"/>
      <c r="T74" s="404">
        <v>4.1450000000000001E-2</v>
      </c>
      <c r="U74" s="110"/>
      <c r="V74" s="121">
        <f t="shared" si="1"/>
        <v>0.21127644888053693</v>
      </c>
      <c r="W74" s="40"/>
      <c r="X74" s="40"/>
      <c r="Y74" s="40"/>
      <c r="Z74" s="40"/>
      <c r="AA74" s="40"/>
      <c r="AB74" s="40"/>
      <c r="AC74" s="40"/>
      <c r="AD74" s="40"/>
      <c r="AE74" s="40"/>
      <c r="AF74" s="40"/>
      <c r="AG74" s="40"/>
      <c r="AH74" s="40"/>
      <c r="AI74" s="40"/>
      <c r="AJ74" s="40"/>
      <c r="AK74" s="40"/>
      <c r="AL74" s="40"/>
      <c r="AM74" s="40"/>
      <c r="AN74" s="40" t="s">
        <v>358</v>
      </c>
      <c r="AO74" s="40" t="s">
        <v>358</v>
      </c>
      <c r="AP74" s="40"/>
      <c r="AQ74" s="40"/>
      <c r="AR74" s="40"/>
      <c r="AS74" s="40"/>
      <c r="AT74" s="40"/>
      <c r="AU74" s="40"/>
      <c r="AV74" s="40"/>
      <c r="AW74" s="40"/>
      <c r="AX74" s="40"/>
      <c r="AY74" s="40"/>
      <c r="AZ74" s="40"/>
      <c r="BA74" s="5"/>
    </row>
    <row r="75" spans="1:53" ht="15" thickBot="1" x14ac:dyDescent="0.4">
      <c r="A75" s="30" t="s">
        <v>359</v>
      </c>
      <c r="B75" s="30" t="s">
        <v>359</v>
      </c>
      <c r="C75" s="30" t="s">
        <v>359</v>
      </c>
      <c r="D75" s="30" t="s">
        <v>359</v>
      </c>
      <c r="E75" s="30" t="s">
        <v>359</v>
      </c>
      <c r="F75" s="30" t="s">
        <v>358</v>
      </c>
      <c r="G75" s="30" t="s">
        <v>358</v>
      </c>
      <c r="H75" s="30" t="s">
        <v>359</v>
      </c>
      <c r="I75" s="30" t="s">
        <v>359</v>
      </c>
      <c r="J75" s="5" t="s">
        <v>420</v>
      </c>
      <c r="K75" s="5" t="s">
        <v>417</v>
      </c>
      <c r="L75" s="5" t="s">
        <v>162</v>
      </c>
      <c r="M75" s="5" t="s">
        <v>403</v>
      </c>
      <c r="N75" s="5" t="s">
        <v>404</v>
      </c>
      <c r="O75" s="5">
        <v>1.609</v>
      </c>
      <c r="P75" s="110"/>
      <c r="Q75" s="110"/>
      <c r="R75" s="404">
        <v>0.14079853422818792</v>
      </c>
      <c r="S75" s="110"/>
      <c r="T75" s="404">
        <v>3.9070000000000001E-2</v>
      </c>
      <c r="U75" s="110"/>
      <c r="V75" s="121">
        <f t="shared" si="1"/>
        <v>0.17986853422818791</v>
      </c>
      <c r="W75" s="40"/>
      <c r="X75" s="40"/>
      <c r="Y75" s="40"/>
      <c r="Z75" s="40"/>
      <c r="AA75" s="40"/>
      <c r="AB75" s="40"/>
      <c r="AC75" s="40"/>
      <c r="AD75" s="40"/>
      <c r="AE75" s="40"/>
      <c r="AF75" s="40"/>
      <c r="AG75" s="40"/>
      <c r="AH75" s="40"/>
      <c r="AI75" s="40"/>
      <c r="AJ75" s="40"/>
      <c r="AK75" s="40"/>
      <c r="AL75" s="40"/>
      <c r="AM75" s="40"/>
      <c r="AN75" s="40" t="s">
        <v>358</v>
      </c>
      <c r="AO75" s="40" t="s">
        <v>358</v>
      </c>
      <c r="AP75" s="40"/>
      <c r="AQ75" s="40"/>
      <c r="AR75" s="40"/>
      <c r="AS75" s="40"/>
      <c r="AT75" s="40"/>
      <c r="AU75" s="40"/>
      <c r="AV75" s="40"/>
      <c r="AW75" s="40"/>
      <c r="AX75" s="40"/>
      <c r="AY75" s="40"/>
      <c r="AZ75" s="40"/>
      <c r="BA75" s="5"/>
    </row>
    <row r="76" spans="1:53" ht="15" thickBot="1" x14ac:dyDescent="0.4">
      <c r="A76" s="30" t="s">
        <v>359</v>
      </c>
      <c r="B76" s="30" t="s">
        <v>359</v>
      </c>
      <c r="C76" s="30" t="s">
        <v>359</v>
      </c>
      <c r="D76" s="30" t="s">
        <v>359</v>
      </c>
      <c r="E76" s="30" t="s">
        <v>359</v>
      </c>
      <c r="F76" s="30" t="s">
        <v>358</v>
      </c>
      <c r="G76" s="30" t="s">
        <v>358</v>
      </c>
      <c r="H76" s="30" t="s">
        <v>359</v>
      </c>
      <c r="I76" s="30" t="s">
        <v>359</v>
      </c>
      <c r="J76" s="5" t="s">
        <v>420</v>
      </c>
      <c r="K76" s="5" t="s">
        <v>418</v>
      </c>
      <c r="L76" s="5" t="s">
        <v>162</v>
      </c>
      <c r="M76" s="5" t="s">
        <v>403</v>
      </c>
      <c r="N76" s="5" t="s">
        <v>404</v>
      </c>
      <c r="O76" s="5">
        <v>1.609</v>
      </c>
      <c r="P76" s="110"/>
      <c r="Q76" s="110"/>
      <c r="R76" s="404">
        <v>0.17818853422818792</v>
      </c>
      <c r="S76" s="110"/>
      <c r="T76" s="404">
        <v>4.9489999999999999E-2</v>
      </c>
      <c r="U76" s="110"/>
      <c r="V76" s="121">
        <f t="shared" si="1"/>
        <v>0.22767853422818793</v>
      </c>
      <c r="W76" s="40"/>
      <c r="X76" s="40"/>
      <c r="Y76" s="40"/>
      <c r="Z76" s="40"/>
      <c r="AA76" s="40"/>
      <c r="AB76" s="40"/>
      <c r="AC76" s="40"/>
      <c r="AD76" s="40"/>
      <c r="AE76" s="40"/>
      <c r="AF76" s="40"/>
      <c r="AG76" s="40"/>
      <c r="AH76" s="40"/>
      <c r="AI76" s="40"/>
      <c r="AJ76" s="40"/>
      <c r="AK76" s="40"/>
      <c r="AL76" s="40"/>
      <c r="AM76" s="40"/>
      <c r="AN76" s="40" t="s">
        <v>358</v>
      </c>
      <c r="AO76" s="40" t="s">
        <v>358</v>
      </c>
      <c r="AP76" s="40"/>
      <c r="AQ76" s="40"/>
      <c r="AR76" s="40"/>
      <c r="AS76" s="40"/>
      <c r="AT76" s="40"/>
      <c r="AU76" s="40"/>
      <c r="AV76" s="40"/>
      <c r="AW76" s="40"/>
      <c r="AX76" s="40"/>
      <c r="AY76" s="40"/>
      <c r="AZ76" s="40"/>
      <c r="BA76" s="5"/>
    </row>
    <row r="77" spans="1:53" ht="15" thickBot="1" x14ac:dyDescent="0.4">
      <c r="A77" s="30" t="s">
        <v>359</v>
      </c>
      <c r="B77" s="30" t="s">
        <v>359</v>
      </c>
      <c r="C77" s="30" t="s">
        <v>359</v>
      </c>
      <c r="D77" s="30" t="s">
        <v>359</v>
      </c>
      <c r="E77" s="30" t="s">
        <v>359</v>
      </c>
      <c r="F77" s="30" t="s">
        <v>358</v>
      </c>
      <c r="G77" s="30" t="s">
        <v>358</v>
      </c>
      <c r="H77" s="30" t="s">
        <v>359</v>
      </c>
      <c r="I77" s="30" t="s">
        <v>359</v>
      </c>
      <c r="J77" s="5" t="s">
        <v>420</v>
      </c>
      <c r="K77" s="5" t="s">
        <v>419</v>
      </c>
      <c r="L77" s="5" t="s">
        <v>162</v>
      </c>
      <c r="M77" s="5" t="s">
        <v>403</v>
      </c>
      <c r="N77" s="5" t="s">
        <v>404</v>
      </c>
      <c r="O77" s="5">
        <v>1.609</v>
      </c>
      <c r="P77" s="110"/>
      <c r="Q77" s="110"/>
      <c r="R77" s="404">
        <v>0.27223853422818795</v>
      </c>
      <c r="S77" s="110"/>
      <c r="T77" s="404">
        <v>7.5719999999999996E-2</v>
      </c>
      <c r="U77" s="110"/>
      <c r="V77" s="121">
        <f t="shared" si="1"/>
        <v>0.34795853422818795</v>
      </c>
      <c r="W77" s="40"/>
      <c r="X77" s="40"/>
      <c r="Y77" s="40"/>
      <c r="Z77" s="40"/>
      <c r="AA77" s="40"/>
      <c r="AB77" s="40"/>
      <c r="AC77" s="40"/>
      <c r="AD77" s="40"/>
      <c r="AE77" s="40"/>
      <c r="AF77" s="40"/>
      <c r="AG77" s="40"/>
      <c r="AH77" s="40"/>
      <c r="AI77" s="40"/>
      <c r="AJ77" s="40"/>
      <c r="AK77" s="40"/>
      <c r="AL77" s="40"/>
      <c r="AM77" s="40"/>
      <c r="AN77" s="40" t="s">
        <v>358</v>
      </c>
      <c r="AO77" s="40" t="s">
        <v>358</v>
      </c>
      <c r="AP77" s="40"/>
      <c r="AQ77" s="40"/>
      <c r="AR77" s="40"/>
      <c r="AS77" s="40"/>
      <c r="AT77" s="40"/>
      <c r="AU77" s="40"/>
      <c r="AV77" s="40"/>
      <c r="AW77" s="40"/>
      <c r="AX77" s="40"/>
      <c r="AY77" s="40"/>
      <c r="AZ77" s="40"/>
      <c r="BA77" s="5"/>
    </row>
    <row r="78" spans="1:53" ht="15" thickBot="1" x14ac:dyDescent="0.4">
      <c r="A78" s="30" t="s">
        <v>359</v>
      </c>
      <c r="B78" s="30" t="s">
        <v>359</v>
      </c>
      <c r="C78" s="30" t="s">
        <v>359</v>
      </c>
      <c r="D78" s="30" t="s">
        <v>359</v>
      </c>
      <c r="E78" s="30" t="s">
        <v>359</v>
      </c>
      <c r="F78" s="30" t="s">
        <v>358</v>
      </c>
      <c r="G78" s="30" t="s">
        <v>358</v>
      </c>
      <c r="H78" s="30" t="s">
        <v>359</v>
      </c>
      <c r="I78" s="30" t="s">
        <v>359</v>
      </c>
      <c r="J78" s="5" t="s">
        <v>420</v>
      </c>
      <c r="K78" s="5" t="s">
        <v>161</v>
      </c>
      <c r="L78" s="5" t="s">
        <v>162</v>
      </c>
      <c r="M78" s="5" t="s">
        <v>403</v>
      </c>
      <c r="N78" s="5" t="s">
        <v>404</v>
      </c>
      <c r="O78" s="5">
        <v>1.609</v>
      </c>
      <c r="P78" s="110"/>
      <c r="Q78" s="110"/>
      <c r="R78" s="404">
        <v>0.16390853422818791</v>
      </c>
      <c r="S78" s="110"/>
      <c r="T78" s="404">
        <v>4.5510000000000002E-2</v>
      </c>
      <c r="U78" s="110"/>
      <c r="V78" s="121">
        <f t="shared" si="1"/>
        <v>0.2094185342281879</v>
      </c>
      <c r="W78" s="40"/>
      <c r="X78" s="40"/>
      <c r="Y78" s="40"/>
      <c r="Z78" s="40"/>
      <c r="AA78" s="40"/>
      <c r="AB78" s="40"/>
      <c r="AC78" s="40"/>
      <c r="AD78" s="40"/>
      <c r="AE78" s="40"/>
      <c r="AF78" s="40"/>
      <c r="AG78" s="40"/>
      <c r="AH78" s="40"/>
      <c r="AI78" s="40"/>
      <c r="AJ78" s="40"/>
      <c r="AK78" s="40"/>
      <c r="AL78" s="40"/>
      <c r="AM78" s="40"/>
      <c r="AN78" s="40" t="s">
        <v>358</v>
      </c>
      <c r="AO78" s="40" t="s">
        <v>358</v>
      </c>
      <c r="AP78" s="40"/>
      <c r="AQ78" s="40"/>
      <c r="AR78" s="40"/>
      <c r="AS78" s="40"/>
      <c r="AT78" s="40"/>
      <c r="AU78" s="40"/>
      <c r="AV78" s="40"/>
      <c r="AW78" s="40"/>
      <c r="AX78" s="40"/>
      <c r="AY78" s="40"/>
      <c r="AZ78" s="40"/>
      <c r="BA78" s="5"/>
    </row>
    <row r="79" spans="1:53" ht="15" thickBot="1" x14ac:dyDescent="0.4">
      <c r="A79" s="30" t="s">
        <v>359</v>
      </c>
      <c r="B79" s="30" t="s">
        <v>359</v>
      </c>
      <c r="C79" s="30" t="s">
        <v>359</v>
      </c>
      <c r="D79" s="30" t="s">
        <v>359</v>
      </c>
      <c r="E79" s="30" t="s">
        <v>359</v>
      </c>
      <c r="F79" s="30" t="s">
        <v>358</v>
      </c>
      <c r="G79" s="30" t="s">
        <v>358</v>
      </c>
      <c r="H79" s="30" t="s">
        <v>359</v>
      </c>
      <c r="I79" s="30" t="s">
        <v>359</v>
      </c>
      <c r="J79" s="5" t="s">
        <v>420</v>
      </c>
      <c r="K79" s="5" t="s">
        <v>417</v>
      </c>
      <c r="L79" s="5" t="s">
        <v>413</v>
      </c>
      <c r="M79" s="5" t="s">
        <v>403</v>
      </c>
      <c r="N79" s="5" t="s">
        <v>404</v>
      </c>
      <c r="O79" s="5">
        <v>1.609</v>
      </c>
      <c r="P79" s="110"/>
      <c r="Q79" s="110"/>
      <c r="R79" s="404">
        <v>0.10149885771812081</v>
      </c>
      <c r="S79" s="110"/>
      <c r="T79" s="404">
        <v>2.7029999999999998E-2</v>
      </c>
      <c r="U79" s="110"/>
      <c r="V79" s="121">
        <f t="shared" si="1"/>
        <v>0.12852885771812081</v>
      </c>
      <c r="W79" s="40"/>
      <c r="X79" s="40"/>
      <c r="Y79" s="40"/>
      <c r="Z79" s="40"/>
      <c r="AA79" s="40"/>
      <c r="AB79" s="40"/>
      <c r="AC79" s="40"/>
      <c r="AD79" s="40"/>
      <c r="AE79" s="40"/>
      <c r="AF79" s="40"/>
      <c r="AG79" s="40"/>
      <c r="AH79" s="40"/>
      <c r="AI79" s="40"/>
      <c r="AJ79" s="40"/>
      <c r="AK79" s="40"/>
      <c r="AL79" s="40"/>
      <c r="AM79" s="40"/>
      <c r="AN79" s="40" t="s">
        <v>358</v>
      </c>
      <c r="AO79" s="40" t="s">
        <v>358</v>
      </c>
      <c r="AP79" s="40"/>
      <c r="AQ79" s="40"/>
      <c r="AR79" s="40"/>
      <c r="AS79" s="40"/>
      <c r="AT79" s="40"/>
      <c r="AU79" s="40"/>
      <c r="AV79" s="40"/>
      <c r="AW79" s="40"/>
      <c r="AX79" s="40"/>
      <c r="AY79" s="40"/>
      <c r="AZ79" s="40"/>
      <c r="BA79" s="5"/>
    </row>
    <row r="80" spans="1:53" ht="15" thickBot="1" x14ac:dyDescent="0.4">
      <c r="A80" s="30" t="s">
        <v>359</v>
      </c>
      <c r="B80" s="30" t="s">
        <v>359</v>
      </c>
      <c r="C80" s="30" t="s">
        <v>359</v>
      </c>
      <c r="D80" s="30" t="s">
        <v>359</v>
      </c>
      <c r="E80" s="30" t="s">
        <v>359</v>
      </c>
      <c r="F80" s="30" t="s">
        <v>358</v>
      </c>
      <c r="G80" s="30" t="s">
        <v>358</v>
      </c>
      <c r="H80" s="30" t="s">
        <v>359</v>
      </c>
      <c r="I80" s="30" t="s">
        <v>359</v>
      </c>
      <c r="J80" s="5" t="s">
        <v>420</v>
      </c>
      <c r="K80" s="5" t="s">
        <v>418</v>
      </c>
      <c r="L80" s="5" t="s">
        <v>413</v>
      </c>
      <c r="M80" s="5" t="s">
        <v>403</v>
      </c>
      <c r="N80" s="5" t="s">
        <v>404</v>
      </c>
      <c r="O80" s="5">
        <v>1.609</v>
      </c>
      <c r="P80" s="110"/>
      <c r="Q80" s="110"/>
      <c r="R80" s="404">
        <v>0.10903843624161073</v>
      </c>
      <c r="S80" s="110"/>
      <c r="T80" s="404">
        <v>2.8309999999999998E-2</v>
      </c>
      <c r="U80" s="110"/>
      <c r="V80" s="121">
        <f t="shared" si="1"/>
        <v>0.13734843624161072</v>
      </c>
      <c r="W80" s="40"/>
      <c r="X80" s="40"/>
      <c r="Y80" s="40"/>
      <c r="Z80" s="40"/>
      <c r="AA80" s="40"/>
      <c r="AB80" s="40"/>
      <c r="AC80" s="40"/>
      <c r="AD80" s="40"/>
      <c r="AE80" s="40"/>
      <c r="AF80" s="40"/>
      <c r="AG80" s="40"/>
      <c r="AH80" s="40"/>
      <c r="AI80" s="40"/>
      <c r="AJ80" s="40"/>
      <c r="AK80" s="40"/>
      <c r="AL80" s="40"/>
      <c r="AM80" s="40"/>
      <c r="AN80" s="40" t="s">
        <v>358</v>
      </c>
      <c r="AO80" s="40" t="s">
        <v>358</v>
      </c>
      <c r="AP80" s="40"/>
      <c r="AQ80" s="40"/>
      <c r="AR80" s="40"/>
      <c r="AS80" s="40"/>
      <c r="AT80" s="40"/>
      <c r="AU80" s="40"/>
      <c r="AV80" s="40"/>
      <c r="AW80" s="40"/>
      <c r="AX80" s="40"/>
      <c r="AY80" s="40"/>
      <c r="AZ80" s="40"/>
      <c r="BA80" s="5"/>
    </row>
    <row r="81" spans="1:53" ht="15" thickBot="1" x14ac:dyDescent="0.4">
      <c r="A81" s="30" t="s">
        <v>359</v>
      </c>
      <c r="B81" s="30" t="s">
        <v>359</v>
      </c>
      <c r="C81" s="30" t="s">
        <v>359</v>
      </c>
      <c r="D81" s="30" t="s">
        <v>359</v>
      </c>
      <c r="E81" s="30" t="s">
        <v>359</v>
      </c>
      <c r="F81" s="30" t="s">
        <v>358</v>
      </c>
      <c r="G81" s="30" t="s">
        <v>358</v>
      </c>
      <c r="H81" s="30" t="s">
        <v>359</v>
      </c>
      <c r="I81" s="30" t="s">
        <v>359</v>
      </c>
      <c r="J81" s="5" t="s">
        <v>420</v>
      </c>
      <c r="K81" s="5" t="s">
        <v>419</v>
      </c>
      <c r="L81" s="5" t="s">
        <v>413</v>
      </c>
      <c r="M81" s="5" t="s">
        <v>403</v>
      </c>
      <c r="N81" s="5" t="s">
        <v>404</v>
      </c>
      <c r="O81" s="5">
        <v>1.609</v>
      </c>
      <c r="P81" s="110"/>
      <c r="Q81" s="110"/>
      <c r="R81" s="404">
        <v>0.15243580000000001</v>
      </c>
      <c r="S81" s="110"/>
      <c r="T81" s="404">
        <v>3.884E-2</v>
      </c>
      <c r="U81" s="110"/>
      <c r="V81" s="121">
        <f t="shared" si="1"/>
        <v>0.1912758</v>
      </c>
      <c r="W81" s="40"/>
      <c r="X81" s="40"/>
      <c r="Y81" s="40"/>
      <c r="Z81" s="40"/>
      <c r="AA81" s="40"/>
      <c r="AB81" s="40"/>
      <c r="AC81" s="40"/>
      <c r="AD81" s="40"/>
      <c r="AE81" s="40"/>
      <c r="AF81" s="40"/>
      <c r="AG81" s="40"/>
      <c r="AH81" s="40"/>
      <c r="AI81" s="40"/>
      <c r="AJ81" s="40"/>
      <c r="AK81" s="40"/>
      <c r="AL81" s="40"/>
      <c r="AM81" s="40"/>
      <c r="AN81" s="40" t="s">
        <v>358</v>
      </c>
      <c r="AO81" s="40" t="s">
        <v>358</v>
      </c>
      <c r="AP81" s="40"/>
      <c r="AQ81" s="40"/>
      <c r="AR81" s="40"/>
      <c r="AS81" s="40"/>
      <c r="AT81" s="40"/>
      <c r="AU81" s="40"/>
      <c r="AV81" s="40"/>
      <c r="AW81" s="40"/>
      <c r="AX81" s="40"/>
      <c r="AY81" s="40"/>
      <c r="AZ81" s="40"/>
      <c r="BA81" s="5"/>
    </row>
    <row r="82" spans="1:53" ht="15" thickBot="1" x14ac:dyDescent="0.4">
      <c r="A82" s="30" t="s">
        <v>359</v>
      </c>
      <c r="B82" s="30" t="s">
        <v>359</v>
      </c>
      <c r="C82" s="30" t="s">
        <v>359</v>
      </c>
      <c r="D82" s="30" t="s">
        <v>359</v>
      </c>
      <c r="E82" s="30" t="s">
        <v>359</v>
      </c>
      <c r="F82" s="30" t="s">
        <v>358</v>
      </c>
      <c r="G82" s="30" t="s">
        <v>358</v>
      </c>
      <c r="H82" s="30" t="s">
        <v>359</v>
      </c>
      <c r="I82" s="30" t="s">
        <v>359</v>
      </c>
      <c r="J82" s="5" t="s">
        <v>420</v>
      </c>
      <c r="K82" s="5" t="s">
        <v>161</v>
      </c>
      <c r="L82" s="5" t="s">
        <v>413</v>
      </c>
      <c r="M82" s="5" t="s">
        <v>403</v>
      </c>
      <c r="N82" s="5" t="s">
        <v>404</v>
      </c>
      <c r="O82" s="5">
        <v>1.609</v>
      </c>
      <c r="P82" s="110"/>
      <c r="Q82" s="110"/>
      <c r="R82" s="404">
        <v>0.11897858791946307</v>
      </c>
      <c r="S82" s="110"/>
      <c r="T82" s="404">
        <v>3.109E-2</v>
      </c>
      <c r="U82" s="110"/>
      <c r="V82" s="121">
        <f t="shared" si="1"/>
        <v>0.15006858791946306</v>
      </c>
      <c r="W82" s="40"/>
      <c r="X82" s="40"/>
      <c r="Y82" s="40"/>
      <c r="Z82" s="40"/>
      <c r="AA82" s="40"/>
      <c r="AB82" s="40"/>
      <c r="AC82" s="40"/>
      <c r="AD82" s="40"/>
      <c r="AE82" s="40"/>
      <c r="AF82" s="40"/>
      <c r="AG82" s="40"/>
      <c r="AH82" s="40"/>
      <c r="AI82" s="40"/>
      <c r="AJ82" s="40"/>
      <c r="AK82" s="40"/>
      <c r="AL82" s="40"/>
      <c r="AM82" s="40"/>
      <c r="AN82" s="40" t="s">
        <v>358</v>
      </c>
      <c r="AO82" s="40" t="s">
        <v>358</v>
      </c>
      <c r="AP82" s="40"/>
      <c r="AQ82" s="40"/>
      <c r="AR82" s="40"/>
      <c r="AS82" s="40"/>
      <c r="AT82" s="40"/>
      <c r="AU82" s="40"/>
      <c r="AV82" s="40"/>
      <c r="AW82" s="40"/>
      <c r="AX82" s="40"/>
      <c r="AY82" s="40"/>
      <c r="AZ82" s="40"/>
      <c r="BA82" s="5"/>
    </row>
    <row r="83" spans="1:53" ht="26.5" thickBot="1" x14ac:dyDescent="0.4">
      <c r="A83" s="30" t="s">
        <v>359</v>
      </c>
      <c r="B83" s="30" t="s">
        <v>359</v>
      </c>
      <c r="C83" s="30" t="s">
        <v>359</v>
      </c>
      <c r="D83" s="30" t="s">
        <v>359</v>
      </c>
      <c r="E83" s="30" t="s">
        <v>359</v>
      </c>
      <c r="F83" s="30" t="s">
        <v>358</v>
      </c>
      <c r="G83" s="30" t="s">
        <v>358</v>
      </c>
      <c r="H83" s="30" t="s">
        <v>359</v>
      </c>
      <c r="I83" s="30" t="s">
        <v>359</v>
      </c>
      <c r="J83" s="5" t="s">
        <v>420</v>
      </c>
      <c r="K83" s="5" t="s">
        <v>417</v>
      </c>
      <c r="L83" s="5" t="s">
        <v>414</v>
      </c>
      <c r="M83" s="5" t="s">
        <v>403</v>
      </c>
      <c r="N83" s="5" t="s">
        <v>404</v>
      </c>
      <c r="O83" s="5">
        <v>1.609</v>
      </c>
      <c r="P83" s="110"/>
      <c r="Q83" s="110"/>
      <c r="R83" s="404">
        <v>5.1441700671140941E-2</v>
      </c>
      <c r="S83" s="404">
        <v>2.5789852348993289E-3</v>
      </c>
      <c r="T83" s="404">
        <v>1.3169999999999999E-2</v>
      </c>
      <c r="U83" s="110"/>
      <c r="V83" s="121">
        <f t="shared" si="1"/>
        <v>6.7190685906040271E-2</v>
      </c>
      <c r="W83" s="40"/>
      <c r="X83" s="40"/>
      <c r="Y83" s="40"/>
      <c r="Z83" s="40"/>
      <c r="AA83" s="40"/>
      <c r="AB83" s="40"/>
      <c r="AC83" s="40"/>
      <c r="AD83" s="40"/>
      <c r="AE83" s="40"/>
      <c r="AF83" s="40"/>
      <c r="AG83" s="40"/>
      <c r="AH83" s="40"/>
      <c r="AI83" s="40"/>
      <c r="AJ83" s="40"/>
      <c r="AK83" s="40"/>
      <c r="AL83" s="40"/>
      <c r="AM83" s="40"/>
      <c r="AN83" s="40" t="s">
        <v>358</v>
      </c>
      <c r="AO83" s="40" t="s">
        <v>358</v>
      </c>
      <c r="AP83" s="40"/>
      <c r="AQ83" s="40"/>
      <c r="AR83" s="40"/>
      <c r="AS83" s="40"/>
      <c r="AT83" s="40"/>
      <c r="AU83" s="40"/>
      <c r="AV83" s="40"/>
      <c r="AW83" s="40"/>
      <c r="AX83" s="40"/>
      <c r="AY83" s="40"/>
      <c r="AZ83" s="40"/>
      <c r="BA83" s="5"/>
    </row>
    <row r="84" spans="1:53" ht="26.5" thickBot="1" x14ac:dyDescent="0.4">
      <c r="A84" s="30" t="s">
        <v>359</v>
      </c>
      <c r="B84" s="30" t="s">
        <v>359</v>
      </c>
      <c r="C84" s="30" t="s">
        <v>359</v>
      </c>
      <c r="D84" s="30" t="s">
        <v>359</v>
      </c>
      <c r="E84" s="30" t="s">
        <v>359</v>
      </c>
      <c r="F84" s="30" t="s">
        <v>358</v>
      </c>
      <c r="G84" s="30" t="s">
        <v>358</v>
      </c>
      <c r="H84" s="30" t="s">
        <v>359</v>
      </c>
      <c r="I84" s="30" t="s">
        <v>359</v>
      </c>
      <c r="J84" s="5" t="s">
        <v>420</v>
      </c>
      <c r="K84" s="5" t="s">
        <v>418</v>
      </c>
      <c r="L84" s="5" t="s">
        <v>414</v>
      </c>
      <c r="M84" s="5" t="s">
        <v>403</v>
      </c>
      <c r="N84" s="5" t="s">
        <v>404</v>
      </c>
      <c r="O84" s="5">
        <v>1.609</v>
      </c>
      <c r="P84" s="110"/>
      <c r="Q84" s="110"/>
      <c r="R84" s="404">
        <v>8.3126041610738249E-2</v>
      </c>
      <c r="S84" s="404">
        <v>1.8800926174496646E-3</v>
      </c>
      <c r="T84" s="404">
        <v>2.2200000000000001E-2</v>
      </c>
      <c r="U84" s="110"/>
      <c r="V84" s="121">
        <f t="shared" si="1"/>
        <v>0.10720613422818791</v>
      </c>
      <c r="W84" s="40"/>
      <c r="X84" s="40"/>
      <c r="Y84" s="40"/>
      <c r="Z84" s="40"/>
      <c r="AA84" s="40"/>
      <c r="AB84" s="40"/>
      <c r="AC84" s="40"/>
      <c r="AD84" s="40"/>
      <c r="AE84" s="40"/>
      <c r="AF84" s="40"/>
      <c r="AG84" s="40"/>
      <c r="AH84" s="40"/>
      <c r="AI84" s="40"/>
      <c r="AJ84" s="40"/>
      <c r="AK84" s="40"/>
      <c r="AL84" s="40"/>
      <c r="AM84" s="40"/>
      <c r="AN84" s="40" t="s">
        <v>358</v>
      </c>
      <c r="AO84" s="40" t="s">
        <v>358</v>
      </c>
      <c r="AP84" s="40"/>
      <c r="AQ84" s="40"/>
      <c r="AR84" s="40"/>
      <c r="AS84" s="40"/>
      <c r="AT84" s="40"/>
      <c r="AU84" s="40"/>
      <c r="AV84" s="40"/>
      <c r="AW84" s="40"/>
      <c r="AX84" s="40"/>
      <c r="AY84" s="40"/>
      <c r="AZ84" s="40"/>
      <c r="BA84" s="5"/>
    </row>
    <row r="85" spans="1:53" ht="26.5" thickBot="1" x14ac:dyDescent="0.4">
      <c r="A85" s="30" t="s">
        <v>359</v>
      </c>
      <c r="B85" s="30" t="s">
        <v>359</v>
      </c>
      <c r="C85" s="30" t="s">
        <v>359</v>
      </c>
      <c r="D85" s="30" t="s">
        <v>359</v>
      </c>
      <c r="E85" s="30" t="s">
        <v>359</v>
      </c>
      <c r="F85" s="30" t="s">
        <v>358</v>
      </c>
      <c r="G85" s="30" t="s">
        <v>358</v>
      </c>
      <c r="H85" s="30" t="s">
        <v>359</v>
      </c>
      <c r="I85" s="30" t="s">
        <v>359</v>
      </c>
      <c r="J85" s="5" t="s">
        <v>420</v>
      </c>
      <c r="K85" s="5" t="s">
        <v>419</v>
      </c>
      <c r="L85" s="5" t="s">
        <v>414</v>
      </c>
      <c r="M85" s="5" t="s">
        <v>403</v>
      </c>
      <c r="N85" s="5" t="s">
        <v>404</v>
      </c>
      <c r="O85" s="5">
        <v>1.609</v>
      </c>
      <c r="P85" s="110"/>
      <c r="Q85" s="110"/>
      <c r="R85" s="404">
        <v>9.9155489932885907E-2</v>
      </c>
      <c r="S85" s="404">
        <v>2.4500926174496639E-3</v>
      </c>
      <c r="T85" s="404">
        <v>2.6349999999999998E-2</v>
      </c>
      <c r="U85" s="110"/>
      <c r="V85" s="121">
        <f t="shared" si="1"/>
        <v>0.12795558255033557</v>
      </c>
      <c r="W85" s="40"/>
      <c r="X85" s="40"/>
      <c r="Y85" s="40"/>
      <c r="Z85" s="40"/>
      <c r="AA85" s="40"/>
      <c r="AB85" s="40"/>
      <c r="AC85" s="40"/>
      <c r="AD85" s="40"/>
      <c r="AE85" s="40"/>
      <c r="AF85" s="40"/>
      <c r="AG85" s="40"/>
      <c r="AH85" s="40"/>
      <c r="AI85" s="40"/>
      <c r="AJ85" s="40"/>
      <c r="AK85" s="40"/>
      <c r="AL85" s="40"/>
      <c r="AM85" s="40"/>
      <c r="AN85" s="40" t="s">
        <v>358</v>
      </c>
      <c r="AO85" s="40" t="s">
        <v>358</v>
      </c>
      <c r="AP85" s="40"/>
      <c r="AQ85" s="40"/>
      <c r="AR85" s="40"/>
      <c r="AS85" s="40"/>
      <c r="AT85" s="40"/>
      <c r="AU85" s="40"/>
      <c r="AV85" s="40"/>
      <c r="AW85" s="40"/>
      <c r="AX85" s="40"/>
      <c r="AY85" s="40"/>
      <c r="AZ85" s="40"/>
      <c r="BA85" s="5"/>
    </row>
    <row r="86" spans="1:53" ht="26.5" thickBot="1" x14ac:dyDescent="0.4">
      <c r="A86" s="30" t="s">
        <v>359</v>
      </c>
      <c r="B86" s="30" t="s">
        <v>359</v>
      </c>
      <c r="C86" s="30" t="s">
        <v>359</v>
      </c>
      <c r="D86" s="30" t="s">
        <v>359</v>
      </c>
      <c r="E86" s="30" t="s">
        <v>359</v>
      </c>
      <c r="F86" s="30" t="s">
        <v>358</v>
      </c>
      <c r="G86" s="30" t="s">
        <v>358</v>
      </c>
      <c r="H86" s="30" t="s">
        <v>359</v>
      </c>
      <c r="I86" s="30" t="s">
        <v>359</v>
      </c>
      <c r="J86" s="5" t="s">
        <v>420</v>
      </c>
      <c r="K86" s="5" t="s">
        <v>161</v>
      </c>
      <c r="L86" s="5" t="s">
        <v>414</v>
      </c>
      <c r="M86" s="5" t="s">
        <v>403</v>
      </c>
      <c r="N86" s="5" t="s">
        <v>404</v>
      </c>
      <c r="O86" s="5">
        <v>1.609</v>
      </c>
      <c r="P86" s="110"/>
      <c r="Q86" s="110"/>
      <c r="R86" s="404">
        <v>9.1676319463087255E-2</v>
      </c>
      <c r="S86" s="404">
        <v>2.2300926174496642E-3</v>
      </c>
      <c r="T86" s="404">
        <v>2.4400000000000002E-2</v>
      </c>
      <c r="U86" s="110"/>
      <c r="V86" s="121">
        <f t="shared" si="1"/>
        <v>0.11830641208053692</v>
      </c>
      <c r="W86" s="40"/>
      <c r="X86" s="40"/>
      <c r="Y86" s="40"/>
      <c r="Z86" s="40"/>
      <c r="AA86" s="40"/>
      <c r="AB86" s="40"/>
      <c r="AC86" s="40"/>
      <c r="AD86" s="40"/>
      <c r="AE86" s="40"/>
      <c r="AF86" s="40"/>
      <c r="AG86" s="40"/>
      <c r="AH86" s="40"/>
      <c r="AI86" s="40"/>
      <c r="AJ86" s="40"/>
      <c r="AK86" s="40"/>
      <c r="AL86" s="40"/>
      <c r="AM86" s="40"/>
      <c r="AN86" s="40" t="s">
        <v>358</v>
      </c>
      <c r="AO86" s="40" t="s">
        <v>358</v>
      </c>
      <c r="AP86" s="40"/>
      <c r="AQ86" s="40"/>
      <c r="AR86" s="40"/>
      <c r="AS86" s="40"/>
      <c r="AT86" s="40"/>
      <c r="AU86" s="40"/>
      <c r="AV86" s="40"/>
      <c r="AW86" s="40"/>
      <c r="AX86" s="40"/>
      <c r="AY86" s="40"/>
      <c r="AZ86" s="40"/>
      <c r="BA86" s="5"/>
    </row>
    <row r="87" spans="1:53" ht="26.5" thickBot="1" x14ac:dyDescent="0.4">
      <c r="A87" s="30" t="s">
        <v>359</v>
      </c>
      <c r="B87" s="30" t="s">
        <v>359</v>
      </c>
      <c r="C87" s="30" t="s">
        <v>359</v>
      </c>
      <c r="D87" s="30" t="s">
        <v>359</v>
      </c>
      <c r="E87" s="30" t="s">
        <v>359</v>
      </c>
      <c r="F87" s="30" t="s">
        <v>358</v>
      </c>
      <c r="G87" s="30" t="s">
        <v>358</v>
      </c>
      <c r="H87" s="30" t="s">
        <v>359</v>
      </c>
      <c r="I87" s="30" t="s">
        <v>359</v>
      </c>
      <c r="J87" s="5" t="s">
        <v>420</v>
      </c>
      <c r="K87" s="5" t="s">
        <v>417</v>
      </c>
      <c r="L87" s="5" t="s">
        <v>405</v>
      </c>
      <c r="M87" s="5" t="s">
        <v>403</v>
      </c>
      <c r="N87" s="5" t="s">
        <v>404</v>
      </c>
      <c r="O87" s="5">
        <v>1.609</v>
      </c>
      <c r="P87" s="110"/>
      <c r="Q87" s="110"/>
      <c r="R87" s="404">
        <v>4.4399300671140937E-2</v>
      </c>
      <c r="S87" s="404">
        <v>3.8289852348993287E-3</v>
      </c>
      <c r="T87" s="404">
        <v>1.0699999999999999E-2</v>
      </c>
      <c r="U87" s="110"/>
      <c r="V87" s="121">
        <f t="shared" si="1"/>
        <v>5.8928285906040268E-2</v>
      </c>
      <c r="W87" s="40"/>
      <c r="X87" s="40"/>
      <c r="Y87" s="40"/>
      <c r="Z87" s="40"/>
      <c r="AA87" s="40"/>
      <c r="AB87" s="40"/>
      <c r="AC87" s="40"/>
      <c r="AD87" s="40"/>
      <c r="AE87" s="40"/>
      <c r="AF87" s="40"/>
      <c r="AG87" s="40"/>
      <c r="AH87" s="40"/>
      <c r="AI87" s="40"/>
      <c r="AJ87" s="40"/>
      <c r="AK87" s="40"/>
      <c r="AL87" s="40"/>
      <c r="AM87" s="40"/>
      <c r="AN87" s="40" t="s">
        <v>358</v>
      </c>
      <c r="AO87" s="40" t="s">
        <v>358</v>
      </c>
      <c r="AP87" s="40"/>
      <c r="AQ87" s="40"/>
      <c r="AR87" s="40"/>
      <c r="AS87" s="40"/>
      <c r="AT87" s="40"/>
      <c r="AU87" s="40"/>
      <c r="AV87" s="40"/>
      <c r="AW87" s="40"/>
      <c r="AX87" s="40"/>
      <c r="AY87" s="40"/>
      <c r="AZ87" s="40"/>
      <c r="BA87" s="5"/>
    </row>
    <row r="88" spans="1:53" ht="26.5" thickBot="1" x14ac:dyDescent="0.4">
      <c r="A88" s="30" t="s">
        <v>359</v>
      </c>
      <c r="B88" s="30" t="s">
        <v>359</v>
      </c>
      <c r="C88" s="30" t="s">
        <v>359</v>
      </c>
      <c r="D88" s="30" t="s">
        <v>359</v>
      </c>
      <c r="E88" s="30" t="s">
        <v>359</v>
      </c>
      <c r="F88" s="30" t="s">
        <v>358</v>
      </c>
      <c r="G88" s="30" t="s">
        <v>358</v>
      </c>
      <c r="H88" s="30" t="s">
        <v>359</v>
      </c>
      <c r="I88" s="30" t="s">
        <v>359</v>
      </c>
      <c r="J88" s="5" t="s">
        <v>420</v>
      </c>
      <c r="K88" s="5" t="s">
        <v>418</v>
      </c>
      <c r="L88" s="5" t="s">
        <v>405</v>
      </c>
      <c r="M88" s="5" t="s">
        <v>403</v>
      </c>
      <c r="N88" s="5" t="s">
        <v>404</v>
      </c>
      <c r="O88" s="5">
        <v>1.609</v>
      </c>
      <c r="P88" s="110"/>
      <c r="Q88" s="110"/>
      <c r="R88" s="404">
        <v>4.8457271140939603E-2</v>
      </c>
      <c r="S88" s="404">
        <v>4.1990778523489933E-3</v>
      </c>
      <c r="T88" s="404">
        <v>1.167E-2</v>
      </c>
      <c r="U88" s="110"/>
      <c r="V88" s="121">
        <f t="shared" si="1"/>
        <v>6.4326348993288596E-2</v>
      </c>
      <c r="W88" s="40"/>
      <c r="X88" s="40"/>
      <c r="Y88" s="40"/>
      <c r="Z88" s="40"/>
      <c r="AA88" s="40"/>
      <c r="AB88" s="40"/>
      <c r="AC88" s="40"/>
      <c r="AD88" s="40"/>
      <c r="AE88" s="40"/>
      <c r="AF88" s="40"/>
      <c r="AG88" s="40"/>
      <c r="AH88" s="40"/>
      <c r="AI88" s="40"/>
      <c r="AJ88" s="40"/>
      <c r="AK88" s="40"/>
      <c r="AL88" s="40"/>
      <c r="AM88" s="40"/>
      <c r="AN88" s="40" t="s">
        <v>358</v>
      </c>
      <c r="AO88" s="40" t="s">
        <v>358</v>
      </c>
      <c r="AP88" s="40"/>
      <c r="AQ88" s="40"/>
      <c r="AR88" s="40"/>
      <c r="AS88" s="40"/>
      <c r="AT88" s="40"/>
      <c r="AU88" s="40"/>
      <c r="AV88" s="40"/>
      <c r="AW88" s="40"/>
      <c r="AX88" s="40"/>
      <c r="AY88" s="40"/>
      <c r="AZ88" s="40"/>
      <c r="BA88" s="5"/>
    </row>
    <row r="89" spans="1:53" ht="26.5" thickBot="1" x14ac:dyDescent="0.4">
      <c r="A89" s="30" t="s">
        <v>359</v>
      </c>
      <c r="B89" s="30" t="s">
        <v>359</v>
      </c>
      <c r="C89" s="30" t="s">
        <v>359</v>
      </c>
      <c r="D89" s="30" t="s">
        <v>359</v>
      </c>
      <c r="E89" s="30" t="s">
        <v>359</v>
      </c>
      <c r="F89" s="30" t="s">
        <v>358</v>
      </c>
      <c r="G89" s="30" t="s">
        <v>358</v>
      </c>
      <c r="H89" s="30" t="s">
        <v>359</v>
      </c>
      <c r="I89" s="30" t="s">
        <v>359</v>
      </c>
      <c r="J89" s="5" t="s">
        <v>420</v>
      </c>
      <c r="K89" s="5" t="s">
        <v>419</v>
      </c>
      <c r="L89" s="5" t="s">
        <v>405</v>
      </c>
      <c r="M89" s="5" t="s">
        <v>403</v>
      </c>
      <c r="N89" s="5" t="s">
        <v>404</v>
      </c>
      <c r="O89" s="5">
        <v>1.609</v>
      </c>
      <c r="P89" s="110"/>
      <c r="Q89" s="110"/>
      <c r="R89" s="404">
        <v>5.3355334228187917E-2</v>
      </c>
      <c r="S89" s="404">
        <v>4.6190778523489935E-3</v>
      </c>
      <c r="T89" s="404">
        <v>1.285E-2</v>
      </c>
      <c r="U89" s="110"/>
      <c r="V89" s="121">
        <f t="shared" si="1"/>
        <v>7.0824412080536914E-2</v>
      </c>
      <c r="W89" s="40"/>
      <c r="X89" s="40"/>
      <c r="Y89" s="40"/>
      <c r="Z89" s="40"/>
      <c r="AA89" s="40"/>
      <c r="AB89" s="40"/>
      <c r="AC89" s="40"/>
      <c r="AD89" s="40"/>
      <c r="AE89" s="40"/>
      <c r="AF89" s="40"/>
      <c r="AG89" s="40"/>
      <c r="AH89" s="40"/>
      <c r="AI89" s="40"/>
      <c r="AJ89" s="40"/>
      <c r="AK89" s="40"/>
      <c r="AL89" s="40"/>
      <c r="AM89" s="40"/>
      <c r="AN89" s="40" t="s">
        <v>358</v>
      </c>
      <c r="AO89" s="40" t="s">
        <v>358</v>
      </c>
      <c r="AP89" s="40"/>
      <c r="AQ89" s="40"/>
      <c r="AR89" s="40"/>
      <c r="AS89" s="40"/>
      <c r="AT89" s="40"/>
      <c r="AU89" s="40"/>
      <c r="AV89" s="40"/>
      <c r="AW89" s="40"/>
      <c r="AX89" s="40"/>
      <c r="AY89" s="40"/>
      <c r="AZ89" s="40"/>
      <c r="BA89" s="5"/>
    </row>
    <row r="90" spans="1:53" ht="26.5" thickBot="1" x14ac:dyDescent="0.4">
      <c r="A90" s="30" t="s">
        <v>359</v>
      </c>
      <c r="B90" s="30" t="s">
        <v>359</v>
      </c>
      <c r="C90" s="30" t="s">
        <v>359</v>
      </c>
      <c r="D90" s="30" t="s">
        <v>359</v>
      </c>
      <c r="E90" s="30" t="s">
        <v>359</v>
      </c>
      <c r="F90" s="30" t="s">
        <v>358</v>
      </c>
      <c r="G90" s="30" t="s">
        <v>358</v>
      </c>
      <c r="H90" s="30" t="s">
        <v>359</v>
      </c>
      <c r="I90" s="30" t="s">
        <v>359</v>
      </c>
      <c r="J90" s="5" t="s">
        <v>420</v>
      </c>
      <c r="K90" s="5" t="s">
        <v>161</v>
      </c>
      <c r="L90" s="5" t="s">
        <v>405</v>
      </c>
      <c r="M90" s="5" t="s">
        <v>403</v>
      </c>
      <c r="N90" s="5" t="s">
        <v>404</v>
      </c>
      <c r="O90" s="5">
        <v>1.609</v>
      </c>
      <c r="P90" s="110"/>
      <c r="Q90" s="110"/>
      <c r="R90" s="404">
        <v>5.0427363758389264E-2</v>
      </c>
      <c r="S90" s="404">
        <v>4.3690778523489933E-3</v>
      </c>
      <c r="T90" s="404">
        <v>1.2149999999999999E-2</v>
      </c>
      <c r="U90" s="110"/>
      <c r="V90" s="121">
        <f t="shared" si="1"/>
        <v>6.6946441610738261E-2</v>
      </c>
      <c r="W90" s="40"/>
      <c r="X90" s="40"/>
      <c r="Y90" s="40"/>
      <c r="Z90" s="40"/>
      <c r="AA90" s="40"/>
      <c r="AB90" s="40"/>
      <c r="AC90" s="40"/>
      <c r="AD90" s="40"/>
      <c r="AE90" s="40"/>
      <c r="AF90" s="40"/>
      <c r="AG90" s="40"/>
      <c r="AH90" s="40"/>
      <c r="AI90" s="40"/>
      <c r="AJ90" s="40"/>
      <c r="AK90" s="40"/>
      <c r="AL90" s="40"/>
      <c r="AM90" s="40"/>
      <c r="AN90" s="40" t="s">
        <v>358</v>
      </c>
      <c r="AO90" s="40" t="s">
        <v>358</v>
      </c>
      <c r="AP90" s="40"/>
      <c r="AQ90" s="40"/>
      <c r="AR90" s="40"/>
      <c r="AS90" s="40"/>
      <c r="AT90" s="40"/>
      <c r="AU90" s="40"/>
      <c r="AV90" s="40"/>
      <c r="AW90" s="40"/>
      <c r="AX90" s="40"/>
      <c r="AY90" s="40"/>
      <c r="AZ90" s="40"/>
      <c r="BA90" s="5"/>
    </row>
    <row r="91" spans="1:53" ht="15" thickBot="1" x14ac:dyDescent="0.4">
      <c r="A91" s="30" t="s">
        <v>359</v>
      </c>
      <c r="B91" s="30" t="s">
        <v>359</v>
      </c>
      <c r="C91" s="30" t="s">
        <v>359</v>
      </c>
      <c r="D91" s="30" t="s">
        <v>359</v>
      </c>
      <c r="E91" s="30" t="s">
        <v>359</v>
      </c>
      <c r="F91" s="30" t="s">
        <v>358</v>
      </c>
      <c r="G91" s="30" t="s">
        <v>358</v>
      </c>
      <c r="H91" s="30" t="s">
        <v>359</v>
      </c>
      <c r="I91" s="30" t="s">
        <v>359</v>
      </c>
      <c r="J91" s="5" t="s">
        <v>420</v>
      </c>
      <c r="K91" s="5" t="s">
        <v>417</v>
      </c>
      <c r="L91" s="5" t="s">
        <v>415</v>
      </c>
      <c r="M91" s="5" t="s">
        <v>403</v>
      </c>
      <c r="N91" s="5" t="s">
        <v>404</v>
      </c>
      <c r="O91" s="5">
        <v>1.609</v>
      </c>
      <c r="P91" s="110"/>
      <c r="Q91" s="110"/>
      <c r="R91" s="404">
        <v>0.1403688577181208</v>
      </c>
      <c r="S91" s="110"/>
      <c r="T91" s="404">
        <v>3.7490000000000002E-2</v>
      </c>
      <c r="U91" s="110"/>
      <c r="V91" s="121">
        <f t="shared" si="1"/>
        <v>0.17785885771812079</v>
      </c>
      <c r="W91" s="40"/>
      <c r="X91" s="40"/>
      <c r="Y91" s="40"/>
      <c r="Z91" s="40"/>
      <c r="AA91" s="40"/>
      <c r="AB91" s="40"/>
      <c r="AC91" s="40"/>
      <c r="AD91" s="40"/>
      <c r="AE91" s="40"/>
      <c r="AF91" s="40"/>
      <c r="AG91" s="40"/>
      <c r="AH91" s="40"/>
      <c r="AI91" s="40"/>
      <c r="AJ91" s="40"/>
      <c r="AK91" s="40"/>
      <c r="AL91" s="40"/>
      <c r="AM91" s="40"/>
      <c r="AN91" s="40" t="s">
        <v>358</v>
      </c>
      <c r="AO91" s="40" t="s">
        <v>358</v>
      </c>
      <c r="AP91" s="40"/>
      <c r="AQ91" s="40"/>
      <c r="AR91" s="40"/>
      <c r="AS91" s="40"/>
      <c r="AT91" s="40"/>
      <c r="AU91" s="40"/>
      <c r="AV91" s="40"/>
      <c r="AW91" s="40"/>
      <c r="AX91" s="40"/>
      <c r="AY91" s="40"/>
      <c r="AZ91" s="40"/>
      <c r="BA91" s="5"/>
    </row>
    <row r="92" spans="1:53" ht="15" thickBot="1" x14ac:dyDescent="0.4">
      <c r="A92" s="30" t="s">
        <v>359</v>
      </c>
      <c r="B92" s="30" t="s">
        <v>359</v>
      </c>
      <c r="C92" s="30" t="s">
        <v>359</v>
      </c>
      <c r="D92" s="30" t="s">
        <v>359</v>
      </c>
      <c r="E92" s="30" t="s">
        <v>359</v>
      </c>
      <c r="F92" s="30" t="s">
        <v>358</v>
      </c>
      <c r="G92" s="30" t="s">
        <v>358</v>
      </c>
      <c r="H92" s="30" t="s">
        <v>359</v>
      </c>
      <c r="I92" s="30" t="s">
        <v>359</v>
      </c>
      <c r="J92" s="5" t="s">
        <v>420</v>
      </c>
      <c r="K92" s="5" t="s">
        <v>418</v>
      </c>
      <c r="L92" s="5" t="s">
        <v>415</v>
      </c>
      <c r="M92" s="5" t="s">
        <v>403</v>
      </c>
      <c r="N92" s="5" t="s">
        <v>404</v>
      </c>
      <c r="O92" s="5">
        <v>1.609</v>
      </c>
      <c r="P92" s="110"/>
      <c r="Q92" s="110"/>
      <c r="R92" s="404">
        <v>0.17245843624161075</v>
      </c>
      <c r="S92" s="110"/>
      <c r="T92" s="404">
        <v>4.496E-2</v>
      </c>
      <c r="U92" s="110"/>
      <c r="V92" s="121">
        <f t="shared" si="1"/>
        <v>0.21741843624161075</v>
      </c>
      <c r="W92" s="40"/>
      <c r="X92" s="40"/>
      <c r="Y92" s="40"/>
      <c r="Z92" s="40"/>
      <c r="AA92" s="40"/>
      <c r="AB92" s="40"/>
      <c r="AC92" s="40"/>
      <c r="AD92" s="40"/>
      <c r="AE92" s="40"/>
      <c r="AF92" s="40"/>
      <c r="AG92" s="40"/>
      <c r="AH92" s="40"/>
      <c r="AI92" s="40"/>
      <c r="AJ92" s="40"/>
      <c r="AK92" s="40"/>
      <c r="AL92" s="40"/>
      <c r="AM92" s="40"/>
      <c r="AN92" s="40" t="s">
        <v>358</v>
      </c>
      <c r="AO92" s="40" t="s">
        <v>358</v>
      </c>
      <c r="AP92" s="40"/>
      <c r="AQ92" s="40"/>
      <c r="AR92" s="40"/>
      <c r="AS92" s="40"/>
      <c r="AT92" s="40"/>
      <c r="AU92" s="40"/>
      <c r="AV92" s="40"/>
      <c r="AW92" s="40"/>
      <c r="AX92" s="40"/>
      <c r="AY92" s="40"/>
      <c r="AZ92" s="40"/>
      <c r="BA92" s="5"/>
    </row>
    <row r="93" spans="1:53" ht="15" thickBot="1" x14ac:dyDescent="0.4">
      <c r="A93" s="30" t="s">
        <v>359</v>
      </c>
      <c r="B93" s="30" t="s">
        <v>359</v>
      </c>
      <c r="C93" s="30" t="s">
        <v>359</v>
      </c>
      <c r="D93" s="30" t="s">
        <v>359</v>
      </c>
      <c r="E93" s="30" t="s">
        <v>359</v>
      </c>
      <c r="F93" s="30" t="s">
        <v>358</v>
      </c>
      <c r="G93" s="30" t="s">
        <v>358</v>
      </c>
      <c r="H93" s="30" t="s">
        <v>359</v>
      </c>
      <c r="I93" s="30" t="s">
        <v>359</v>
      </c>
      <c r="J93" s="5" t="s">
        <v>420</v>
      </c>
      <c r="K93" s="5" t="s">
        <v>419</v>
      </c>
      <c r="L93" s="5" t="s">
        <v>415</v>
      </c>
      <c r="M93" s="5" t="s">
        <v>403</v>
      </c>
      <c r="N93" s="5" t="s">
        <v>404</v>
      </c>
      <c r="O93" s="5">
        <v>1.609</v>
      </c>
      <c r="P93" s="110"/>
      <c r="Q93" s="110"/>
      <c r="R93" s="404">
        <v>0.22611580000000001</v>
      </c>
      <c r="S93" s="110"/>
      <c r="T93" s="404">
        <v>5.7799999999999997E-2</v>
      </c>
      <c r="U93" s="110"/>
      <c r="V93" s="121">
        <f t="shared" si="1"/>
        <v>0.2839158</v>
      </c>
      <c r="W93" s="40"/>
      <c r="X93" s="40"/>
      <c r="Y93" s="40"/>
      <c r="Z93" s="40"/>
      <c r="AA93" s="40"/>
      <c r="AB93" s="40"/>
      <c r="AC93" s="40"/>
      <c r="AD93" s="40"/>
      <c r="AE93" s="40"/>
      <c r="AF93" s="40"/>
      <c r="AG93" s="40"/>
      <c r="AH93" s="40"/>
      <c r="AI93" s="40"/>
      <c r="AJ93" s="40"/>
      <c r="AK93" s="40"/>
      <c r="AL93" s="40"/>
      <c r="AM93" s="40"/>
      <c r="AN93" s="40" t="s">
        <v>358</v>
      </c>
      <c r="AO93" s="40" t="s">
        <v>358</v>
      </c>
      <c r="AP93" s="40"/>
      <c r="AQ93" s="40"/>
      <c r="AR93" s="40"/>
      <c r="AS93" s="40"/>
      <c r="AT93" s="40"/>
      <c r="AU93" s="40"/>
      <c r="AV93" s="40"/>
      <c r="AW93" s="40"/>
      <c r="AX93" s="40"/>
      <c r="AY93" s="40"/>
      <c r="AZ93" s="40"/>
      <c r="BA93" s="5"/>
    </row>
    <row r="94" spans="1:53" ht="15" thickBot="1" x14ac:dyDescent="0.4">
      <c r="A94" s="30" t="s">
        <v>359</v>
      </c>
      <c r="B94" s="30" t="s">
        <v>359</v>
      </c>
      <c r="C94" s="30" t="s">
        <v>359</v>
      </c>
      <c r="D94" s="30" t="s">
        <v>359</v>
      </c>
      <c r="E94" s="30" t="s">
        <v>359</v>
      </c>
      <c r="F94" s="30" t="s">
        <v>358</v>
      </c>
      <c r="G94" s="30" t="s">
        <v>358</v>
      </c>
      <c r="H94" s="30" t="s">
        <v>359</v>
      </c>
      <c r="I94" s="30" t="s">
        <v>359</v>
      </c>
      <c r="J94" s="5" t="s">
        <v>420</v>
      </c>
      <c r="K94" s="5" t="s">
        <v>161</v>
      </c>
      <c r="L94" s="5" t="s">
        <v>415</v>
      </c>
      <c r="M94" s="5" t="s">
        <v>403</v>
      </c>
      <c r="N94" s="5" t="s">
        <v>404</v>
      </c>
      <c r="O94" s="5">
        <v>1.609</v>
      </c>
      <c r="P94" s="110"/>
      <c r="Q94" s="110"/>
      <c r="R94" s="404">
        <v>0.16663858791946309</v>
      </c>
      <c r="S94" s="110"/>
      <c r="T94" s="404">
        <v>4.3659999999999997E-2</v>
      </c>
      <c r="U94" s="110"/>
      <c r="V94" s="121">
        <f t="shared" si="1"/>
        <v>0.2102985879194631</v>
      </c>
      <c r="W94" s="40"/>
      <c r="X94" s="40"/>
      <c r="Y94" s="40"/>
      <c r="Z94" s="40"/>
      <c r="AA94" s="40"/>
      <c r="AB94" s="40"/>
      <c r="AC94" s="40"/>
      <c r="AD94" s="40"/>
      <c r="AE94" s="40"/>
      <c r="AF94" s="40"/>
      <c r="AG94" s="40"/>
      <c r="AH94" s="40"/>
      <c r="AI94" s="40"/>
      <c r="AJ94" s="40"/>
      <c r="AK94" s="40"/>
      <c r="AL94" s="40"/>
      <c r="AM94" s="40"/>
      <c r="AN94" s="40" t="s">
        <v>358</v>
      </c>
      <c r="AO94" s="40" t="s">
        <v>358</v>
      </c>
      <c r="AP94" s="40"/>
      <c r="AQ94" s="40"/>
      <c r="AR94" s="40"/>
      <c r="AS94" s="40"/>
      <c r="AT94" s="40"/>
      <c r="AU94" s="40"/>
      <c r="AV94" s="40"/>
      <c r="AW94" s="40"/>
      <c r="AX94" s="40"/>
      <c r="AY94" s="40"/>
      <c r="AZ94" s="40"/>
      <c r="BA94" s="5"/>
    </row>
    <row r="95" spans="1:53" ht="15" thickBot="1" x14ac:dyDescent="0.4">
      <c r="A95" s="30" t="s">
        <v>359</v>
      </c>
      <c r="B95" s="30" t="s">
        <v>359</v>
      </c>
      <c r="C95" s="30" t="s">
        <v>359</v>
      </c>
      <c r="D95" s="30" t="s">
        <v>359</v>
      </c>
      <c r="E95" s="30" t="s">
        <v>359</v>
      </c>
      <c r="F95" s="30" t="s">
        <v>358</v>
      </c>
      <c r="G95" s="30" t="s">
        <v>358</v>
      </c>
      <c r="H95" s="30" t="s">
        <v>359</v>
      </c>
      <c r="I95" s="30" t="s">
        <v>359</v>
      </c>
      <c r="J95" s="5" t="s">
        <v>160</v>
      </c>
      <c r="K95" s="5" t="s">
        <v>417</v>
      </c>
      <c r="L95" s="5" t="s">
        <v>162</v>
      </c>
      <c r="M95" s="5" t="s">
        <v>403</v>
      </c>
      <c r="N95" s="5" t="s">
        <v>404</v>
      </c>
      <c r="O95" s="5">
        <v>1.609</v>
      </c>
      <c r="P95" s="110"/>
      <c r="Q95" s="110"/>
      <c r="R95" s="404">
        <v>8.3185186577181214E-2</v>
      </c>
      <c r="S95" s="110"/>
      <c r="T95" s="404">
        <v>2.1477283641637351E-2</v>
      </c>
      <c r="U95" s="110"/>
      <c r="V95" s="121">
        <f t="shared" si="1"/>
        <v>0.10466247021881857</v>
      </c>
      <c r="W95" s="40"/>
      <c r="X95" s="40"/>
      <c r="Y95" s="40"/>
      <c r="Z95" s="40"/>
      <c r="AA95" s="40"/>
      <c r="AB95" s="40"/>
      <c r="AC95" s="40"/>
      <c r="AD95" s="40"/>
      <c r="AE95" s="40"/>
      <c r="AF95" s="40"/>
      <c r="AG95" s="40"/>
      <c r="AH95" s="40"/>
      <c r="AI95" s="40"/>
      <c r="AJ95" s="40"/>
      <c r="AK95" s="40"/>
      <c r="AL95" s="40"/>
      <c r="AM95" s="40"/>
      <c r="AN95" s="40" t="s">
        <v>358</v>
      </c>
      <c r="AO95" s="40" t="s">
        <v>358</v>
      </c>
      <c r="AP95" s="40"/>
      <c r="AQ95" s="40"/>
      <c r="AR95" s="40"/>
      <c r="AS95" s="40"/>
      <c r="AT95" s="40"/>
      <c r="AU95" s="40"/>
      <c r="AV95" s="40"/>
      <c r="AW95" s="40"/>
      <c r="AX95" s="40"/>
      <c r="AY95" s="40"/>
      <c r="AZ95" s="40"/>
      <c r="BA95" s="5"/>
    </row>
    <row r="96" spans="1:53" ht="15" thickBot="1" x14ac:dyDescent="0.4">
      <c r="A96" s="30" t="s">
        <v>359</v>
      </c>
      <c r="B96" s="30" t="s">
        <v>359</v>
      </c>
      <c r="C96" s="30" t="s">
        <v>359</v>
      </c>
      <c r="D96" s="30" t="s">
        <v>359</v>
      </c>
      <c r="E96" s="30" t="s">
        <v>359</v>
      </c>
      <c r="F96" s="30" t="s">
        <v>358</v>
      </c>
      <c r="G96" s="30" t="s">
        <v>358</v>
      </c>
      <c r="H96" s="30" t="s">
        <v>359</v>
      </c>
      <c r="I96" s="30" t="s">
        <v>359</v>
      </c>
      <c r="J96" s="5" t="s">
        <v>160</v>
      </c>
      <c r="K96" s="5" t="s">
        <v>418</v>
      </c>
      <c r="L96" s="5" t="s">
        <v>162</v>
      </c>
      <c r="M96" s="5" t="s">
        <v>403</v>
      </c>
      <c r="N96" s="5" t="s">
        <v>404</v>
      </c>
      <c r="O96" s="5">
        <v>1.609</v>
      </c>
      <c r="P96" s="110"/>
      <c r="Q96" s="110"/>
      <c r="R96" s="404">
        <v>0.10107835704697987</v>
      </c>
      <c r="S96" s="110"/>
      <c r="T96" s="404">
        <v>2.6080232441426123E-2</v>
      </c>
      <c r="U96" s="110"/>
      <c r="V96" s="121">
        <f t="shared" si="1"/>
        <v>0.127158589488406</v>
      </c>
      <c r="W96" s="40"/>
      <c r="X96" s="40"/>
      <c r="Y96" s="40"/>
      <c r="Z96" s="40"/>
      <c r="AA96" s="40"/>
      <c r="AB96" s="40"/>
      <c r="AC96" s="40"/>
      <c r="AD96" s="40"/>
      <c r="AE96" s="40"/>
      <c r="AF96" s="40"/>
      <c r="AG96" s="40"/>
      <c r="AH96" s="40"/>
      <c r="AI96" s="40"/>
      <c r="AJ96" s="40"/>
      <c r="AK96" s="40"/>
      <c r="AL96" s="40"/>
      <c r="AM96" s="40"/>
      <c r="AN96" s="40" t="s">
        <v>358</v>
      </c>
      <c r="AO96" s="40" t="s">
        <v>358</v>
      </c>
      <c r="AP96" s="40"/>
      <c r="AQ96" s="40"/>
      <c r="AR96" s="40"/>
      <c r="AS96" s="40"/>
      <c r="AT96" s="40"/>
      <c r="AU96" s="40"/>
      <c r="AV96" s="40"/>
      <c r="AW96" s="40"/>
      <c r="AX96" s="40"/>
      <c r="AY96" s="40"/>
      <c r="AZ96" s="40"/>
      <c r="BA96" s="5"/>
    </row>
    <row r="97" spans="1:53" ht="15" thickBot="1" x14ac:dyDescent="0.4">
      <c r="A97" s="30" t="s">
        <v>359</v>
      </c>
      <c r="B97" s="30" t="s">
        <v>359</v>
      </c>
      <c r="C97" s="30" t="s">
        <v>359</v>
      </c>
      <c r="D97" s="30" t="s">
        <v>359</v>
      </c>
      <c r="E97" s="30" t="s">
        <v>359</v>
      </c>
      <c r="F97" s="30" t="s">
        <v>358</v>
      </c>
      <c r="G97" s="30" t="s">
        <v>358</v>
      </c>
      <c r="H97" s="30" t="s">
        <v>359</v>
      </c>
      <c r="I97" s="30" t="s">
        <v>359</v>
      </c>
      <c r="J97" s="5" t="s">
        <v>160</v>
      </c>
      <c r="K97" s="5" t="s">
        <v>419</v>
      </c>
      <c r="L97" s="5" t="s">
        <v>162</v>
      </c>
      <c r="M97" s="5" t="s">
        <v>403</v>
      </c>
      <c r="N97" s="5" t="s">
        <v>404</v>
      </c>
      <c r="O97" s="5">
        <v>1.609</v>
      </c>
      <c r="P97" s="110"/>
      <c r="Q97" s="110"/>
      <c r="R97" s="404">
        <v>0.13251915704697986</v>
      </c>
      <c r="S97" s="110"/>
      <c r="T97" s="404">
        <v>3.4691896896768638E-2</v>
      </c>
      <c r="U97" s="110"/>
      <c r="V97" s="121">
        <f t="shared" si="1"/>
        <v>0.16721105394374849</v>
      </c>
      <c r="W97" s="40"/>
      <c r="X97" s="40"/>
      <c r="Y97" s="40"/>
      <c r="Z97" s="40"/>
      <c r="AA97" s="40"/>
      <c r="AB97" s="40"/>
      <c r="AC97" s="40"/>
      <c r="AD97" s="40"/>
      <c r="AE97" s="40"/>
      <c r="AF97" s="40"/>
      <c r="AG97" s="40"/>
      <c r="AH97" s="40"/>
      <c r="AI97" s="40"/>
      <c r="AJ97" s="40"/>
      <c r="AK97" s="40"/>
      <c r="AL97" s="40"/>
      <c r="AM97" s="40"/>
      <c r="AN97" s="40" t="s">
        <v>358</v>
      </c>
      <c r="AO97" s="40" t="s">
        <v>358</v>
      </c>
      <c r="AP97" s="40"/>
      <c r="AQ97" s="40"/>
      <c r="AR97" s="40"/>
      <c r="AS97" s="40"/>
      <c r="AT97" s="40"/>
      <c r="AU97" s="40"/>
      <c r="AV97" s="40"/>
      <c r="AW97" s="40"/>
      <c r="AX97" s="40"/>
      <c r="AY97" s="40"/>
      <c r="AZ97" s="40"/>
      <c r="BA97" s="5"/>
    </row>
    <row r="98" spans="1:53" ht="15" thickBot="1" x14ac:dyDescent="0.4">
      <c r="A98" s="30" t="s">
        <v>359</v>
      </c>
      <c r="B98" s="30" t="s">
        <v>359</v>
      </c>
      <c r="C98" s="30" t="s">
        <v>359</v>
      </c>
      <c r="D98" s="30" t="s">
        <v>359</v>
      </c>
      <c r="E98" s="30" t="s">
        <v>359</v>
      </c>
      <c r="F98" s="30" t="s">
        <v>358</v>
      </c>
      <c r="G98" s="30" t="s">
        <v>358</v>
      </c>
      <c r="H98" s="30" t="s">
        <v>359</v>
      </c>
      <c r="I98" s="30" t="s">
        <v>359</v>
      </c>
      <c r="J98" s="5" t="s">
        <v>160</v>
      </c>
      <c r="K98" s="5" t="s">
        <v>161</v>
      </c>
      <c r="L98" s="5" t="s">
        <v>162</v>
      </c>
      <c r="M98" s="5" t="s">
        <v>403</v>
      </c>
      <c r="N98" s="5" t="s">
        <v>404</v>
      </c>
      <c r="O98" s="5">
        <v>1.609</v>
      </c>
      <c r="P98" s="110"/>
      <c r="Q98" s="110"/>
      <c r="R98" s="404">
        <v>0.1136742644295302</v>
      </c>
      <c r="S98" s="110"/>
      <c r="T98" s="404">
        <v>2.9560740857659844E-2</v>
      </c>
      <c r="U98" s="110"/>
      <c r="V98" s="121">
        <f t="shared" si="1"/>
        <v>0.14323500528719005</v>
      </c>
      <c r="W98" s="40"/>
      <c r="X98" s="40"/>
      <c r="Y98" s="40"/>
      <c r="Z98" s="40"/>
      <c r="AA98" s="40"/>
      <c r="AB98" s="40"/>
      <c r="AC98" s="40"/>
      <c r="AD98" s="40"/>
      <c r="AE98" s="40"/>
      <c r="AF98" s="40"/>
      <c r="AG98" s="40"/>
      <c r="AH98" s="40"/>
      <c r="AI98" s="40"/>
      <c r="AJ98" s="40"/>
      <c r="AK98" s="40"/>
      <c r="AL98" s="40"/>
      <c r="AM98" s="40"/>
      <c r="AN98" s="40" t="s">
        <v>358</v>
      </c>
      <c r="AO98" s="40" t="s">
        <v>358</v>
      </c>
      <c r="AP98" s="40"/>
      <c r="AQ98" s="40"/>
      <c r="AR98" s="40"/>
      <c r="AS98" s="40"/>
      <c r="AT98" s="40"/>
      <c r="AU98" s="40"/>
      <c r="AV98" s="40"/>
      <c r="AW98" s="40"/>
      <c r="AX98" s="40"/>
      <c r="AY98" s="40"/>
      <c r="AZ98" s="40"/>
      <c r="BA98" s="5"/>
    </row>
    <row r="99" spans="1:53" ht="15" thickBot="1" x14ac:dyDescent="0.4">
      <c r="A99" s="30" t="s">
        <v>359</v>
      </c>
      <c r="B99" s="30" t="s">
        <v>359</v>
      </c>
      <c r="C99" s="30" t="s">
        <v>359</v>
      </c>
      <c r="D99" s="30" t="s">
        <v>359</v>
      </c>
      <c r="E99" s="30" t="s">
        <v>359</v>
      </c>
      <c r="F99" s="30" t="s">
        <v>358</v>
      </c>
      <c r="G99" s="30" t="s">
        <v>358</v>
      </c>
      <c r="H99" s="30" t="s">
        <v>359</v>
      </c>
      <c r="I99" s="30" t="s">
        <v>359</v>
      </c>
      <c r="J99" s="5" t="s">
        <v>421</v>
      </c>
      <c r="K99" s="5" t="s">
        <v>422</v>
      </c>
      <c r="L99" s="5" t="s">
        <v>423</v>
      </c>
      <c r="M99" s="5" t="s">
        <v>424</v>
      </c>
      <c r="N99" s="5" t="s">
        <v>425</v>
      </c>
      <c r="O99" s="5">
        <v>1.609</v>
      </c>
      <c r="P99" s="110"/>
      <c r="Q99" s="110"/>
      <c r="R99" s="404">
        <v>0.14861492593825501</v>
      </c>
      <c r="S99" s="110"/>
      <c r="T99" s="404">
        <v>3.6970871232702762E-2</v>
      </c>
      <c r="U99" s="110"/>
      <c r="V99" s="121">
        <f t="shared" si="1"/>
        <v>0.18558579717095777</v>
      </c>
      <c r="W99" s="40"/>
      <c r="X99" s="40"/>
      <c r="Y99" s="40"/>
      <c r="Z99" s="40"/>
      <c r="AA99" s="40"/>
      <c r="AB99" s="40"/>
      <c r="AC99" s="40"/>
      <c r="AD99" s="40"/>
      <c r="AE99" s="40"/>
      <c r="AF99" s="40"/>
      <c r="AG99" s="40"/>
      <c r="AH99" s="40"/>
      <c r="AI99" s="40"/>
      <c r="AJ99" s="40"/>
      <c r="AK99" s="40"/>
      <c r="AL99" s="40"/>
      <c r="AM99" s="40"/>
      <c r="AN99" s="40" t="s">
        <v>358</v>
      </c>
      <c r="AO99" s="40" t="s">
        <v>358</v>
      </c>
      <c r="AP99" s="40"/>
      <c r="AQ99" s="40"/>
      <c r="AR99" s="40"/>
      <c r="AS99" s="40"/>
      <c r="AT99" s="40"/>
      <c r="AU99" s="40"/>
      <c r="AV99" s="40"/>
      <c r="AW99" s="40"/>
      <c r="AX99" s="40"/>
      <c r="AY99" s="40"/>
      <c r="AZ99" s="40"/>
      <c r="BA99" s="5"/>
    </row>
    <row r="100" spans="1:53" ht="15" thickBot="1" x14ac:dyDescent="0.4">
      <c r="A100" s="30" t="s">
        <v>359</v>
      </c>
      <c r="B100" s="30" t="s">
        <v>359</v>
      </c>
      <c r="C100" s="30" t="s">
        <v>359</v>
      </c>
      <c r="D100" s="30" t="s">
        <v>359</v>
      </c>
      <c r="E100" s="30" t="s">
        <v>359</v>
      </c>
      <c r="F100" s="30" t="s">
        <v>358</v>
      </c>
      <c r="G100" s="30" t="s">
        <v>358</v>
      </c>
      <c r="H100" s="30" t="s">
        <v>359</v>
      </c>
      <c r="I100" s="30" t="s">
        <v>359</v>
      </c>
      <c r="J100" s="5" t="s">
        <v>421</v>
      </c>
      <c r="K100" s="5" t="s">
        <v>422</v>
      </c>
      <c r="L100" s="5" t="s">
        <v>426</v>
      </c>
      <c r="M100" s="5" t="s">
        <v>424</v>
      </c>
      <c r="N100" s="5" t="s">
        <v>425</v>
      </c>
      <c r="O100" s="5">
        <v>1.609</v>
      </c>
      <c r="P100" s="110"/>
      <c r="Q100" s="110"/>
      <c r="R100" s="404">
        <v>0.20402466838120806</v>
      </c>
      <c r="S100" s="110"/>
      <c r="T100" s="404">
        <v>5.0896023172773634E-2</v>
      </c>
      <c r="U100" s="110"/>
      <c r="V100" s="121">
        <f t="shared" si="1"/>
        <v>0.25492069155398167</v>
      </c>
      <c r="W100" s="40"/>
      <c r="X100" s="40"/>
      <c r="Y100" s="40"/>
      <c r="Z100" s="40"/>
      <c r="AA100" s="40"/>
      <c r="AB100" s="40"/>
      <c r="AC100" s="40"/>
      <c r="AD100" s="40"/>
      <c r="AE100" s="40"/>
      <c r="AF100" s="40"/>
      <c r="AG100" s="40"/>
      <c r="AH100" s="40"/>
      <c r="AI100" s="40"/>
      <c r="AJ100" s="40"/>
      <c r="AK100" s="40"/>
      <c r="AL100" s="40"/>
      <c r="AM100" s="40"/>
      <c r="AN100" s="40" t="s">
        <v>358</v>
      </c>
      <c r="AO100" s="40" t="s">
        <v>358</v>
      </c>
      <c r="AP100" s="40"/>
      <c r="AQ100" s="40"/>
      <c r="AR100" s="40"/>
      <c r="AS100" s="40"/>
      <c r="AT100" s="40"/>
      <c r="AU100" s="40"/>
      <c r="AV100" s="40"/>
      <c r="AW100" s="40"/>
      <c r="AX100" s="40"/>
      <c r="AY100" s="40"/>
      <c r="AZ100" s="40"/>
      <c r="BA100" s="5"/>
    </row>
    <row r="101" spans="1:53" ht="26.5" thickBot="1" x14ac:dyDescent="0.4">
      <c r="A101" s="30" t="s">
        <v>359</v>
      </c>
      <c r="B101" s="30" t="s">
        <v>359</v>
      </c>
      <c r="C101" s="30" t="s">
        <v>359</v>
      </c>
      <c r="D101" s="30" t="s">
        <v>359</v>
      </c>
      <c r="E101" s="30" t="s">
        <v>359</v>
      </c>
      <c r="F101" s="30" t="s">
        <v>358</v>
      </c>
      <c r="G101" s="30" t="s">
        <v>358</v>
      </c>
      <c r="H101" s="30" t="s">
        <v>359</v>
      </c>
      <c r="I101" s="30" t="s">
        <v>359</v>
      </c>
      <c r="J101" s="5" t="s">
        <v>421</v>
      </c>
      <c r="K101" s="5" t="s">
        <v>427</v>
      </c>
      <c r="L101" s="5" t="s">
        <v>428</v>
      </c>
      <c r="M101" s="5" t="s">
        <v>424</v>
      </c>
      <c r="N101" s="5" t="s">
        <v>425</v>
      </c>
      <c r="O101" s="5">
        <v>1.609</v>
      </c>
      <c r="P101" s="110"/>
      <c r="Q101" s="110"/>
      <c r="R101" s="404">
        <v>0.10215039463087248</v>
      </c>
      <c r="S101" s="110"/>
      <c r="T101" s="404">
        <v>2.4930000000000001E-2</v>
      </c>
      <c r="U101" s="110"/>
      <c r="V101" s="121">
        <f t="shared" si="1"/>
        <v>0.12708039463087248</v>
      </c>
      <c r="W101" s="40"/>
      <c r="X101" s="40"/>
      <c r="Y101" s="40"/>
      <c r="Z101" s="40"/>
      <c r="AA101" s="40"/>
      <c r="AB101" s="40"/>
      <c r="AC101" s="40"/>
      <c r="AD101" s="40"/>
      <c r="AE101" s="40"/>
      <c r="AF101" s="40"/>
      <c r="AG101" s="40"/>
      <c r="AH101" s="40"/>
      <c r="AI101" s="40"/>
      <c r="AJ101" s="40"/>
      <c r="AK101" s="40"/>
      <c r="AL101" s="40"/>
      <c r="AM101" s="40"/>
      <c r="AN101" s="40" t="s">
        <v>358</v>
      </c>
      <c r="AO101" s="40" t="s">
        <v>358</v>
      </c>
      <c r="AP101" s="40"/>
      <c r="AQ101" s="40"/>
      <c r="AR101" s="40"/>
      <c r="AS101" s="40"/>
      <c r="AT101" s="40"/>
      <c r="AU101" s="40"/>
      <c r="AV101" s="40"/>
      <c r="AW101" s="40"/>
      <c r="AX101" s="40"/>
      <c r="AY101" s="40"/>
      <c r="AZ101" s="40"/>
      <c r="BA101" s="5"/>
    </row>
    <row r="102" spans="1:53" ht="15" thickBot="1" x14ac:dyDescent="0.4">
      <c r="A102" s="30" t="s">
        <v>359</v>
      </c>
      <c r="B102" s="30" t="s">
        <v>359</v>
      </c>
      <c r="C102" s="30" t="s">
        <v>359</v>
      </c>
      <c r="D102" s="30" t="s">
        <v>359</v>
      </c>
      <c r="E102" s="30" t="s">
        <v>359</v>
      </c>
      <c r="F102" s="30" t="s">
        <v>358</v>
      </c>
      <c r="G102" s="30" t="s">
        <v>358</v>
      </c>
      <c r="H102" s="30" t="s">
        <v>359</v>
      </c>
      <c r="I102" s="30" t="s">
        <v>359</v>
      </c>
      <c r="J102" s="5" t="s">
        <v>421</v>
      </c>
      <c r="K102" s="5" t="s">
        <v>427</v>
      </c>
      <c r="L102" s="5" t="s">
        <v>429</v>
      </c>
      <c r="M102" s="5" t="s">
        <v>424</v>
      </c>
      <c r="N102" s="5" t="s">
        <v>425</v>
      </c>
      <c r="O102" s="5">
        <v>1.609</v>
      </c>
      <c r="P102" s="110"/>
      <c r="Q102" s="110"/>
      <c r="R102" s="404">
        <v>2.7181401342281877E-2</v>
      </c>
      <c r="S102" s="110"/>
      <c r="T102" s="404">
        <v>6.5599999999999999E-3</v>
      </c>
      <c r="U102" s="110"/>
      <c r="V102" s="121">
        <f t="shared" si="1"/>
        <v>3.3741401342281874E-2</v>
      </c>
      <c r="W102" s="40"/>
      <c r="X102" s="40"/>
      <c r="Y102" s="40"/>
      <c r="Z102" s="40"/>
      <c r="AA102" s="40"/>
      <c r="AB102" s="40"/>
      <c r="AC102" s="40"/>
      <c r="AD102" s="40"/>
      <c r="AE102" s="40"/>
      <c r="AF102" s="40"/>
      <c r="AG102" s="40"/>
      <c r="AH102" s="40"/>
      <c r="AI102" s="40"/>
      <c r="AJ102" s="40"/>
      <c r="AK102" s="40"/>
      <c r="AL102" s="40"/>
      <c r="AM102" s="40"/>
      <c r="AN102" s="40" t="s">
        <v>358</v>
      </c>
      <c r="AO102" s="40" t="s">
        <v>358</v>
      </c>
      <c r="AP102" s="40"/>
      <c r="AQ102" s="40"/>
      <c r="AR102" s="40"/>
      <c r="AS102" s="40"/>
      <c r="AT102" s="40"/>
      <c r="AU102" s="40"/>
      <c r="AV102" s="40"/>
      <c r="AW102" s="40"/>
      <c r="AX102" s="40"/>
      <c r="AY102" s="40"/>
      <c r="AZ102" s="40"/>
      <c r="BA102" s="5"/>
    </row>
    <row r="103" spans="1:53" ht="15" thickBot="1" x14ac:dyDescent="0.4">
      <c r="A103" s="30" t="s">
        <v>359</v>
      </c>
      <c r="B103" s="30" t="s">
        <v>359</v>
      </c>
      <c r="C103" s="30" t="s">
        <v>359</v>
      </c>
      <c r="D103" s="30" t="s">
        <v>359</v>
      </c>
      <c r="E103" s="30" t="s">
        <v>359</v>
      </c>
      <c r="F103" s="30" t="s">
        <v>358</v>
      </c>
      <c r="G103" s="30" t="s">
        <v>358</v>
      </c>
      <c r="H103" s="30" t="s">
        <v>359</v>
      </c>
      <c r="I103" s="30" t="s">
        <v>359</v>
      </c>
      <c r="J103" s="5" t="s">
        <v>421</v>
      </c>
      <c r="K103" s="5" t="s">
        <v>430</v>
      </c>
      <c r="L103" s="5" t="s">
        <v>431</v>
      </c>
      <c r="M103" s="5" t="s">
        <v>424</v>
      </c>
      <c r="N103" s="5" t="s">
        <v>425</v>
      </c>
      <c r="O103" s="5">
        <v>1.609</v>
      </c>
      <c r="P103" s="110"/>
      <c r="Q103" s="110"/>
      <c r="R103" s="404">
        <v>3.5462963758389261E-2</v>
      </c>
      <c r="S103" s="110"/>
      <c r="T103" s="404">
        <v>8.9661739156600591E-3</v>
      </c>
      <c r="U103" s="110"/>
      <c r="V103" s="121">
        <f t="shared" si="1"/>
        <v>4.4429137674049324E-2</v>
      </c>
      <c r="W103" s="40"/>
      <c r="X103" s="40"/>
      <c r="Y103" s="40"/>
      <c r="Z103" s="40"/>
      <c r="AA103" s="40"/>
      <c r="AB103" s="40"/>
      <c r="AC103" s="40"/>
      <c r="AD103" s="40"/>
      <c r="AE103" s="40"/>
      <c r="AF103" s="40"/>
      <c r="AG103" s="40"/>
      <c r="AH103" s="40"/>
      <c r="AI103" s="40"/>
      <c r="AJ103" s="40"/>
      <c r="AK103" s="40"/>
      <c r="AL103" s="40"/>
      <c r="AM103" s="40"/>
      <c r="AN103" s="40" t="s">
        <v>358</v>
      </c>
      <c r="AO103" s="40" t="s">
        <v>358</v>
      </c>
      <c r="AP103" s="40"/>
      <c r="AQ103" s="40"/>
      <c r="AR103" s="40"/>
      <c r="AS103" s="40"/>
      <c r="AT103" s="40"/>
      <c r="AU103" s="40"/>
      <c r="AV103" s="40"/>
      <c r="AW103" s="40"/>
      <c r="AX103" s="40"/>
      <c r="AY103" s="40"/>
      <c r="AZ103" s="40"/>
      <c r="BA103" s="5"/>
    </row>
    <row r="104" spans="1:53" ht="15" thickBot="1" x14ac:dyDescent="0.4">
      <c r="A104" s="30" t="s">
        <v>359</v>
      </c>
      <c r="B104" s="30" t="s">
        <v>359</v>
      </c>
      <c r="C104" s="30" t="s">
        <v>359</v>
      </c>
      <c r="D104" s="30" t="s">
        <v>359</v>
      </c>
      <c r="E104" s="30" t="s">
        <v>359</v>
      </c>
      <c r="F104" s="30" t="s">
        <v>358</v>
      </c>
      <c r="G104" s="30" t="s">
        <v>358</v>
      </c>
      <c r="H104" s="30" t="s">
        <v>359</v>
      </c>
      <c r="I104" s="30" t="s">
        <v>359</v>
      </c>
      <c r="J104" s="5" t="s">
        <v>421</v>
      </c>
      <c r="K104" s="5" t="s">
        <v>430</v>
      </c>
      <c r="L104" s="5" t="s">
        <v>432</v>
      </c>
      <c r="M104" s="5" t="s">
        <v>424</v>
      </c>
      <c r="N104" s="5" t="s">
        <v>425</v>
      </c>
      <c r="O104" s="5">
        <v>1.609</v>
      </c>
      <c r="P104" s="110"/>
      <c r="Q104" s="110"/>
      <c r="R104" s="404">
        <v>4.4590778523489931E-3</v>
      </c>
      <c r="S104" s="110"/>
      <c r="T104" s="404">
        <v>1.1660046796149852E-3</v>
      </c>
      <c r="U104" s="110"/>
      <c r="V104" s="121">
        <f t="shared" si="1"/>
        <v>5.6250825319639781E-3</v>
      </c>
      <c r="W104" s="40"/>
      <c r="X104" s="40"/>
      <c r="Y104" s="40"/>
      <c r="Z104" s="40"/>
      <c r="AA104" s="40"/>
      <c r="AB104" s="40"/>
      <c r="AC104" s="40"/>
      <c r="AD104" s="40"/>
      <c r="AE104" s="40"/>
      <c r="AF104" s="40"/>
      <c r="AG104" s="40"/>
      <c r="AH104" s="40"/>
      <c r="AI104" s="40"/>
      <c r="AJ104" s="40"/>
      <c r="AK104" s="40"/>
      <c r="AL104" s="40"/>
      <c r="AM104" s="40"/>
      <c r="AN104" s="40" t="s">
        <v>358</v>
      </c>
      <c r="AO104" s="40" t="s">
        <v>358</v>
      </c>
      <c r="AP104" s="40"/>
      <c r="AQ104" s="40"/>
      <c r="AR104" s="40"/>
      <c r="AS104" s="40"/>
      <c r="AT104" s="40"/>
      <c r="AU104" s="40"/>
      <c r="AV104" s="40"/>
      <c r="AW104" s="40"/>
      <c r="AX104" s="40"/>
      <c r="AY104" s="40"/>
      <c r="AZ104" s="40"/>
      <c r="BA104" s="5"/>
    </row>
    <row r="105" spans="1:53" ht="26.5" thickBot="1" x14ac:dyDescent="0.4">
      <c r="A105" s="30" t="s">
        <v>359</v>
      </c>
      <c r="B105" s="30" t="s">
        <v>359</v>
      </c>
      <c r="C105" s="30" t="s">
        <v>359</v>
      </c>
      <c r="D105" s="30" t="s">
        <v>359</v>
      </c>
      <c r="E105" s="30" t="s">
        <v>359</v>
      </c>
      <c r="F105" s="30" t="s">
        <v>358</v>
      </c>
      <c r="G105" s="30" t="s">
        <v>358</v>
      </c>
      <c r="H105" s="30" t="s">
        <v>359</v>
      </c>
      <c r="I105" s="30" t="s">
        <v>359</v>
      </c>
      <c r="J105" s="5" t="s">
        <v>421</v>
      </c>
      <c r="K105" s="5" t="s">
        <v>430</v>
      </c>
      <c r="L105" s="5" t="s">
        <v>433</v>
      </c>
      <c r="M105" s="5" t="s">
        <v>424</v>
      </c>
      <c r="N105" s="5" t="s">
        <v>425</v>
      </c>
      <c r="O105" s="5">
        <v>1.609</v>
      </c>
      <c r="P105" s="110"/>
      <c r="Q105" s="110"/>
      <c r="R105" s="404">
        <v>2.8603267114093962E-2</v>
      </c>
      <c r="S105" s="110"/>
      <c r="T105" s="404">
        <v>7.4885645371824475E-3</v>
      </c>
      <c r="U105" s="110"/>
      <c r="V105" s="121">
        <f t="shared" si="1"/>
        <v>3.6091831651276413E-2</v>
      </c>
      <c r="W105" s="40"/>
      <c r="X105" s="40"/>
      <c r="Y105" s="40"/>
      <c r="Z105" s="40"/>
      <c r="AA105" s="40"/>
      <c r="AB105" s="40"/>
      <c r="AC105" s="40"/>
      <c r="AD105" s="40"/>
      <c r="AE105" s="40"/>
      <c r="AF105" s="40"/>
      <c r="AG105" s="40"/>
      <c r="AH105" s="40"/>
      <c r="AI105" s="40"/>
      <c r="AJ105" s="40"/>
      <c r="AK105" s="40"/>
      <c r="AL105" s="40"/>
      <c r="AM105" s="40"/>
      <c r="AN105" s="40" t="s">
        <v>358</v>
      </c>
      <c r="AO105" s="40" t="s">
        <v>358</v>
      </c>
      <c r="AP105" s="40"/>
      <c r="AQ105" s="40"/>
      <c r="AR105" s="40"/>
      <c r="AS105" s="40"/>
      <c r="AT105" s="40"/>
      <c r="AU105" s="40"/>
      <c r="AV105" s="40"/>
      <c r="AW105" s="40"/>
      <c r="AX105" s="40"/>
      <c r="AY105" s="40"/>
      <c r="AZ105" s="40"/>
      <c r="BA105" s="5"/>
    </row>
    <row r="106" spans="1:53" ht="26.5" thickBot="1" x14ac:dyDescent="0.4">
      <c r="A106" s="30" t="s">
        <v>359</v>
      </c>
      <c r="B106" s="30" t="s">
        <v>359</v>
      </c>
      <c r="C106" s="30" t="s">
        <v>359</v>
      </c>
      <c r="D106" s="30" t="s">
        <v>359</v>
      </c>
      <c r="E106" s="30" t="s">
        <v>359</v>
      </c>
      <c r="F106" s="30" t="s">
        <v>358</v>
      </c>
      <c r="G106" s="30" t="s">
        <v>358</v>
      </c>
      <c r="H106" s="30" t="s">
        <v>359</v>
      </c>
      <c r="I106" s="30" t="s">
        <v>359</v>
      </c>
      <c r="J106" s="5" t="s">
        <v>421</v>
      </c>
      <c r="K106" s="5" t="s">
        <v>430</v>
      </c>
      <c r="L106" s="5" t="s">
        <v>434</v>
      </c>
      <c r="M106" s="5" t="s">
        <v>424</v>
      </c>
      <c r="N106" s="5" t="s">
        <v>425</v>
      </c>
      <c r="O106" s="5">
        <v>1.609</v>
      </c>
      <c r="P106" s="110"/>
      <c r="Q106" s="110"/>
      <c r="R106" s="404">
        <v>2.780206711409396E-2</v>
      </c>
      <c r="S106" s="110"/>
      <c r="T106" s="404">
        <v>7.2774774831142171E-3</v>
      </c>
      <c r="U106" s="110"/>
      <c r="V106" s="121">
        <f t="shared" si="1"/>
        <v>3.5079544597208176E-2</v>
      </c>
      <c r="W106" s="40"/>
      <c r="X106" s="40"/>
      <c r="Y106" s="40"/>
      <c r="Z106" s="40"/>
      <c r="AA106" s="40"/>
      <c r="AB106" s="40"/>
      <c r="AC106" s="40"/>
      <c r="AD106" s="40"/>
      <c r="AE106" s="40"/>
      <c r="AF106" s="40"/>
      <c r="AG106" s="40"/>
      <c r="AH106" s="40"/>
      <c r="AI106" s="40"/>
      <c r="AJ106" s="40"/>
      <c r="AK106" s="40"/>
      <c r="AL106" s="40"/>
      <c r="AM106" s="40"/>
      <c r="AN106" s="40" t="s">
        <v>358</v>
      </c>
      <c r="AO106" s="40" t="s">
        <v>358</v>
      </c>
      <c r="AP106" s="40"/>
      <c r="AQ106" s="40"/>
      <c r="AR106" s="40"/>
      <c r="AS106" s="40"/>
      <c r="AT106" s="40"/>
      <c r="AU106" s="40"/>
      <c r="AV106" s="40"/>
      <c r="AW106" s="40"/>
      <c r="AX106" s="40"/>
      <c r="AY106" s="40"/>
      <c r="AZ106" s="40"/>
      <c r="BA106" s="5"/>
    </row>
    <row r="107" spans="1:53" ht="26.5" thickBot="1" x14ac:dyDescent="0.4">
      <c r="A107" s="30" t="s">
        <v>359</v>
      </c>
      <c r="B107" s="30" t="s">
        <v>359</v>
      </c>
      <c r="C107" s="30" t="s">
        <v>359</v>
      </c>
      <c r="D107" s="30" t="s">
        <v>359</v>
      </c>
      <c r="E107" s="30" t="s">
        <v>359</v>
      </c>
      <c r="F107" s="30" t="s">
        <v>358</v>
      </c>
      <c r="G107" s="30" t="s">
        <v>358</v>
      </c>
      <c r="H107" s="30" t="s">
        <v>359</v>
      </c>
      <c r="I107" s="30" t="s">
        <v>359</v>
      </c>
      <c r="J107" s="5" t="s">
        <v>421</v>
      </c>
      <c r="K107" s="5" t="s">
        <v>435</v>
      </c>
      <c r="L107" s="5" t="s">
        <v>436</v>
      </c>
      <c r="M107" s="5" t="s">
        <v>424</v>
      </c>
      <c r="N107" s="5" t="s">
        <v>425</v>
      </c>
      <c r="O107" s="5">
        <v>1.609</v>
      </c>
      <c r="P107" s="110"/>
      <c r="Q107" s="110"/>
      <c r="R107" s="404">
        <v>1.8710813959731544E-2</v>
      </c>
      <c r="S107" s="110"/>
      <c r="T107" s="404">
        <v>4.2423289183590313E-3</v>
      </c>
      <c r="U107" s="110"/>
      <c r="V107" s="121">
        <f t="shared" si="1"/>
        <v>2.2953142878090575E-2</v>
      </c>
      <c r="W107" s="40"/>
      <c r="X107" s="40"/>
      <c r="Y107" s="40"/>
      <c r="Z107" s="40"/>
      <c r="AA107" s="40"/>
      <c r="AB107" s="40"/>
      <c r="AC107" s="40"/>
      <c r="AD107" s="40"/>
      <c r="AE107" s="40"/>
      <c r="AF107" s="40"/>
      <c r="AG107" s="40"/>
      <c r="AH107" s="40"/>
      <c r="AI107" s="40"/>
      <c r="AJ107" s="40"/>
      <c r="AK107" s="40"/>
      <c r="AL107" s="40" t="s">
        <v>358</v>
      </c>
      <c r="AM107" s="40" t="s">
        <v>358</v>
      </c>
      <c r="AN107" s="40"/>
      <c r="AO107" s="40"/>
      <c r="AP107" s="40"/>
      <c r="AQ107" s="40"/>
      <c r="AR107" s="40"/>
      <c r="AS107" s="40"/>
      <c r="AT107" s="40"/>
      <c r="AU107" s="40"/>
      <c r="AV107" s="40"/>
      <c r="AW107" s="40"/>
      <c r="AX107" s="40"/>
      <c r="AY107" s="40"/>
      <c r="AZ107" s="40"/>
      <c r="BA107" s="5"/>
    </row>
    <row r="108" spans="1:53" ht="26.5" thickBot="1" x14ac:dyDescent="0.4">
      <c r="A108" s="30" t="s">
        <v>359</v>
      </c>
      <c r="B108" s="30" t="s">
        <v>359</v>
      </c>
      <c r="C108" s="30" t="s">
        <v>359</v>
      </c>
      <c r="D108" s="30" t="s">
        <v>359</v>
      </c>
      <c r="E108" s="30" t="s">
        <v>359</v>
      </c>
      <c r="F108" s="30" t="s">
        <v>358</v>
      </c>
      <c r="G108" s="30" t="s">
        <v>358</v>
      </c>
      <c r="H108" s="30" t="s">
        <v>359</v>
      </c>
      <c r="I108" s="30" t="s">
        <v>359</v>
      </c>
      <c r="J108" s="5" t="s">
        <v>421</v>
      </c>
      <c r="K108" s="5" t="s">
        <v>435</v>
      </c>
      <c r="L108" s="5" t="s">
        <v>437</v>
      </c>
      <c r="M108" s="5" t="s">
        <v>424</v>
      </c>
      <c r="N108" s="5" t="s">
        <v>425</v>
      </c>
      <c r="O108" s="5">
        <v>1.609</v>
      </c>
      <c r="P108" s="110"/>
      <c r="Q108" s="110"/>
      <c r="R108" s="404">
        <v>0.12932887543624161</v>
      </c>
      <c r="S108" s="110"/>
      <c r="T108" s="404">
        <v>2.9324292121746469E-2</v>
      </c>
      <c r="U108" s="110"/>
      <c r="V108" s="121">
        <f t="shared" si="1"/>
        <v>0.15865316755798808</v>
      </c>
      <c r="W108" s="40"/>
      <c r="X108" s="40"/>
      <c r="Y108" s="40"/>
      <c r="Z108" s="40"/>
      <c r="AA108" s="40"/>
      <c r="AB108" s="40"/>
      <c r="AC108" s="40"/>
      <c r="AD108" s="40"/>
      <c r="AE108" s="40"/>
      <c r="AF108" s="40"/>
      <c r="AG108" s="40"/>
      <c r="AH108" s="40"/>
      <c r="AI108" s="40"/>
      <c r="AJ108" s="40"/>
      <c r="AK108" s="40"/>
      <c r="AL108" s="40" t="s">
        <v>358</v>
      </c>
      <c r="AM108" s="40" t="s">
        <v>358</v>
      </c>
      <c r="AN108" s="40"/>
      <c r="AO108" s="40"/>
      <c r="AP108" s="40"/>
      <c r="AQ108" s="40"/>
      <c r="AR108" s="40"/>
      <c r="AS108" s="40"/>
      <c r="AT108" s="40"/>
      <c r="AU108" s="40"/>
      <c r="AV108" s="40"/>
      <c r="AW108" s="40"/>
      <c r="AX108" s="40"/>
      <c r="AY108" s="40"/>
      <c r="AZ108" s="40"/>
      <c r="BA108" s="5"/>
    </row>
    <row r="109" spans="1:53" ht="15" thickBot="1" x14ac:dyDescent="0.4">
      <c r="A109" s="30" t="s">
        <v>359</v>
      </c>
      <c r="B109" s="30" t="s">
        <v>359</v>
      </c>
      <c r="C109" s="30" t="s">
        <v>359</v>
      </c>
      <c r="D109" s="30" t="s">
        <v>359</v>
      </c>
      <c r="E109" s="30" t="s">
        <v>359</v>
      </c>
      <c r="F109" s="30" t="s">
        <v>358</v>
      </c>
      <c r="G109" s="30" t="s">
        <v>359</v>
      </c>
      <c r="H109" s="30" t="s">
        <v>359</v>
      </c>
      <c r="I109" s="30" t="s">
        <v>359</v>
      </c>
      <c r="J109" s="5" t="s">
        <v>438</v>
      </c>
      <c r="K109" s="5" t="s">
        <v>439</v>
      </c>
      <c r="L109" s="5" t="s">
        <v>161</v>
      </c>
      <c r="M109" s="5" t="s">
        <v>424</v>
      </c>
      <c r="N109" s="5" t="s">
        <v>425</v>
      </c>
      <c r="O109" s="5">
        <v>1.609</v>
      </c>
      <c r="P109" s="110"/>
      <c r="Q109" s="110"/>
      <c r="R109" s="404">
        <v>0.27257678523489931</v>
      </c>
      <c r="S109" s="110"/>
      <c r="T109" s="404">
        <v>3.3500000000000002E-2</v>
      </c>
      <c r="U109" s="110"/>
      <c r="V109" s="121">
        <f t="shared" si="1"/>
        <v>0.30607678523489934</v>
      </c>
      <c r="W109" s="40"/>
      <c r="X109" s="40"/>
      <c r="Y109" s="40"/>
      <c r="Z109" s="40"/>
      <c r="AA109" s="40"/>
      <c r="AB109" s="40"/>
      <c r="AC109" s="40"/>
      <c r="AD109" s="40"/>
      <c r="AE109" s="40"/>
      <c r="AF109" s="40"/>
      <c r="AG109" s="40"/>
      <c r="AH109" s="40"/>
      <c r="AI109" s="40"/>
      <c r="AJ109" s="40" t="s">
        <v>358</v>
      </c>
      <c r="AK109" s="40" t="s">
        <v>358</v>
      </c>
      <c r="AL109" s="40"/>
      <c r="AM109" s="40"/>
      <c r="AN109" s="40"/>
      <c r="AO109" s="40"/>
      <c r="AP109" s="40"/>
      <c r="AQ109" s="40"/>
      <c r="AR109" s="40"/>
      <c r="AS109" s="40"/>
      <c r="AT109" s="40"/>
      <c r="AU109" s="40"/>
      <c r="AV109" s="40"/>
      <c r="AW109" s="40"/>
      <c r="AX109" s="40"/>
      <c r="AY109" s="40"/>
      <c r="AZ109" s="40"/>
      <c r="BA109" s="5"/>
    </row>
    <row r="110" spans="1:53" ht="15" thickBot="1" x14ac:dyDescent="0.4">
      <c r="A110" s="30" t="s">
        <v>359</v>
      </c>
      <c r="B110" s="30" t="s">
        <v>359</v>
      </c>
      <c r="C110" s="30" t="s">
        <v>359</v>
      </c>
      <c r="D110" s="30" t="s">
        <v>359</v>
      </c>
      <c r="E110" s="30" t="s">
        <v>359</v>
      </c>
      <c r="F110" s="30" t="s">
        <v>358</v>
      </c>
      <c r="G110" s="30" t="s">
        <v>359</v>
      </c>
      <c r="H110" s="30" t="s">
        <v>359</v>
      </c>
      <c r="I110" s="30" t="s">
        <v>359</v>
      </c>
      <c r="J110" s="5" t="s">
        <v>438</v>
      </c>
      <c r="K110" s="5" t="s">
        <v>696</v>
      </c>
      <c r="L110" s="5" t="s">
        <v>161</v>
      </c>
      <c r="M110" s="5" t="s">
        <v>424</v>
      </c>
      <c r="N110" s="5" t="s">
        <v>425</v>
      </c>
      <c r="O110" s="5">
        <v>1.609</v>
      </c>
      <c r="P110" s="110"/>
      <c r="Q110" s="110"/>
      <c r="R110" s="404">
        <v>0.1859171395973154</v>
      </c>
      <c r="S110" s="110"/>
      <c r="T110" s="404">
        <v>2.2859999999999998E-2</v>
      </c>
      <c r="U110" s="110"/>
      <c r="V110" s="121">
        <f t="shared" si="1"/>
        <v>0.20877713959731539</v>
      </c>
      <c r="W110" s="40"/>
      <c r="X110" s="40"/>
      <c r="Y110" s="40"/>
      <c r="Z110" s="40"/>
      <c r="AA110" s="40"/>
      <c r="AB110" s="40"/>
      <c r="AC110" s="40"/>
      <c r="AD110" s="40"/>
      <c r="AE110" s="40"/>
      <c r="AF110" s="40"/>
      <c r="AG110" s="40"/>
      <c r="AH110" s="40"/>
      <c r="AI110" s="40"/>
      <c r="AJ110" s="40" t="s">
        <v>358</v>
      </c>
      <c r="AK110" s="40" t="s">
        <v>358</v>
      </c>
      <c r="AL110" s="40"/>
      <c r="AM110" s="40"/>
      <c r="AN110" s="40"/>
      <c r="AO110" s="40"/>
      <c r="AP110" s="40"/>
      <c r="AQ110" s="40"/>
      <c r="AR110" s="40"/>
      <c r="AS110" s="40"/>
      <c r="AT110" s="40"/>
      <c r="AU110" s="40"/>
      <c r="AV110" s="40"/>
      <c r="AW110" s="40"/>
      <c r="AX110" s="40"/>
      <c r="AY110" s="40"/>
      <c r="AZ110" s="40"/>
      <c r="BA110" s="5"/>
    </row>
    <row r="111" spans="1:53" ht="15" thickBot="1" x14ac:dyDescent="0.4">
      <c r="A111" s="30" t="s">
        <v>359</v>
      </c>
      <c r="B111" s="30" t="s">
        <v>359</v>
      </c>
      <c r="C111" s="30" t="s">
        <v>359</v>
      </c>
      <c r="D111" s="30" t="s">
        <v>359</v>
      </c>
      <c r="E111" s="30" t="s">
        <v>359</v>
      </c>
      <c r="F111" s="30" t="s">
        <v>358</v>
      </c>
      <c r="G111" s="30" t="s">
        <v>359</v>
      </c>
      <c r="H111" s="30" t="s">
        <v>359</v>
      </c>
      <c r="I111" s="30" t="s">
        <v>359</v>
      </c>
      <c r="J111" s="5" t="s">
        <v>438</v>
      </c>
      <c r="K111" s="5" t="s">
        <v>696</v>
      </c>
      <c r="L111" s="5" t="s">
        <v>440</v>
      </c>
      <c r="M111" s="5" t="s">
        <v>424</v>
      </c>
      <c r="N111" s="5" t="s">
        <v>425</v>
      </c>
      <c r="O111" s="5">
        <v>1.609</v>
      </c>
      <c r="P111" s="110"/>
      <c r="Q111" s="110"/>
      <c r="R111" s="404">
        <v>0.18286935436241611</v>
      </c>
      <c r="S111" s="110"/>
      <c r="T111" s="404">
        <v>2.249E-2</v>
      </c>
      <c r="U111" s="110"/>
      <c r="V111" s="121">
        <f t="shared" si="1"/>
        <v>0.20535935436241612</v>
      </c>
      <c r="W111" s="40"/>
      <c r="X111" s="40"/>
      <c r="Y111" s="40"/>
      <c r="Z111" s="40"/>
      <c r="AA111" s="40"/>
      <c r="AB111" s="40"/>
      <c r="AC111" s="40"/>
      <c r="AD111" s="40"/>
      <c r="AE111" s="40"/>
      <c r="AF111" s="40"/>
      <c r="AG111" s="40"/>
      <c r="AH111" s="40"/>
      <c r="AI111" s="40"/>
      <c r="AJ111" s="40" t="s">
        <v>358</v>
      </c>
      <c r="AK111" s="40" t="s">
        <v>358</v>
      </c>
      <c r="AL111" s="40"/>
      <c r="AM111" s="40"/>
      <c r="AN111" s="40"/>
      <c r="AO111" s="40"/>
      <c r="AP111" s="40"/>
      <c r="AQ111" s="40"/>
      <c r="AR111" s="40"/>
      <c r="AS111" s="40"/>
      <c r="AT111" s="40"/>
      <c r="AU111" s="40"/>
      <c r="AV111" s="40"/>
      <c r="AW111" s="40"/>
      <c r="AX111" s="40"/>
      <c r="AY111" s="40"/>
      <c r="AZ111" s="40"/>
      <c r="BA111" s="5"/>
    </row>
    <row r="112" spans="1:53" ht="15" thickBot="1" x14ac:dyDescent="0.4">
      <c r="A112" s="30" t="s">
        <v>359</v>
      </c>
      <c r="B112" s="30" t="s">
        <v>359</v>
      </c>
      <c r="C112" s="30" t="s">
        <v>359</v>
      </c>
      <c r="D112" s="30" t="s">
        <v>359</v>
      </c>
      <c r="E112" s="30" t="s">
        <v>359</v>
      </c>
      <c r="F112" s="30" t="s">
        <v>358</v>
      </c>
      <c r="G112" s="30" t="s">
        <v>359</v>
      </c>
      <c r="H112" s="30" t="s">
        <v>359</v>
      </c>
      <c r="I112" s="30" t="s">
        <v>359</v>
      </c>
      <c r="J112" s="5" t="s">
        <v>438</v>
      </c>
      <c r="K112" s="5" t="s">
        <v>696</v>
      </c>
      <c r="L112" s="5" t="s">
        <v>441</v>
      </c>
      <c r="M112" s="5" t="s">
        <v>424</v>
      </c>
      <c r="N112" s="5" t="s">
        <v>425</v>
      </c>
      <c r="O112" s="5">
        <v>1.609</v>
      </c>
      <c r="P112" s="110"/>
      <c r="Q112" s="110"/>
      <c r="R112" s="404">
        <v>0.27430287785234903</v>
      </c>
      <c r="S112" s="110"/>
      <c r="T112" s="404">
        <v>3.3730000000000003E-2</v>
      </c>
      <c r="U112" s="110"/>
      <c r="V112" s="121">
        <f t="shared" si="1"/>
        <v>0.30803287785234901</v>
      </c>
      <c r="W112" s="40"/>
      <c r="X112" s="40"/>
      <c r="Y112" s="40"/>
      <c r="Z112" s="40"/>
      <c r="AA112" s="40"/>
      <c r="AB112" s="40"/>
      <c r="AC112" s="40"/>
      <c r="AD112" s="40"/>
      <c r="AE112" s="40"/>
      <c r="AF112" s="40"/>
      <c r="AG112" s="40"/>
      <c r="AH112" s="40"/>
      <c r="AI112" s="40"/>
      <c r="AJ112" s="40" t="s">
        <v>358</v>
      </c>
      <c r="AK112" s="40" t="s">
        <v>358</v>
      </c>
      <c r="AL112" s="40"/>
      <c r="AM112" s="40"/>
      <c r="AN112" s="40"/>
      <c r="AO112" s="40"/>
      <c r="AP112" s="40"/>
      <c r="AQ112" s="40"/>
      <c r="AR112" s="40"/>
      <c r="AS112" s="40"/>
      <c r="AT112" s="40"/>
      <c r="AU112" s="40"/>
      <c r="AV112" s="40"/>
      <c r="AW112" s="40"/>
      <c r="AX112" s="40"/>
      <c r="AY112" s="40"/>
      <c r="AZ112" s="40"/>
      <c r="BA112" s="5"/>
    </row>
    <row r="113" spans="1:53" ht="15" thickBot="1" x14ac:dyDescent="0.4">
      <c r="A113" s="30" t="s">
        <v>359</v>
      </c>
      <c r="B113" s="30" t="s">
        <v>359</v>
      </c>
      <c r="C113" s="30" t="s">
        <v>359</v>
      </c>
      <c r="D113" s="30" t="s">
        <v>359</v>
      </c>
      <c r="E113" s="30" t="s">
        <v>359</v>
      </c>
      <c r="F113" s="30" t="s">
        <v>358</v>
      </c>
      <c r="G113" s="30" t="s">
        <v>359</v>
      </c>
      <c r="H113" s="30" t="s">
        <v>359</v>
      </c>
      <c r="I113" s="30" t="s">
        <v>359</v>
      </c>
      <c r="J113" s="5" t="s">
        <v>438</v>
      </c>
      <c r="K113" s="5" t="s">
        <v>699</v>
      </c>
      <c r="L113" s="5" t="s">
        <v>161</v>
      </c>
      <c r="M113" s="5" t="s">
        <v>424</v>
      </c>
      <c r="N113" s="5" t="s">
        <v>425</v>
      </c>
      <c r="O113" s="5">
        <v>1.609</v>
      </c>
      <c r="P113" s="110"/>
      <c r="Q113" s="110"/>
      <c r="R113" s="404">
        <v>0.26128062953020131</v>
      </c>
      <c r="S113" s="110"/>
      <c r="T113" s="404">
        <v>3.2129999999999999E-2</v>
      </c>
      <c r="U113" s="110"/>
      <c r="V113" s="121">
        <f t="shared" si="1"/>
        <v>0.29341062953020131</v>
      </c>
      <c r="W113" s="40"/>
      <c r="X113" s="40"/>
      <c r="Y113" s="40"/>
      <c r="Z113" s="40"/>
      <c r="AA113" s="40"/>
      <c r="AB113" s="40"/>
      <c r="AC113" s="40"/>
      <c r="AD113" s="40"/>
      <c r="AE113" s="40"/>
      <c r="AF113" s="40"/>
      <c r="AG113" s="40"/>
      <c r="AH113" s="40"/>
      <c r="AI113" s="40"/>
      <c r="AJ113" s="40" t="s">
        <v>358</v>
      </c>
      <c r="AK113" s="40" t="s">
        <v>358</v>
      </c>
      <c r="AL113" s="40"/>
      <c r="AM113" s="40"/>
      <c r="AN113" s="40"/>
      <c r="AO113" s="40"/>
      <c r="AP113" s="40"/>
      <c r="AQ113" s="40"/>
      <c r="AR113" s="40"/>
      <c r="AS113" s="40"/>
      <c r="AT113" s="40"/>
      <c r="AU113" s="40"/>
      <c r="AV113" s="40"/>
      <c r="AW113" s="40"/>
      <c r="AX113" s="40"/>
      <c r="AY113" s="40"/>
      <c r="AZ113" s="40"/>
      <c r="BA113" s="5"/>
    </row>
    <row r="114" spans="1:53" ht="15" thickBot="1" x14ac:dyDescent="0.4">
      <c r="A114" s="30" t="s">
        <v>359</v>
      </c>
      <c r="B114" s="30" t="s">
        <v>359</v>
      </c>
      <c r="C114" s="30" t="s">
        <v>359</v>
      </c>
      <c r="D114" s="30" t="s">
        <v>359</v>
      </c>
      <c r="E114" s="30" t="s">
        <v>359</v>
      </c>
      <c r="F114" s="30" t="s">
        <v>358</v>
      </c>
      <c r="G114" s="30" t="s">
        <v>359</v>
      </c>
      <c r="H114" s="30" t="s">
        <v>359</v>
      </c>
      <c r="I114" s="30" t="s">
        <v>359</v>
      </c>
      <c r="J114" s="5" t="s">
        <v>438</v>
      </c>
      <c r="K114" s="5" t="s">
        <v>699</v>
      </c>
      <c r="L114" s="5" t="s">
        <v>440</v>
      </c>
      <c r="M114" s="5" t="s">
        <v>424</v>
      </c>
      <c r="N114" s="5" t="s">
        <v>425</v>
      </c>
      <c r="O114" s="5">
        <v>1.609</v>
      </c>
      <c r="P114" s="110"/>
      <c r="Q114" s="110"/>
      <c r="R114" s="404">
        <v>0.20010828053691276</v>
      </c>
      <c r="S114" s="110"/>
      <c r="T114" s="404">
        <v>2.461E-2</v>
      </c>
      <c r="U114" s="110"/>
      <c r="V114" s="121">
        <f t="shared" si="1"/>
        <v>0.22471828053691276</v>
      </c>
      <c r="W114" s="40"/>
      <c r="X114" s="40"/>
      <c r="Y114" s="40"/>
      <c r="Z114" s="40"/>
      <c r="AA114" s="40"/>
      <c r="AB114" s="40"/>
      <c r="AC114" s="40"/>
      <c r="AD114" s="40"/>
      <c r="AE114" s="40"/>
      <c r="AF114" s="40"/>
      <c r="AG114" s="40"/>
      <c r="AH114" s="40"/>
      <c r="AI114" s="40"/>
      <c r="AJ114" s="40" t="s">
        <v>358</v>
      </c>
      <c r="AK114" s="40" t="s">
        <v>358</v>
      </c>
      <c r="AL114" s="40"/>
      <c r="AM114" s="40"/>
      <c r="AN114" s="40"/>
      <c r="AO114" s="40"/>
      <c r="AP114" s="40"/>
      <c r="AQ114" s="40"/>
      <c r="AR114" s="40"/>
      <c r="AS114" s="40"/>
      <c r="AT114" s="40"/>
      <c r="AU114" s="40"/>
      <c r="AV114" s="40"/>
      <c r="AW114" s="40"/>
      <c r="AX114" s="40"/>
      <c r="AY114" s="40"/>
      <c r="AZ114" s="40"/>
      <c r="BA114" s="5"/>
    </row>
    <row r="115" spans="1:53" ht="15" thickBot="1" x14ac:dyDescent="0.4">
      <c r="A115" s="30" t="s">
        <v>359</v>
      </c>
      <c r="B115" s="30" t="s">
        <v>359</v>
      </c>
      <c r="C115" s="30" t="s">
        <v>359</v>
      </c>
      <c r="D115" s="30" t="s">
        <v>359</v>
      </c>
      <c r="E115" s="30" t="s">
        <v>359</v>
      </c>
      <c r="F115" s="30" t="s">
        <v>358</v>
      </c>
      <c r="G115" s="30" t="s">
        <v>359</v>
      </c>
      <c r="H115" s="30" t="s">
        <v>359</v>
      </c>
      <c r="I115" s="30" t="s">
        <v>359</v>
      </c>
      <c r="J115" s="5" t="s">
        <v>438</v>
      </c>
      <c r="K115" s="5" t="s">
        <v>699</v>
      </c>
      <c r="L115" s="5" t="s">
        <v>441</v>
      </c>
      <c r="M115" s="5" t="s">
        <v>424</v>
      </c>
      <c r="N115" s="5" t="s">
        <v>425</v>
      </c>
      <c r="O115" s="5">
        <v>1.609</v>
      </c>
      <c r="P115" s="110"/>
      <c r="Q115" s="110"/>
      <c r="R115" s="404">
        <v>0.58028693020134225</v>
      </c>
      <c r="S115" s="110"/>
      <c r="T115" s="404">
        <v>7.1370000000000003E-2</v>
      </c>
      <c r="U115" s="110"/>
      <c r="V115" s="121">
        <f t="shared" si="1"/>
        <v>0.6516569302013423</v>
      </c>
      <c r="W115" s="40"/>
      <c r="X115" s="40"/>
      <c r="Y115" s="40"/>
      <c r="Z115" s="40"/>
      <c r="AA115" s="40"/>
      <c r="AB115" s="40"/>
      <c r="AC115" s="40"/>
      <c r="AD115" s="40"/>
      <c r="AE115" s="40"/>
      <c r="AF115" s="40"/>
      <c r="AG115" s="40"/>
      <c r="AH115" s="40"/>
      <c r="AI115" s="40"/>
      <c r="AJ115" s="40" t="s">
        <v>358</v>
      </c>
      <c r="AK115" s="40" t="s">
        <v>358</v>
      </c>
      <c r="AL115" s="40"/>
      <c r="AM115" s="40"/>
      <c r="AN115" s="40"/>
      <c r="AO115" s="40"/>
      <c r="AP115" s="40"/>
      <c r="AQ115" s="40"/>
      <c r="AR115" s="40"/>
      <c r="AS115" s="40"/>
      <c r="AT115" s="40"/>
      <c r="AU115" s="40"/>
      <c r="AV115" s="40"/>
      <c r="AW115" s="40"/>
      <c r="AX115" s="40"/>
      <c r="AY115" s="40"/>
      <c r="AZ115" s="40"/>
      <c r="BA115" s="5"/>
    </row>
    <row r="116" spans="1:53" ht="26.5" thickBot="1" x14ac:dyDescent="0.4">
      <c r="A116" s="30" t="s">
        <v>359</v>
      </c>
      <c r="B116" s="30" t="s">
        <v>359</v>
      </c>
      <c r="C116" s="30" t="s">
        <v>359</v>
      </c>
      <c r="D116" s="30" t="s">
        <v>359</v>
      </c>
      <c r="E116" s="30" t="s">
        <v>359</v>
      </c>
      <c r="F116" s="30" t="s">
        <v>359</v>
      </c>
      <c r="G116" s="30" t="s">
        <v>359</v>
      </c>
      <c r="H116" s="30" t="s">
        <v>358</v>
      </c>
      <c r="I116" s="30" t="s">
        <v>359</v>
      </c>
      <c r="J116" s="5" t="s">
        <v>72</v>
      </c>
      <c r="K116" s="265" t="s">
        <v>442</v>
      </c>
      <c r="L116" s="5"/>
      <c r="M116" s="5" t="s">
        <v>443</v>
      </c>
      <c r="N116" s="5"/>
      <c r="O116" s="5"/>
      <c r="P116" s="110"/>
      <c r="Q116" s="110"/>
      <c r="R116" s="408">
        <f>0.33378*(7.5*((5*52)-28))</f>
        <v>580.77719999999999</v>
      </c>
      <c r="S116" s="110"/>
      <c r="T116" s="110"/>
      <c r="U116" s="110"/>
      <c r="V116" s="121">
        <f t="shared" si="1"/>
        <v>580.77719999999999</v>
      </c>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t="s">
        <v>358</v>
      </c>
      <c r="AU116" s="40"/>
      <c r="AV116" s="40"/>
      <c r="AW116" s="40"/>
      <c r="AX116" s="40"/>
      <c r="AY116" s="40"/>
      <c r="AZ116" s="40"/>
      <c r="BA116" s="5" t="s">
        <v>1123</v>
      </c>
    </row>
    <row r="117" spans="1:53" ht="15" thickBot="1" x14ac:dyDescent="0.4">
      <c r="A117" s="30" t="s">
        <v>359</v>
      </c>
      <c r="B117" s="30" t="s">
        <v>359</v>
      </c>
      <c r="C117" s="30" t="s">
        <v>359</v>
      </c>
      <c r="D117" s="30" t="s">
        <v>359</v>
      </c>
      <c r="E117" s="30" t="s">
        <v>358</v>
      </c>
      <c r="F117" s="30" t="s">
        <v>359</v>
      </c>
      <c r="G117" s="30" t="s">
        <v>359</v>
      </c>
      <c r="H117" s="30" t="s">
        <v>359</v>
      </c>
      <c r="I117" s="30" t="s">
        <v>359</v>
      </c>
      <c r="J117" s="5" t="s">
        <v>73</v>
      </c>
      <c r="K117" s="5" t="s">
        <v>444</v>
      </c>
      <c r="L117" s="5" t="s">
        <v>174</v>
      </c>
      <c r="M117" s="5" t="s">
        <v>172</v>
      </c>
      <c r="N117" s="5" t="s">
        <v>445</v>
      </c>
      <c r="O117" s="5">
        <v>1E-3</v>
      </c>
      <c r="P117" s="110"/>
      <c r="Q117" s="110"/>
      <c r="R117" s="404">
        <v>0.98491172324161069</v>
      </c>
      <c r="S117" s="110"/>
      <c r="T117" s="110"/>
      <c r="U117" s="110"/>
      <c r="V117" s="121">
        <f>ROUND(SUM(P117:U117),3)</f>
        <v>0.98499999999999999</v>
      </c>
      <c r="W117" s="40"/>
      <c r="X117" s="40"/>
      <c r="Y117" s="40"/>
      <c r="Z117" s="40"/>
      <c r="AA117" s="40"/>
      <c r="AB117" s="40"/>
      <c r="AC117" s="40"/>
      <c r="AD117" s="40"/>
      <c r="AE117" s="40"/>
      <c r="AF117" s="40"/>
      <c r="AG117" s="40"/>
      <c r="AH117" s="40"/>
      <c r="AI117" s="40" t="s">
        <v>358</v>
      </c>
      <c r="AJ117" s="40"/>
      <c r="AK117" s="40"/>
      <c r="AL117" s="40"/>
      <c r="AM117" s="40"/>
      <c r="AN117" s="40"/>
      <c r="AO117" s="40"/>
      <c r="AP117" s="40"/>
      <c r="AQ117" s="40"/>
      <c r="AR117" s="40"/>
      <c r="AS117" s="40"/>
      <c r="AT117" s="40"/>
      <c r="AU117" s="40"/>
      <c r="AV117" s="40"/>
      <c r="AW117" s="40"/>
      <c r="AX117" s="40"/>
      <c r="AY117" s="40"/>
      <c r="AZ117" s="40"/>
      <c r="BA117" s="5"/>
    </row>
    <row r="118" spans="1:53" ht="15" thickBot="1" x14ac:dyDescent="0.4">
      <c r="A118" s="30" t="s">
        <v>359</v>
      </c>
      <c r="B118" s="30" t="s">
        <v>359</v>
      </c>
      <c r="C118" s="30" t="s">
        <v>359</v>
      </c>
      <c r="D118" s="30" t="s">
        <v>359</v>
      </c>
      <c r="E118" s="30" t="s">
        <v>358</v>
      </c>
      <c r="F118" s="30" t="s">
        <v>359</v>
      </c>
      <c r="G118" s="30" t="s">
        <v>359</v>
      </c>
      <c r="H118" s="30" t="s">
        <v>359</v>
      </c>
      <c r="I118" s="30" t="s">
        <v>359</v>
      </c>
      <c r="J118" s="5" t="s">
        <v>73</v>
      </c>
      <c r="K118" s="5" t="s">
        <v>444</v>
      </c>
      <c r="L118" s="5" t="s">
        <v>171</v>
      </c>
      <c r="M118" s="5" t="s">
        <v>172</v>
      </c>
      <c r="N118" s="5" t="s">
        <v>445</v>
      </c>
      <c r="O118" s="5">
        <v>1E-3</v>
      </c>
      <c r="P118" s="110"/>
      <c r="Q118" s="110"/>
      <c r="R118" s="404">
        <v>1.2340139100536913</v>
      </c>
      <c r="S118" s="110"/>
      <c r="T118" s="110"/>
      <c r="U118" s="110"/>
      <c r="V118" s="121">
        <f t="shared" ref="V118:V164" si="2">ROUND(SUM(P118:U118),3)</f>
        <v>1.234</v>
      </c>
      <c r="W118" s="40"/>
      <c r="X118" s="40"/>
      <c r="Y118" s="40"/>
      <c r="Z118" s="40"/>
      <c r="AA118" s="40"/>
      <c r="AB118" s="40"/>
      <c r="AC118" s="40"/>
      <c r="AD118" s="40"/>
      <c r="AE118" s="40"/>
      <c r="AF118" s="40"/>
      <c r="AG118" s="40"/>
      <c r="AH118" s="40"/>
      <c r="AI118" s="40" t="s">
        <v>358</v>
      </c>
      <c r="AJ118" s="40"/>
      <c r="AK118" s="40"/>
      <c r="AL118" s="40"/>
      <c r="AM118" s="40"/>
      <c r="AN118" s="40"/>
      <c r="AO118" s="40"/>
      <c r="AP118" s="40"/>
      <c r="AQ118" s="40"/>
      <c r="AR118" s="40"/>
      <c r="AS118" s="40"/>
      <c r="AT118" s="40"/>
      <c r="AU118" s="40"/>
      <c r="AV118" s="40"/>
      <c r="AW118" s="40"/>
      <c r="AX118" s="40"/>
      <c r="AY118" s="40"/>
      <c r="AZ118" s="40"/>
      <c r="BA118" s="5"/>
    </row>
    <row r="119" spans="1:53" ht="15" thickBot="1" x14ac:dyDescent="0.4">
      <c r="A119" s="30" t="s">
        <v>359</v>
      </c>
      <c r="B119" s="30" t="s">
        <v>359</v>
      </c>
      <c r="C119" s="30" t="s">
        <v>359</v>
      </c>
      <c r="D119" s="30" t="s">
        <v>359</v>
      </c>
      <c r="E119" s="30" t="s">
        <v>358</v>
      </c>
      <c r="F119" s="30" t="s">
        <v>359</v>
      </c>
      <c r="G119" s="30" t="s">
        <v>359</v>
      </c>
      <c r="H119" s="30" t="s">
        <v>359</v>
      </c>
      <c r="I119" s="30" t="s">
        <v>359</v>
      </c>
      <c r="J119" s="5" t="s">
        <v>73</v>
      </c>
      <c r="K119" s="5" t="s">
        <v>446</v>
      </c>
      <c r="L119" s="5" t="s">
        <v>174</v>
      </c>
      <c r="M119" s="5" t="s">
        <v>172</v>
      </c>
      <c r="N119" s="5" t="s">
        <v>445</v>
      </c>
      <c r="O119" s="5">
        <v>1E-3</v>
      </c>
      <c r="P119" s="110"/>
      <c r="Q119" s="110"/>
      <c r="R119" s="404">
        <v>0.98491172324161069</v>
      </c>
      <c r="S119" s="110"/>
      <c r="T119" s="110"/>
      <c r="U119" s="110"/>
      <c r="V119" s="121">
        <f t="shared" si="2"/>
        <v>0.98499999999999999</v>
      </c>
      <c r="W119" s="40"/>
      <c r="X119" s="40"/>
      <c r="Y119" s="40"/>
      <c r="Z119" s="40"/>
      <c r="AA119" s="40"/>
      <c r="AB119" s="40"/>
      <c r="AC119" s="40"/>
      <c r="AD119" s="40"/>
      <c r="AE119" s="40"/>
      <c r="AF119" s="40"/>
      <c r="AG119" s="40"/>
      <c r="AH119" s="40"/>
      <c r="AI119" s="40" t="s">
        <v>358</v>
      </c>
      <c r="AJ119" s="40"/>
      <c r="AK119" s="40"/>
      <c r="AL119" s="40"/>
      <c r="AM119" s="40"/>
      <c r="AN119" s="40"/>
      <c r="AO119" s="40"/>
      <c r="AP119" s="40"/>
      <c r="AQ119" s="40"/>
      <c r="AR119" s="40"/>
      <c r="AS119" s="40"/>
      <c r="AT119" s="40"/>
      <c r="AU119" s="40"/>
      <c r="AV119" s="40"/>
      <c r="AW119" s="40"/>
      <c r="AX119" s="40"/>
      <c r="AY119" s="40"/>
      <c r="AZ119" s="40"/>
      <c r="BA119" s="5"/>
    </row>
    <row r="120" spans="1:53" ht="15" thickBot="1" x14ac:dyDescent="0.4">
      <c r="A120" s="30" t="s">
        <v>359</v>
      </c>
      <c r="B120" s="30" t="s">
        <v>359</v>
      </c>
      <c r="C120" s="30" t="s">
        <v>359</v>
      </c>
      <c r="D120" s="30" t="s">
        <v>359</v>
      </c>
      <c r="E120" s="30" t="s">
        <v>358</v>
      </c>
      <c r="F120" s="30" t="s">
        <v>359</v>
      </c>
      <c r="G120" s="30" t="s">
        <v>359</v>
      </c>
      <c r="H120" s="30" t="s">
        <v>359</v>
      </c>
      <c r="I120" s="30" t="s">
        <v>359</v>
      </c>
      <c r="J120" s="5" t="s">
        <v>73</v>
      </c>
      <c r="K120" s="5" t="s">
        <v>447</v>
      </c>
      <c r="L120" s="5" t="s">
        <v>171</v>
      </c>
      <c r="M120" s="5" t="s">
        <v>172</v>
      </c>
      <c r="N120" s="5" t="s">
        <v>445</v>
      </c>
      <c r="O120" s="5">
        <v>1E-3</v>
      </c>
      <c r="P120" s="110"/>
      <c r="Q120" s="110"/>
      <c r="R120" s="404">
        <v>5.9133228947505332</v>
      </c>
      <c r="S120" s="110"/>
      <c r="T120" s="110"/>
      <c r="U120" s="110"/>
      <c r="V120" s="121">
        <f t="shared" si="2"/>
        <v>5.9130000000000003</v>
      </c>
      <c r="W120" s="40"/>
      <c r="X120" s="40"/>
      <c r="Y120" s="40"/>
      <c r="Z120" s="40"/>
      <c r="AA120" s="40"/>
      <c r="AB120" s="40"/>
      <c r="AC120" s="40"/>
      <c r="AD120" s="40"/>
      <c r="AE120" s="40"/>
      <c r="AF120" s="40"/>
      <c r="AG120" s="40"/>
      <c r="AH120" s="40"/>
      <c r="AI120" s="40" t="s">
        <v>358</v>
      </c>
      <c r="AJ120" s="40"/>
      <c r="AK120" s="40"/>
      <c r="AL120" s="40"/>
      <c r="AM120" s="40"/>
      <c r="AN120" s="40"/>
      <c r="AO120" s="40"/>
      <c r="AP120" s="40"/>
      <c r="AQ120" s="40"/>
      <c r="AR120" s="40"/>
      <c r="AS120" s="40"/>
      <c r="AT120" s="40"/>
      <c r="AU120" s="40"/>
      <c r="AV120" s="40"/>
      <c r="AW120" s="40"/>
      <c r="AX120" s="40"/>
      <c r="AY120" s="40"/>
      <c r="AZ120" s="40"/>
      <c r="BA120" s="5"/>
    </row>
    <row r="121" spans="1:53" ht="15" thickBot="1" x14ac:dyDescent="0.4">
      <c r="A121" s="30" t="s">
        <v>359</v>
      </c>
      <c r="B121" s="30" t="s">
        <v>359</v>
      </c>
      <c r="C121" s="30" t="s">
        <v>359</v>
      </c>
      <c r="D121" s="30" t="s">
        <v>359</v>
      </c>
      <c r="E121" s="30" t="s">
        <v>358</v>
      </c>
      <c r="F121" s="30" t="s">
        <v>359</v>
      </c>
      <c r="G121" s="30" t="s">
        <v>359</v>
      </c>
      <c r="H121" s="30" t="s">
        <v>359</v>
      </c>
      <c r="I121" s="30" t="s">
        <v>359</v>
      </c>
      <c r="J121" s="5" t="s">
        <v>73</v>
      </c>
      <c r="K121" s="5" t="s">
        <v>448</v>
      </c>
      <c r="L121" s="5" t="s">
        <v>174</v>
      </c>
      <c r="M121" s="5" t="s">
        <v>172</v>
      </c>
      <c r="N121" s="5" t="s">
        <v>445</v>
      </c>
      <c r="O121" s="5">
        <v>1E-3</v>
      </c>
      <c r="P121" s="110"/>
      <c r="Q121" s="110"/>
      <c r="R121" s="404">
        <v>0.98491172324161069</v>
      </c>
      <c r="S121" s="110"/>
      <c r="T121" s="110"/>
      <c r="U121" s="110"/>
      <c r="V121" s="121">
        <f t="shared" si="2"/>
        <v>0.98499999999999999</v>
      </c>
      <c r="W121" s="40"/>
      <c r="X121" s="40"/>
      <c r="Y121" s="40"/>
      <c r="Z121" s="40"/>
      <c r="AA121" s="40"/>
      <c r="AB121" s="40"/>
      <c r="AC121" s="40"/>
      <c r="AD121" s="40"/>
      <c r="AE121" s="40"/>
      <c r="AF121" s="40"/>
      <c r="AG121" s="40"/>
      <c r="AH121" s="40"/>
      <c r="AI121" s="40" t="s">
        <v>358</v>
      </c>
      <c r="AJ121" s="40"/>
      <c r="AK121" s="40"/>
      <c r="AL121" s="40"/>
      <c r="AM121" s="40"/>
      <c r="AN121" s="40"/>
      <c r="AO121" s="40"/>
      <c r="AP121" s="40"/>
      <c r="AQ121" s="40"/>
      <c r="AR121" s="40"/>
      <c r="AS121" s="40"/>
      <c r="AT121" s="40"/>
      <c r="AU121" s="40"/>
      <c r="AV121" s="40"/>
      <c r="AW121" s="40"/>
      <c r="AX121" s="40"/>
      <c r="AY121" s="40"/>
      <c r="AZ121" s="40"/>
      <c r="BA121" s="5"/>
    </row>
    <row r="122" spans="1:53" ht="15" thickBot="1" x14ac:dyDescent="0.4">
      <c r="A122" s="30" t="s">
        <v>359</v>
      </c>
      <c r="B122" s="30" t="s">
        <v>359</v>
      </c>
      <c r="C122" s="30" t="s">
        <v>359</v>
      </c>
      <c r="D122" s="30" t="s">
        <v>359</v>
      </c>
      <c r="E122" s="30" t="s">
        <v>358</v>
      </c>
      <c r="F122" s="30" t="s">
        <v>359</v>
      </c>
      <c r="G122" s="30" t="s">
        <v>359</v>
      </c>
      <c r="H122" s="30" t="s">
        <v>359</v>
      </c>
      <c r="I122" s="30" t="s">
        <v>359</v>
      </c>
      <c r="J122" s="5" t="s">
        <v>73</v>
      </c>
      <c r="K122" s="5" t="s">
        <v>448</v>
      </c>
      <c r="L122" s="5" t="s">
        <v>171</v>
      </c>
      <c r="M122" s="5" t="s">
        <v>172</v>
      </c>
      <c r="N122" s="5" t="s">
        <v>445</v>
      </c>
      <c r="O122" s="5">
        <v>1E-3</v>
      </c>
      <c r="P122" s="110"/>
      <c r="Q122" s="110"/>
      <c r="R122" s="404">
        <v>1.2340139100536913</v>
      </c>
      <c r="S122" s="110"/>
      <c r="T122" s="110"/>
      <c r="U122" s="110"/>
      <c r="V122" s="121">
        <f t="shared" si="2"/>
        <v>1.234</v>
      </c>
      <c r="W122" s="40"/>
      <c r="X122" s="40"/>
      <c r="Y122" s="40"/>
      <c r="Z122" s="40"/>
      <c r="AA122" s="40"/>
      <c r="AB122" s="40"/>
      <c r="AC122" s="40"/>
      <c r="AD122" s="40"/>
      <c r="AE122" s="40"/>
      <c r="AF122" s="40"/>
      <c r="AG122" s="40"/>
      <c r="AH122" s="40"/>
      <c r="AI122" s="40" t="s">
        <v>358</v>
      </c>
      <c r="AJ122" s="40"/>
      <c r="AK122" s="40"/>
      <c r="AL122" s="40"/>
      <c r="AM122" s="40"/>
      <c r="AN122" s="40"/>
      <c r="AO122" s="40"/>
      <c r="AP122" s="40"/>
      <c r="AQ122" s="40"/>
      <c r="AR122" s="40"/>
      <c r="AS122" s="40"/>
      <c r="AT122" s="40"/>
      <c r="AU122" s="40"/>
      <c r="AV122" s="40"/>
      <c r="AW122" s="40"/>
      <c r="AX122" s="40"/>
      <c r="AY122" s="40"/>
      <c r="AZ122" s="40"/>
      <c r="BA122" s="5"/>
    </row>
    <row r="123" spans="1:53" ht="15" thickBot="1" x14ac:dyDescent="0.4">
      <c r="A123" s="30" t="s">
        <v>359</v>
      </c>
      <c r="B123" s="30" t="s">
        <v>359</v>
      </c>
      <c r="C123" s="30" t="s">
        <v>359</v>
      </c>
      <c r="D123" s="30" t="s">
        <v>359</v>
      </c>
      <c r="E123" s="30" t="s">
        <v>358</v>
      </c>
      <c r="F123" s="30" t="s">
        <v>359</v>
      </c>
      <c r="G123" s="30" t="s">
        <v>359</v>
      </c>
      <c r="H123" s="30" t="s">
        <v>359</v>
      </c>
      <c r="I123" s="30" t="s">
        <v>359</v>
      </c>
      <c r="J123" s="5" t="s">
        <v>73</v>
      </c>
      <c r="K123" s="5" t="s">
        <v>449</v>
      </c>
      <c r="L123" s="5" t="s">
        <v>174</v>
      </c>
      <c r="M123" s="5" t="s">
        <v>172</v>
      </c>
      <c r="N123" s="5" t="s">
        <v>445</v>
      </c>
      <c r="O123" s="5">
        <v>1E-3</v>
      </c>
      <c r="P123" s="110"/>
      <c r="Q123" s="110"/>
      <c r="R123" s="404">
        <v>0.98491172324161069</v>
      </c>
      <c r="S123" s="110"/>
      <c r="T123" s="110"/>
      <c r="U123" s="110"/>
      <c r="V123" s="121">
        <f t="shared" si="2"/>
        <v>0.98499999999999999</v>
      </c>
      <c r="W123" s="40"/>
      <c r="X123" s="40"/>
      <c r="Y123" s="40"/>
      <c r="Z123" s="40"/>
      <c r="AA123" s="40"/>
      <c r="AB123" s="40"/>
      <c r="AC123" s="40"/>
      <c r="AD123" s="40"/>
      <c r="AE123" s="40"/>
      <c r="AF123" s="40"/>
      <c r="AG123" s="40"/>
      <c r="AH123" s="40"/>
      <c r="AI123" s="40" t="s">
        <v>358</v>
      </c>
      <c r="AJ123" s="40"/>
      <c r="AK123" s="40"/>
      <c r="AL123" s="40"/>
      <c r="AM123" s="40"/>
      <c r="AN123" s="40"/>
      <c r="AO123" s="40"/>
      <c r="AP123" s="40"/>
      <c r="AQ123" s="40"/>
      <c r="AR123" s="40"/>
      <c r="AS123" s="40"/>
      <c r="AT123" s="40"/>
      <c r="AU123" s="40"/>
      <c r="AV123" s="40"/>
      <c r="AW123" s="40"/>
      <c r="AX123" s="40"/>
      <c r="AY123" s="40"/>
      <c r="AZ123" s="40"/>
      <c r="BA123" s="5"/>
    </row>
    <row r="124" spans="1:53" ht="15" thickBot="1" x14ac:dyDescent="0.4">
      <c r="A124" s="30" t="s">
        <v>359</v>
      </c>
      <c r="B124" s="30" t="s">
        <v>359</v>
      </c>
      <c r="C124" s="30" t="s">
        <v>359</v>
      </c>
      <c r="D124" s="30" t="s">
        <v>359</v>
      </c>
      <c r="E124" s="30" t="s">
        <v>358</v>
      </c>
      <c r="F124" s="30" t="s">
        <v>359</v>
      </c>
      <c r="G124" s="30" t="s">
        <v>359</v>
      </c>
      <c r="H124" s="30" t="s">
        <v>359</v>
      </c>
      <c r="I124" s="30" t="s">
        <v>359</v>
      </c>
      <c r="J124" s="5" t="s">
        <v>73</v>
      </c>
      <c r="K124" s="5" t="s">
        <v>449</v>
      </c>
      <c r="L124" s="5" t="s">
        <v>171</v>
      </c>
      <c r="M124" s="5" t="s">
        <v>172</v>
      </c>
      <c r="N124" s="5" t="s">
        <v>445</v>
      </c>
      <c r="O124" s="5">
        <v>1E-3</v>
      </c>
      <c r="P124" s="110"/>
      <c r="Q124" s="110"/>
      <c r="R124" s="404">
        <v>1.2340139100536913</v>
      </c>
      <c r="S124" s="110"/>
      <c r="T124" s="110"/>
      <c r="U124" s="110"/>
      <c r="V124" s="121">
        <f t="shared" si="2"/>
        <v>1.234</v>
      </c>
      <c r="W124" s="40"/>
      <c r="X124" s="40"/>
      <c r="Y124" s="40"/>
      <c r="Z124" s="40"/>
      <c r="AA124" s="40"/>
      <c r="AB124" s="40"/>
      <c r="AC124" s="40"/>
      <c r="AD124" s="40"/>
      <c r="AE124" s="40"/>
      <c r="AF124" s="40"/>
      <c r="AG124" s="40"/>
      <c r="AH124" s="40"/>
      <c r="AI124" s="40" t="s">
        <v>358</v>
      </c>
      <c r="AJ124" s="40"/>
      <c r="AK124" s="40"/>
      <c r="AL124" s="40"/>
      <c r="AM124" s="40"/>
      <c r="AN124" s="40"/>
      <c r="AO124" s="40"/>
      <c r="AP124" s="40"/>
      <c r="AQ124" s="40"/>
      <c r="AR124" s="40"/>
      <c r="AS124" s="40"/>
      <c r="AT124" s="40"/>
      <c r="AU124" s="40"/>
      <c r="AV124" s="40"/>
      <c r="AW124" s="40"/>
      <c r="AX124" s="40"/>
      <c r="AY124" s="40"/>
      <c r="AZ124" s="40"/>
      <c r="BA124" s="5"/>
    </row>
    <row r="125" spans="1:53" ht="15" thickBot="1" x14ac:dyDescent="0.4">
      <c r="A125" s="30" t="s">
        <v>359</v>
      </c>
      <c r="B125" s="30" t="s">
        <v>359</v>
      </c>
      <c r="C125" s="30" t="s">
        <v>359</v>
      </c>
      <c r="D125" s="30" t="s">
        <v>359</v>
      </c>
      <c r="E125" s="30" t="s">
        <v>358</v>
      </c>
      <c r="F125" s="30" t="s">
        <v>359</v>
      </c>
      <c r="G125" s="30" t="s">
        <v>359</v>
      </c>
      <c r="H125" s="30" t="s">
        <v>359</v>
      </c>
      <c r="I125" s="30" t="s">
        <v>359</v>
      </c>
      <c r="J125" s="5" t="s">
        <v>73</v>
      </c>
      <c r="K125" s="5" t="s">
        <v>450</v>
      </c>
      <c r="L125" s="5" t="s">
        <v>174</v>
      </c>
      <c r="M125" s="5" t="s">
        <v>172</v>
      </c>
      <c r="N125" s="5" t="s">
        <v>445</v>
      </c>
      <c r="O125" s="5">
        <v>1E-3</v>
      </c>
      <c r="P125" s="110"/>
      <c r="Q125" s="110"/>
      <c r="R125" s="404">
        <v>0.98491172324161069</v>
      </c>
      <c r="S125" s="110"/>
      <c r="T125" s="110"/>
      <c r="U125" s="110"/>
      <c r="V125" s="121">
        <f t="shared" si="2"/>
        <v>0.98499999999999999</v>
      </c>
      <c r="W125" s="40"/>
      <c r="X125" s="40"/>
      <c r="Y125" s="40"/>
      <c r="Z125" s="40"/>
      <c r="AA125" s="40"/>
      <c r="AB125" s="40"/>
      <c r="AC125" s="40"/>
      <c r="AD125" s="40"/>
      <c r="AE125" s="40"/>
      <c r="AF125" s="40"/>
      <c r="AG125" s="40"/>
      <c r="AH125" s="40"/>
      <c r="AI125" s="40" t="s">
        <v>358</v>
      </c>
      <c r="AJ125" s="40"/>
      <c r="AK125" s="40"/>
      <c r="AL125" s="40"/>
      <c r="AM125" s="40"/>
      <c r="AN125" s="40"/>
      <c r="AO125" s="40"/>
      <c r="AP125" s="40"/>
      <c r="AQ125" s="40"/>
      <c r="AR125" s="40"/>
      <c r="AS125" s="40"/>
      <c r="AT125" s="40"/>
      <c r="AU125" s="40"/>
      <c r="AV125" s="40"/>
      <c r="AW125" s="40"/>
      <c r="AX125" s="40"/>
      <c r="AY125" s="40"/>
      <c r="AZ125" s="40"/>
      <c r="BA125" s="5"/>
    </row>
    <row r="126" spans="1:53" ht="15" thickBot="1" x14ac:dyDescent="0.4">
      <c r="A126" s="30" t="s">
        <v>359</v>
      </c>
      <c r="B126" s="30" t="s">
        <v>359</v>
      </c>
      <c r="C126" s="30" t="s">
        <v>359</v>
      </c>
      <c r="D126" s="30" t="s">
        <v>359</v>
      </c>
      <c r="E126" s="30" t="s">
        <v>358</v>
      </c>
      <c r="F126" s="30" t="s">
        <v>359</v>
      </c>
      <c r="G126" s="30" t="s">
        <v>359</v>
      </c>
      <c r="H126" s="30" t="s">
        <v>359</v>
      </c>
      <c r="I126" s="30" t="s">
        <v>359</v>
      </c>
      <c r="J126" s="5" t="s">
        <v>73</v>
      </c>
      <c r="K126" s="5" t="s">
        <v>450</v>
      </c>
      <c r="L126" s="5" t="s">
        <v>171</v>
      </c>
      <c r="M126" s="5" t="s">
        <v>172</v>
      </c>
      <c r="N126" s="5" t="s">
        <v>445</v>
      </c>
      <c r="O126" s="5">
        <v>1E-3</v>
      </c>
      <c r="P126" s="110"/>
      <c r="Q126" s="110"/>
      <c r="R126" s="404">
        <v>1.2340139100536913</v>
      </c>
      <c r="S126" s="110"/>
      <c r="T126" s="110"/>
      <c r="U126" s="110"/>
      <c r="V126" s="121">
        <f t="shared" si="2"/>
        <v>1.234</v>
      </c>
      <c r="W126" s="40"/>
      <c r="X126" s="40"/>
      <c r="Y126" s="40"/>
      <c r="Z126" s="40"/>
      <c r="AA126" s="40"/>
      <c r="AB126" s="40"/>
      <c r="AC126" s="40"/>
      <c r="AD126" s="40"/>
      <c r="AE126" s="40"/>
      <c r="AF126" s="40"/>
      <c r="AG126" s="40"/>
      <c r="AH126" s="40"/>
      <c r="AI126" s="40" t="s">
        <v>358</v>
      </c>
      <c r="AJ126" s="40"/>
      <c r="AK126" s="40"/>
      <c r="AL126" s="40"/>
      <c r="AM126" s="40"/>
      <c r="AN126" s="40"/>
      <c r="AO126" s="40"/>
      <c r="AP126" s="40"/>
      <c r="AQ126" s="40"/>
      <c r="AR126" s="40"/>
      <c r="AS126" s="40"/>
      <c r="AT126" s="40"/>
      <c r="AU126" s="40"/>
      <c r="AV126" s="40"/>
      <c r="AW126" s="40"/>
      <c r="AX126" s="40"/>
      <c r="AY126" s="40"/>
      <c r="AZ126" s="40"/>
      <c r="BA126" s="5"/>
    </row>
    <row r="127" spans="1:53" ht="15" thickBot="1" x14ac:dyDescent="0.4">
      <c r="A127" s="30" t="s">
        <v>359</v>
      </c>
      <c r="B127" s="30" t="s">
        <v>359</v>
      </c>
      <c r="C127" s="30" t="s">
        <v>359</v>
      </c>
      <c r="D127" s="30" t="s">
        <v>359</v>
      </c>
      <c r="E127" s="30" t="s">
        <v>358</v>
      </c>
      <c r="F127" s="30" t="s">
        <v>359</v>
      </c>
      <c r="G127" s="30" t="s">
        <v>359</v>
      </c>
      <c r="H127" s="30" t="s">
        <v>359</v>
      </c>
      <c r="I127" s="30" t="s">
        <v>359</v>
      </c>
      <c r="J127" s="5" t="s">
        <v>73</v>
      </c>
      <c r="K127" s="5" t="s">
        <v>451</v>
      </c>
      <c r="L127" s="5" t="s">
        <v>174</v>
      </c>
      <c r="M127" s="5" t="s">
        <v>172</v>
      </c>
      <c r="N127" s="5" t="s">
        <v>445</v>
      </c>
      <c r="O127" s="5">
        <v>1E-3</v>
      </c>
      <c r="P127" s="110"/>
      <c r="Q127" s="110"/>
      <c r="R127" s="404">
        <v>0.98491172324161069</v>
      </c>
      <c r="S127" s="110"/>
      <c r="T127" s="110"/>
      <c r="U127" s="110"/>
      <c r="V127" s="121">
        <f t="shared" si="2"/>
        <v>0.98499999999999999</v>
      </c>
      <c r="W127" s="40"/>
      <c r="X127" s="40"/>
      <c r="Y127" s="40"/>
      <c r="Z127" s="40"/>
      <c r="AA127" s="40"/>
      <c r="AB127" s="40"/>
      <c r="AC127" s="40"/>
      <c r="AD127" s="40"/>
      <c r="AE127" s="40"/>
      <c r="AF127" s="40"/>
      <c r="AG127" s="40"/>
      <c r="AH127" s="40"/>
      <c r="AI127" s="40" t="s">
        <v>358</v>
      </c>
      <c r="AJ127" s="40"/>
      <c r="AK127" s="40"/>
      <c r="AL127" s="40"/>
      <c r="AM127" s="40"/>
      <c r="AN127" s="40"/>
      <c r="AO127" s="40"/>
      <c r="AP127" s="40"/>
      <c r="AQ127" s="40"/>
      <c r="AR127" s="40"/>
      <c r="AS127" s="40"/>
      <c r="AT127" s="40"/>
      <c r="AU127" s="40"/>
      <c r="AV127" s="40"/>
      <c r="AW127" s="40"/>
      <c r="AX127" s="40"/>
      <c r="AY127" s="40"/>
      <c r="AZ127" s="40"/>
      <c r="BA127" s="5"/>
    </row>
    <row r="128" spans="1:53" ht="15" thickBot="1" x14ac:dyDescent="0.4">
      <c r="A128" s="30" t="s">
        <v>359</v>
      </c>
      <c r="B128" s="30" t="s">
        <v>359</v>
      </c>
      <c r="C128" s="30" t="s">
        <v>359</v>
      </c>
      <c r="D128" s="30" t="s">
        <v>359</v>
      </c>
      <c r="E128" s="30" t="s">
        <v>358</v>
      </c>
      <c r="F128" s="30" t="s">
        <v>359</v>
      </c>
      <c r="G128" s="30" t="s">
        <v>359</v>
      </c>
      <c r="H128" s="30" t="s">
        <v>359</v>
      </c>
      <c r="I128" s="30" t="s">
        <v>359</v>
      </c>
      <c r="J128" s="5" t="s">
        <v>73</v>
      </c>
      <c r="K128" s="5" t="s">
        <v>451</v>
      </c>
      <c r="L128" s="5" t="s">
        <v>171</v>
      </c>
      <c r="M128" s="5" t="s">
        <v>172</v>
      </c>
      <c r="N128" s="5" t="s">
        <v>445</v>
      </c>
      <c r="O128" s="5">
        <v>1E-3</v>
      </c>
      <c r="P128" s="110"/>
      <c r="Q128" s="110"/>
      <c r="R128" s="404">
        <v>1.2340139100536913</v>
      </c>
      <c r="S128" s="110"/>
      <c r="T128" s="110"/>
      <c r="U128" s="110"/>
      <c r="V128" s="121">
        <f t="shared" si="2"/>
        <v>1.234</v>
      </c>
      <c r="W128" s="40"/>
      <c r="X128" s="40"/>
      <c r="Y128" s="40"/>
      <c r="Z128" s="40"/>
      <c r="AA128" s="40"/>
      <c r="AB128" s="40"/>
      <c r="AC128" s="40"/>
      <c r="AD128" s="40"/>
      <c r="AE128" s="40"/>
      <c r="AF128" s="40"/>
      <c r="AG128" s="40"/>
      <c r="AH128" s="40"/>
      <c r="AI128" s="40" t="s">
        <v>358</v>
      </c>
      <c r="AJ128" s="40"/>
      <c r="AK128" s="40"/>
      <c r="AL128" s="40"/>
      <c r="AM128" s="40"/>
      <c r="AN128" s="40"/>
      <c r="AO128" s="40"/>
      <c r="AP128" s="40"/>
      <c r="AQ128" s="40"/>
      <c r="AR128" s="40"/>
      <c r="AS128" s="40"/>
      <c r="AT128" s="40"/>
      <c r="AU128" s="40"/>
      <c r="AV128" s="40"/>
      <c r="AW128" s="40"/>
      <c r="AX128" s="40"/>
      <c r="AY128" s="40"/>
      <c r="AZ128" s="40"/>
      <c r="BA128" s="5"/>
    </row>
    <row r="129" spans="1:53" ht="15" thickBot="1" x14ac:dyDescent="0.4">
      <c r="A129" s="30" t="s">
        <v>359</v>
      </c>
      <c r="B129" s="30" t="s">
        <v>359</v>
      </c>
      <c r="C129" s="30" t="s">
        <v>359</v>
      </c>
      <c r="D129" s="30" t="s">
        <v>359</v>
      </c>
      <c r="E129" s="30" t="s">
        <v>358</v>
      </c>
      <c r="F129" s="30" t="s">
        <v>359</v>
      </c>
      <c r="G129" s="30" t="s">
        <v>359</v>
      </c>
      <c r="H129" s="30" t="s">
        <v>359</v>
      </c>
      <c r="I129" s="30" t="s">
        <v>359</v>
      </c>
      <c r="J129" s="5" t="s">
        <v>73</v>
      </c>
      <c r="K129" s="5" t="s">
        <v>452</v>
      </c>
      <c r="L129" s="5" t="s">
        <v>174</v>
      </c>
      <c r="M129" s="5" t="s">
        <v>172</v>
      </c>
      <c r="N129" s="5" t="s">
        <v>445</v>
      </c>
      <c r="O129" s="5">
        <v>1E-3</v>
      </c>
      <c r="P129" s="110"/>
      <c r="Q129" s="110"/>
      <c r="R129" s="404">
        <v>0.98491172324161069</v>
      </c>
      <c r="S129" s="110"/>
      <c r="T129" s="110"/>
      <c r="U129" s="110"/>
      <c r="V129" s="121">
        <f t="shared" si="2"/>
        <v>0.98499999999999999</v>
      </c>
      <c r="W129" s="40"/>
      <c r="X129" s="40"/>
      <c r="Y129" s="40"/>
      <c r="Z129" s="40"/>
      <c r="AA129" s="40"/>
      <c r="AB129" s="40"/>
      <c r="AC129" s="40"/>
      <c r="AD129" s="40"/>
      <c r="AE129" s="40"/>
      <c r="AF129" s="40"/>
      <c r="AG129" s="40"/>
      <c r="AH129" s="40"/>
      <c r="AI129" s="40" t="s">
        <v>358</v>
      </c>
      <c r="AJ129" s="40"/>
      <c r="AK129" s="40"/>
      <c r="AL129" s="40"/>
      <c r="AM129" s="40"/>
      <c r="AN129" s="40"/>
      <c r="AO129" s="40"/>
      <c r="AP129" s="40"/>
      <c r="AQ129" s="40"/>
      <c r="AR129" s="40"/>
      <c r="AS129" s="40"/>
      <c r="AT129" s="40"/>
      <c r="AU129" s="40"/>
      <c r="AV129" s="40"/>
      <c r="AW129" s="40"/>
      <c r="AX129" s="40"/>
      <c r="AY129" s="40"/>
      <c r="AZ129" s="40"/>
      <c r="BA129" s="5"/>
    </row>
    <row r="130" spans="1:53" ht="15" thickBot="1" x14ac:dyDescent="0.4">
      <c r="A130" s="30" t="s">
        <v>359</v>
      </c>
      <c r="B130" s="30" t="s">
        <v>359</v>
      </c>
      <c r="C130" s="30" t="s">
        <v>359</v>
      </c>
      <c r="D130" s="30" t="s">
        <v>359</v>
      </c>
      <c r="E130" s="30" t="s">
        <v>358</v>
      </c>
      <c r="F130" s="30" t="s">
        <v>359</v>
      </c>
      <c r="G130" s="30" t="s">
        <v>359</v>
      </c>
      <c r="H130" s="30" t="s">
        <v>359</v>
      </c>
      <c r="I130" s="30" t="s">
        <v>359</v>
      </c>
      <c r="J130" s="5" t="s">
        <v>73</v>
      </c>
      <c r="K130" s="5" t="s">
        <v>452</v>
      </c>
      <c r="L130" s="5" t="s">
        <v>171</v>
      </c>
      <c r="M130" s="5" t="s">
        <v>172</v>
      </c>
      <c r="N130" s="5" t="s">
        <v>445</v>
      </c>
      <c r="O130" s="5">
        <v>1E-3</v>
      </c>
      <c r="P130" s="110"/>
      <c r="Q130" s="110"/>
      <c r="R130" s="404">
        <v>1.2643491</v>
      </c>
      <c r="S130" s="110"/>
      <c r="T130" s="110"/>
      <c r="U130" s="110"/>
      <c r="V130" s="121">
        <f t="shared" si="2"/>
        <v>1.264</v>
      </c>
      <c r="W130" s="40"/>
      <c r="X130" s="40"/>
      <c r="Y130" s="40"/>
      <c r="Z130" s="40"/>
      <c r="AA130" s="40"/>
      <c r="AB130" s="40"/>
      <c r="AC130" s="40"/>
      <c r="AD130" s="40"/>
      <c r="AE130" s="40"/>
      <c r="AF130" s="40"/>
      <c r="AG130" s="40"/>
      <c r="AH130" s="40"/>
      <c r="AI130" s="40" t="s">
        <v>358</v>
      </c>
      <c r="AJ130" s="40"/>
      <c r="AK130" s="40"/>
      <c r="AL130" s="40"/>
      <c r="AM130" s="40"/>
      <c r="AN130" s="40"/>
      <c r="AO130" s="40"/>
      <c r="AP130" s="40"/>
      <c r="AQ130" s="40"/>
      <c r="AR130" s="40"/>
      <c r="AS130" s="40"/>
      <c r="AT130" s="40"/>
      <c r="AU130" s="40"/>
      <c r="AV130" s="40"/>
      <c r="AW130" s="40"/>
      <c r="AX130" s="40"/>
      <c r="AY130" s="40"/>
      <c r="AZ130" s="40"/>
      <c r="BA130" s="5"/>
    </row>
    <row r="131" spans="1:53" ht="15" thickBot="1" x14ac:dyDescent="0.4">
      <c r="A131" s="30" t="s">
        <v>359</v>
      </c>
      <c r="B131" s="30" t="s">
        <v>359</v>
      </c>
      <c r="C131" s="30" t="s">
        <v>359</v>
      </c>
      <c r="D131" s="30" t="s">
        <v>359</v>
      </c>
      <c r="E131" s="30" t="s">
        <v>358</v>
      </c>
      <c r="F131" s="30" t="s">
        <v>359</v>
      </c>
      <c r="G131" s="30" t="s">
        <v>359</v>
      </c>
      <c r="H131" s="30" t="s">
        <v>359</v>
      </c>
      <c r="I131" s="30" t="s">
        <v>359</v>
      </c>
      <c r="J131" s="5" t="s">
        <v>73</v>
      </c>
      <c r="K131" s="5" t="s">
        <v>453</v>
      </c>
      <c r="L131" s="5" t="s">
        <v>174</v>
      </c>
      <c r="M131" s="5" t="s">
        <v>172</v>
      </c>
      <c r="N131" s="5" t="s">
        <v>445</v>
      </c>
      <c r="O131" s="5">
        <v>1E-3</v>
      </c>
      <c r="P131" s="110"/>
      <c r="Q131" s="110"/>
      <c r="R131" s="404">
        <v>0.98491172324161069</v>
      </c>
      <c r="S131" s="110"/>
      <c r="T131" s="110"/>
      <c r="U131" s="110"/>
      <c r="V131" s="121">
        <f t="shared" si="2"/>
        <v>0.98499999999999999</v>
      </c>
      <c r="W131" s="40"/>
      <c r="X131" s="40"/>
      <c r="Y131" s="40"/>
      <c r="Z131" s="40"/>
      <c r="AA131" s="40"/>
      <c r="AB131" s="40"/>
      <c r="AC131" s="40"/>
      <c r="AD131" s="40"/>
      <c r="AE131" s="40"/>
      <c r="AF131" s="40"/>
      <c r="AG131" s="40"/>
      <c r="AH131" s="40"/>
      <c r="AI131" s="40" t="s">
        <v>358</v>
      </c>
      <c r="AJ131" s="40"/>
      <c r="AK131" s="40"/>
      <c r="AL131" s="40"/>
      <c r="AM131" s="40"/>
      <c r="AN131" s="40"/>
      <c r="AO131" s="40"/>
      <c r="AP131" s="40"/>
      <c r="AQ131" s="40"/>
      <c r="AR131" s="40"/>
      <c r="AS131" s="40"/>
      <c r="AT131" s="40"/>
      <c r="AU131" s="40"/>
      <c r="AV131" s="40"/>
      <c r="AW131" s="40"/>
      <c r="AX131" s="40"/>
      <c r="AY131" s="40"/>
      <c r="AZ131" s="40"/>
      <c r="BA131" s="5"/>
    </row>
    <row r="132" spans="1:53" ht="15" thickBot="1" x14ac:dyDescent="0.4">
      <c r="A132" s="30" t="s">
        <v>359</v>
      </c>
      <c r="B132" s="30" t="s">
        <v>359</v>
      </c>
      <c r="C132" s="30" t="s">
        <v>359</v>
      </c>
      <c r="D132" s="30" t="s">
        <v>359</v>
      </c>
      <c r="E132" s="30" t="s">
        <v>358</v>
      </c>
      <c r="F132" s="30" t="s">
        <v>359</v>
      </c>
      <c r="G132" s="30" t="s">
        <v>359</v>
      </c>
      <c r="H132" s="30" t="s">
        <v>359</v>
      </c>
      <c r="I132" s="30" t="s">
        <v>359</v>
      </c>
      <c r="J132" s="5" t="s">
        <v>73</v>
      </c>
      <c r="K132" s="5" t="s">
        <v>453</v>
      </c>
      <c r="L132" s="5" t="s">
        <v>171</v>
      </c>
      <c r="M132" s="5" t="s">
        <v>172</v>
      </c>
      <c r="N132" s="5" t="s">
        <v>445</v>
      </c>
      <c r="O132" s="5">
        <v>1E-3</v>
      </c>
      <c r="P132" s="110"/>
      <c r="Q132" s="110"/>
      <c r="R132" s="404">
        <v>19.517341338198424</v>
      </c>
      <c r="S132" s="110"/>
      <c r="T132" s="110"/>
      <c r="U132" s="110"/>
      <c r="V132" s="121">
        <f t="shared" si="2"/>
        <v>19.516999999999999</v>
      </c>
      <c r="W132" s="40"/>
      <c r="X132" s="40"/>
      <c r="Y132" s="40"/>
      <c r="Z132" s="40"/>
      <c r="AA132" s="40"/>
      <c r="AB132" s="40"/>
      <c r="AC132" s="40"/>
      <c r="AD132" s="40"/>
      <c r="AE132" s="40"/>
      <c r="AF132" s="40"/>
      <c r="AG132" s="40"/>
      <c r="AH132" s="40"/>
      <c r="AI132" s="40" t="s">
        <v>358</v>
      </c>
      <c r="AJ132" s="40"/>
      <c r="AK132" s="40"/>
      <c r="AL132" s="40"/>
      <c r="AM132" s="40"/>
      <c r="AN132" s="40"/>
      <c r="AO132" s="40"/>
      <c r="AP132" s="40"/>
      <c r="AQ132" s="40"/>
      <c r="AR132" s="40"/>
      <c r="AS132" s="40"/>
      <c r="AT132" s="40"/>
      <c r="AU132" s="40"/>
      <c r="AV132" s="40"/>
      <c r="AW132" s="40"/>
      <c r="AX132" s="40"/>
      <c r="AY132" s="40"/>
      <c r="AZ132" s="40"/>
      <c r="BA132" s="5"/>
    </row>
    <row r="133" spans="1:53" ht="15" thickBot="1" x14ac:dyDescent="0.4">
      <c r="A133" s="30" t="s">
        <v>359</v>
      </c>
      <c r="B133" s="30" t="s">
        <v>359</v>
      </c>
      <c r="C133" s="30" t="s">
        <v>359</v>
      </c>
      <c r="D133" s="30" t="s">
        <v>359</v>
      </c>
      <c r="E133" s="30" t="s">
        <v>358</v>
      </c>
      <c r="F133" s="30" t="s">
        <v>359</v>
      </c>
      <c r="G133" s="30" t="s">
        <v>359</v>
      </c>
      <c r="H133" s="30" t="s">
        <v>359</v>
      </c>
      <c r="I133" s="30" t="s">
        <v>359</v>
      </c>
      <c r="J133" s="5" t="s">
        <v>73</v>
      </c>
      <c r="K133" s="5" t="s">
        <v>454</v>
      </c>
      <c r="L133" s="5" t="s">
        <v>174</v>
      </c>
      <c r="M133" s="5" t="s">
        <v>172</v>
      </c>
      <c r="N133" s="5" t="s">
        <v>445</v>
      </c>
      <c r="O133" s="5">
        <v>1E-3</v>
      </c>
      <c r="P133" s="110"/>
      <c r="Q133" s="110"/>
      <c r="R133" s="404">
        <v>21.280807236876331</v>
      </c>
      <c r="S133" s="110"/>
      <c r="T133" s="110"/>
      <c r="U133" s="110"/>
      <c r="V133" s="121">
        <f t="shared" si="2"/>
        <v>21.280999999999999</v>
      </c>
      <c r="W133" s="40"/>
      <c r="X133" s="40"/>
      <c r="Y133" s="40"/>
      <c r="Z133" s="40"/>
      <c r="AA133" s="40"/>
      <c r="AB133" s="40"/>
      <c r="AC133" s="40"/>
      <c r="AD133" s="40"/>
      <c r="AE133" s="40"/>
      <c r="AF133" s="40"/>
      <c r="AG133" s="40"/>
      <c r="AH133" s="40"/>
      <c r="AI133" s="40" t="s">
        <v>358</v>
      </c>
      <c r="AJ133" s="40"/>
      <c r="AK133" s="40"/>
      <c r="AL133" s="40"/>
      <c r="AM133" s="40"/>
      <c r="AN133" s="40"/>
      <c r="AO133" s="40"/>
      <c r="AP133" s="40"/>
      <c r="AQ133" s="40"/>
      <c r="AR133" s="40"/>
      <c r="AS133" s="40"/>
      <c r="AT133" s="40"/>
      <c r="AU133" s="40"/>
      <c r="AV133" s="40"/>
      <c r="AW133" s="40"/>
      <c r="AX133" s="40"/>
      <c r="AY133" s="40"/>
      <c r="AZ133" s="40"/>
      <c r="BA133" s="5"/>
    </row>
    <row r="134" spans="1:53" ht="15" thickBot="1" x14ac:dyDescent="0.4">
      <c r="A134" s="30" t="s">
        <v>359</v>
      </c>
      <c r="B134" s="30" t="s">
        <v>359</v>
      </c>
      <c r="C134" s="30" t="s">
        <v>359</v>
      </c>
      <c r="D134" s="30" t="s">
        <v>359</v>
      </c>
      <c r="E134" s="30" t="s">
        <v>358</v>
      </c>
      <c r="F134" s="30" t="s">
        <v>359</v>
      </c>
      <c r="G134" s="30" t="s">
        <v>359</v>
      </c>
      <c r="H134" s="30" t="s">
        <v>359</v>
      </c>
      <c r="I134" s="30" t="s">
        <v>359</v>
      </c>
      <c r="J134" s="5" t="s">
        <v>73</v>
      </c>
      <c r="K134" s="5" t="s">
        <v>454</v>
      </c>
      <c r="L134" s="5" t="s">
        <v>455</v>
      </c>
      <c r="M134" s="5" t="s">
        <v>172</v>
      </c>
      <c r="N134" s="5" t="s">
        <v>445</v>
      </c>
      <c r="O134" s="5">
        <v>1E-3</v>
      </c>
      <c r="P134" s="110"/>
      <c r="Q134" s="110"/>
      <c r="R134" s="404">
        <v>21.280807236876331</v>
      </c>
      <c r="S134" s="110"/>
      <c r="T134" s="110"/>
      <c r="U134" s="110"/>
      <c r="V134" s="121">
        <f t="shared" si="2"/>
        <v>21.280999999999999</v>
      </c>
      <c r="W134" s="40"/>
      <c r="X134" s="40"/>
      <c r="Y134" s="40"/>
      <c r="Z134" s="40"/>
      <c r="AA134" s="40"/>
      <c r="AB134" s="40"/>
      <c r="AC134" s="40"/>
      <c r="AD134" s="40"/>
      <c r="AE134" s="40"/>
      <c r="AF134" s="40"/>
      <c r="AG134" s="40"/>
      <c r="AH134" s="40"/>
      <c r="AI134" s="40" t="s">
        <v>358</v>
      </c>
      <c r="AJ134" s="40"/>
      <c r="AK134" s="40"/>
      <c r="AL134" s="40"/>
      <c r="AM134" s="40"/>
      <c r="AN134" s="40"/>
      <c r="AO134" s="40"/>
      <c r="AP134" s="40"/>
      <c r="AQ134" s="40"/>
      <c r="AR134" s="40"/>
      <c r="AS134" s="40"/>
      <c r="AT134" s="40"/>
      <c r="AU134" s="40"/>
      <c r="AV134" s="40"/>
      <c r="AW134" s="40"/>
      <c r="AX134" s="40"/>
      <c r="AY134" s="40"/>
      <c r="AZ134" s="40"/>
      <c r="BA134" s="5"/>
    </row>
    <row r="135" spans="1:53" ht="15" thickBot="1" x14ac:dyDescent="0.4">
      <c r="A135" s="30" t="s">
        <v>359</v>
      </c>
      <c r="B135" s="30" t="s">
        <v>359</v>
      </c>
      <c r="C135" s="30" t="s">
        <v>359</v>
      </c>
      <c r="D135" s="30" t="s">
        <v>359</v>
      </c>
      <c r="E135" s="30" t="s">
        <v>358</v>
      </c>
      <c r="F135" s="30" t="s">
        <v>359</v>
      </c>
      <c r="G135" s="30" t="s">
        <v>359</v>
      </c>
      <c r="H135" s="30" t="s">
        <v>359</v>
      </c>
      <c r="I135" s="30" t="s">
        <v>359</v>
      </c>
      <c r="J135" s="5" t="s">
        <v>73</v>
      </c>
      <c r="K135" s="5" t="s">
        <v>456</v>
      </c>
      <c r="L135" s="5" t="s">
        <v>174</v>
      </c>
      <c r="M135" s="5" t="s">
        <v>172</v>
      </c>
      <c r="N135" s="5" t="s">
        <v>445</v>
      </c>
      <c r="O135" s="5">
        <v>1E-3</v>
      </c>
      <c r="P135" s="110"/>
      <c r="Q135" s="110"/>
      <c r="R135" s="404">
        <v>21.280807236876331</v>
      </c>
      <c r="S135" s="110"/>
      <c r="T135" s="110"/>
      <c r="U135" s="110"/>
      <c r="V135" s="121">
        <f t="shared" si="2"/>
        <v>21.280999999999999</v>
      </c>
      <c r="W135" s="40"/>
      <c r="X135" s="40"/>
      <c r="Y135" s="40"/>
      <c r="Z135" s="40"/>
      <c r="AA135" s="40"/>
      <c r="AB135" s="40"/>
      <c r="AC135" s="40"/>
      <c r="AD135" s="40"/>
      <c r="AE135" s="40"/>
      <c r="AF135" s="40"/>
      <c r="AG135" s="40"/>
      <c r="AH135" s="40"/>
      <c r="AI135" s="40" t="s">
        <v>358</v>
      </c>
      <c r="AJ135" s="40"/>
      <c r="AK135" s="40"/>
      <c r="AL135" s="40"/>
      <c r="AM135" s="40"/>
      <c r="AN135" s="40"/>
      <c r="AO135" s="40"/>
      <c r="AP135" s="40"/>
      <c r="AQ135" s="40"/>
      <c r="AR135" s="40"/>
      <c r="AS135" s="40"/>
      <c r="AT135" s="40"/>
      <c r="AU135" s="40"/>
      <c r="AV135" s="40"/>
      <c r="AW135" s="40"/>
      <c r="AX135" s="40"/>
      <c r="AY135" s="40"/>
      <c r="AZ135" s="40"/>
      <c r="BA135" s="5"/>
    </row>
    <row r="136" spans="1:53" ht="15" thickBot="1" x14ac:dyDescent="0.4">
      <c r="A136" s="30" t="s">
        <v>359</v>
      </c>
      <c r="B136" s="30" t="s">
        <v>359</v>
      </c>
      <c r="C136" s="30" t="s">
        <v>359</v>
      </c>
      <c r="D136" s="30" t="s">
        <v>359</v>
      </c>
      <c r="E136" s="30" t="s">
        <v>358</v>
      </c>
      <c r="F136" s="30" t="s">
        <v>359</v>
      </c>
      <c r="G136" s="30" t="s">
        <v>359</v>
      </c>
      <c r="H136" s="30" t="s">
        <v>359</v>
      </c>
      <c r="I136" s="30" t="s">
        <v>359</v>
      </c>
      <c r="J136" s="5" t="s">
        <v>73</v>
      </c>
      <c r="K136" s="5" t="s">
        <v>456</v>
      </c>
      <c r="L136" s="5" t="s">
        <v>171</v>
      </c>
      <c r="M136" s="5" t="s">
        <v>172</v>
      </c>
      <c r="N136" s="5" t="s">
        <v>445</v>
      </c>
      <c r="O136" s="5">
        <v>1E-3</v>
      </c>
      <c r="P136" s="110"/>
      <c r="Q136" s="110"/>
      <c r="R136" s="404">
        <v>71.95</v>
      </c>
      <c r="S136" s="110"/>
      <c r="T136" s="110"/>
      <c r="U136" s="110"/>
      <c r="V136" s="121">
        <f t="shared" si="2"/>
        <v>71.95</v>
      </c>
      <c r="W136" s="40"/>
      <c r="X136" s="40"/>
      <c r="Y136" s="40"/>
      <c r="Z136" s="40"/>
      <c r="AA136" s="40"/>
      <c r="AB136" s="40"/>
      <c r="AC136" s="40"/>
      <c r="AD136" s="40"/>
      <c r="AE136" s="40"/>
      <c r="AF136" s="40"/>
      <c r="AG136" s="40"/>
      <c r="AH136" s="40"/>
      <c r="AI136" s="40" t="s">
        <v>358</v>
      </c>
      <c r="AJ136" s="40"/>
      <c r="AK136" s="40"/>
      <c r="AL136" s="40"/>
      <c r="AM136" s="40"/>
      <c r="AN136" s="40"/>
      <c r="AO136" s="40"/>
      <c r="AP136" s="40"/>
      <c r="AQ136" s="40"/>
      <c r="AR136" s="40"/>
      <c r="AS136" s="40"/>
      <c r="AT136" s="40"/>
      <c r="AU136" s="40"/>
      <c r="AV136" s="40"/>
      <c r="AW136" s="40"/>
      <c r="AX136" s="40"/>
      <c r="AY136" s="40"/>
      <c r="AZ136" s="40"/>
      <c r="BA136" s="5"/>
    </row>
    <row r="137" spans="1:53" ht="15" thickBot="1" x14ac:dyDescent="0.4">
      <c r="A137" s="30" t="s">
        <v>359</v>
      </c>
      <c r="B137" s="30" t="s">
        <v>359</v>
      </c>
      <c r="C137" s="30" t="s">
        <v>359</v>
      </c>
      <c r="D137" s="30" t="s">
        <v>359</v>
      </c>
      <c r="E137" s="30" t="s">
        <v>358</v>
      </c>
      <c r="F137" s="30" t="s">
        <v>359</v>
      </c>
      <c r="G137" s="30" t="s">
        <v>359</v>
      </c>
      <c r="H137" s="30" t="s">
        <v>359</v>
      </c>
      <c r="I137" s="30" t="s">
        <v>359</v>
      </c>
      <c r="J137" s="5" t="s">
        <v>73</v>
      </c>
      <c r="K137" s="5" t="s">
        <v>457</v>
      </c>
      <c r="L137" s="5" t="s">
        <v>174</v>
      </c>
      <c r="M137" s="5" t="s">
        <v>172</v>
      </c>
      <c r="N137" s="5" t="s">
        <v>445</v>
      </c>
      <c r="O137" s="5">
        <v>1E-3</v>
      </c>
      <c r="P137" s="110"/>
      <c r="Q137" s="110"/>
      <c r="R137" s="404">
        <v>21.280807236876331</v>
      </c>
      <c r="S137" s="110"/>
      <c r="T137" s="110"/>
      <c r="U137" s="110"/>
      <c r="V137" s="121">
        <f t="shared" si="2"/>
        <v>21.280999999999999</v>
      </c>
      <c r="W137" s="40"/>
      <c r="X137" s="40"/>
      <c r="Y137" s="40"/>
      <c r="Z137" s="40"/>
      <c r="AA137" s="40"/>
      <c r="AB137" s="40"/>
      <c r="AC137" s="40"/>
      <c r="AD137" s="40"/>
      <c r="AE137" s="40"/>
      <c r="AF137" s="40"/>
      <c r="AG137" s="40"/>
      <c r="AH137" s="40"/>
      <c r="AI137" s="40" t="s">
        <v>358</v>
      </c>
      <c r="AJ137" s="40"/>
      <c r="AK137" s="40"/>
      <c r="AL137" s="40"/>
      <c r="AM137" s="40"/>
      <c r="AN137" s="40"/>
      <c r="AO137" s="40"/>
      <c r="AP137" s="40"/>
      <c r="AQ137" s="40"/>
      <c r="AR137" s="40"/>
      <c r="AS137" s="40"/>
      <c r="AT137" s="40"/>
      <c r="AU137" s="40"/>
      <c r="AV137" s="40"/>
      <c r="AW137" s="40"/>
      <c r="AX137" s="40"/>
      <c r="AY137" s="40"/>
      <c r="AZ137" s="40"/>
      <c r="BA137" s="5"/>
    </row>
    <row r="138" spans="1:53" ht="15" thickBot="1" x14ac:dyDescent="0.4">
      <c r="A138" s="30" t="s">
        <v>359</v>
      </c>
      <c r="B138" s="30" t="s">
        <v>359</v>
      </c>
      <c r="C138" s="30" t="s">
        <v>359</v>
      </c>
      <c r="D138" s="30" t="s">
        <v>359</v>
      </c>
      <c r="E138" s="30" t="s">
        <v>358</v>
      </c>
      <c r="F138" s="30" t="s">
        <v>359</v>
      </c>
      <c r="G138" s="30" t="s">
        <v>359</v>
      </c>
      <c r="H138" s="30" t="s">
        <v>359</v>
      </c>
      <c r="I138" s="30" t="s">
        <v>359</v>
      </c>
      <c r="J138" s="5" t="s">
        <v>73</v>
      </c>
      <c r="K138" s="5" t="s">
        <v>458</v>
      </c>
      <c r="L138" s="5" t="s">
        <v>174</v>
      </c>
      <c r="M138" s="5" t="s">
        <v>172</v>
      </c>
      <c r="N138" s="5" t="s">
        <v>445</v>
      </c>
      <c r="O138" s="5">
        <v>1E-3</v>
      </c>
      <c r="P138" s="110"/>
      <c r="Q138" s="110"/>
      <c r="R138" s="404">
        <v>21.280807236876331</v>
      </c>
      <c r="S138" s="110"/>
      <c r="T138" s="110"/>
      <c r="U138" s="110"/>
      <c r="V138" s="121">
        <f t="shared" si="2"/>
        <v>21.280999999999999</v>
      </c>
      <c r="W138" s="40"/>
      <c r="X138" s="40"/>
      <c r="Y138" s="40"/>
      <c r="Z138" s="40"/>
      <c r="AA138" s="40"/>
      <c r="AB138" s="40"/>
      <c r="AC138" s="40"/>
      <c r="AD138" s="40"/>
      <c r="AE138" s="40"/>
      <c r="AF138" s="40"/>
      <c r="AG138" s="40"/>
      <c r="AH138" s="40"/>
      <c r="AI138" s="40" t="s">
        <v>358</v>
      </c>
      <c r="AJ138" s="40"/>
      <c r="AK138" s="40"/>
      <c r="AL138" s="40"/>
      <c r="AM138" s="40"/>
      <c r="AN138" s="40"/>
      <c r="AO138" s="40"/>
      <c r="AP138" s="40"/>
      <c r="AQ138" s="40"/>
      <c r="AR138" s="40"/>
      <c r="AS138" s="40"/>
      <c r="AT138" s="40"/>
      <c r="AU138" s="40"/>
      <c r="AV138" s="40"/>
      <c r="AW138" s="40"/>
      <c r="AX138" s="40"/>
      <c r="AY138" s="40"/>
      <c r="AZ138" s="40"/>
      <c r="BA138" s="5"/>
    </row>
    <row r="139" spans="1:53" ht="15" thickBot="1" x14ac:dyDescent="0.4">
      <c r="A139" s="30" t="s">
        <v>359</v>
      </c>
      <c r="B139" s="30" t="s">
        <v>359</v>
      </c>
      <c r="C139" s="30" t="s">
        <v>359</v>
      </c>
      <c r="D139" s="30" t="s">
        <v>359</v>
      </c>
      <c r="E139" s="30" t="s">
        <v>358</v>
      </c>
      <c r="F139" s="30" t="s">
        <v>359</v>
      </c>
      <c r="G139" s="30" t="s">
        <v>359</v>
      </c>
      <c r="H139" s="30" t="s">
        <v>359</v>
      </c>
      <c r="I139" s="30" t="s">
        <v>359</v>
      </c>
      <c r="J139" s="5" t="s">
        <v>73</v>
      </c>
      <c r="K139" s="5" t="s">
        <v>458</v>
      </c>
      <c r="L139" s="5" t="s">
        <v>455</v>
      </c>
      <c r="M139" s="5" t="s">
        <v>172</v>
      </c>
      <c r="N139" s="5" t="s">
        <v>445</v>
      </c>
      <c r="O139" s="5">
        <v>1E-3</v>
      </c>
      <c r="P139" s="110"/>
      <c r="Q139" s="110"/>
      <c r="R139" s="404">
        <v>21.280807236876331</v>
      </c>
      <c r="S139" s="110"/>
      <c r="T139" s="110"/>
      <c r="U139" s="110"/>
      <c r="V139" s="121">
        <f t="shared" si="2"/>
        <v>21.280999999999999</v>
      </c>
      <c r="W139" s="40"/>
      <c r="X139" s="40"/>
      <c r="Y139" s="40"/>
      <c r="Z139" s="40"/>
      <c r="AA139" s="40"/>
      <c r="AB139" s="40"/>
      <c r="AC139" s="40"/>
      <c r="AD139" s="40"/>
      <c r="AE139" s="40"/>
      <c r="AF139" s="40"/>
      <c r="AG139" s="40"/>
      <c r="AH139" s="40"/>
      <c r="AI139" s="40" t="s">
        <v>358</v>
      </c>
      <c r="AJ139" s="40"/>
      <c r="AK139" s="40"/>
      <c r="AL139" s="40"/>
      <c r="AM139" s="40"/>
      <c r="AN139" s="40"/>
      <c r="AO139" s="40"/>
      <c r="AP139" s="40"/>
      <c r="AQ139" s="40"/>
      <c r="AR139" s="40"/>
      <c r="AS139" s="40"/>
      <c r="AT139" s="40"/>
      <c r="AU139" s="40"/>
      <c r="AV139" s="40"/>
      <c r="AW139" s="40"/>
      <c r="AX139" s="40"/>
      <c r="AY139" s="40"/>
      <c r="AZ139" s="40"/>
      <c r="BA139" s="5"/>
    </row>
    <row r="140" spans="1:53" ht="15" thickBot="1" x14ac:dyDescent="0.4">
      <c r="A140" s="30" t="s">
        <v>359</v>
      </c>
      <c r="B140" s="30" t="s">
        <v>359</v>
      </c>
      <c r="C140" s="30" t="s">
        <v>359</v>
      </c>
      <c r="D140" s="30" t="s">
        <v>359</v>
      </c>
      <c r="E140" s="30" t="s">
        <v>358</v>
      </c>
      <c r="F140" s="30" t="s">
        <v>359</v>
      </c>
      <c r="G140" s="30" t="s">
        <v>359</v>
      </c>
      <c r="H140" s="30" t="s">
        <v>359</v>
      </c>
      <c r="I140" s="30" t="s">
        <v>359</v>
      </c>
      <c r="J140" s="5" t="s">
        <v>73</v>
      </c>
      <c r="K140" s="5" t="s">
        <v>458</v>
      </c>
      <c r="L140" s="5" t="s">
        <v>459</v>
      </c>
      <c r="M140" s="5" t="s">
        <v>172</v>
      </c>
      <c r="N140" s="5" t="s">
        <v>445</v>
      </c>
      <c r="O140" s="5">
        <v>1E-3</v>
      </c>
      <c r="P140" s="110"/>
      <c r="Q140" s="110"/>
      <c r="R140" s="404">
        <v>8.9124217106289993</v>
      </c>
      <c r="S140" s="110"/>
      <c r="T140" s="110"/>
      <c r="U140" s="110"/>
      <c r="V140" s="121">
        <f t="shared" si="2"/>
        <v>8.9120000000000008</v>
      </c>
      <c r="W140" s="40"/>
      <c r="X140" s="40"/>
      <c r="Y140" s="40"/>
      <c r="Z140" s="40"/>
      <c r="AA140" s="40"/>
      <c r="AB140" s="40"/>
      <c r="AC140" s="40"/>
      <c r="AD140" s="40"/>
      <c r="AE140" s="40"/>
      <c r="AF140" s="40"/>
      <c r="AG140" s="40"/>
      <c r="AH140" s="40"/>
      <c r="AI140" s="40" t="s">
        <v>358</v>
      </c>
      <c r="AJ140" s="40"/>
      <c r="AK140" s="40"/>
      <c r="AL140" s="40"/>
      <c r="AM140" s="40"/>
      <c r="AN140" s="40"/>
      <c r="AO140" s="40"/>
      <c r="AP140" s="40"/>
      <c r="AQ140" s="40"/>
      <c r="AR140" s="40"/>
      <c r="AS140" s="40"/>
      <c r="AT140" s="40"/>
      <c r="AU140" s="40"/>
      <c r="AV140" s="40"/>
      <c r="AW140" s="40"/>
      <c r="AX140" s="40"/>
      <c r="AY140" s="40"/>
      <c r="AZ140" s="40"/>
      <c r="BA140" s="5"/>
    </row>
    <row r="141" spans="1:53" ht="15" thickBot="1" x14ac:dyDescent="0.4">
      <c r="A141" s="30" t="s">
        <v>359</v>
      </c>
      <c r="B141" s="30" t="s">
        <v>359</v>
      </c>
      <c r="C141" s="30" t="s">
        <v>359</v>
      </c>
      <c r="D141" s="30" t="s">
        <v>359</v>
      </c>
      <c r="E141" s="30" t="s">
        <v>358</v>
      </c>
      <c r="F141" s="30" t="s">
        <v>359</v>
      </c>
      <c r="G141" s="30" t="s">
        <v>359</v>
      </c>
      <c r="H141" s="30" t="s">
        <v>359</v>
      </c>
      <c r="I141" s="30" t="s">
        <v>359</v>
      </c>
      <c r="J141" s="5" t="s">
        <v>73</v>
      </c>
      <c r="K141" s="5" t="s">
        <v>458</v>
      </c>
      <c r="L141" s="5" t="s">
        <v>171</v>
      </c>
      <c r="M141" s="5" t="s">
        <v>172</v>
      </c>
      <c r="N141" s="5" t="s">
        <v>445</v>
      </c>
      <c r="O141" s="5">
        <v>1E-3</v>
      </c>
      <c r="P141" s="110"/>
      <c r="Q141" s="110"/>
      <c r="R141" s="404">
        <v>925.24450083024101</v>
      </c>
      <c r="S141" s="110"/>
      <c r="T141" s="110"/>
      <c r="U141" s="110"/>
      <c r="V141" s="121">
        <f t="shared" si="2"/>
        <v>925.245</v>
      </c>
      <c r="W141" s="40"/>
      <c r="X141" s="40"/>
      <c r="Y141" s="40"/>
      <c r="Z141" s="40"/>
      <c r="AA141" s="40"/>
      <c r="AB141" s="40"/>
      <c r="AC141" s="40"/>
      <c r="AD141" s="40"/>
      <c r="AE141" s="40"/>
      <c r="AF141" s="40"/>
      <c r="AG141" s="40"/>
      <c r="AH141" s="40"/>
      <c r="AI141" s="40" t="s">
        <v>358</v>
      </c>
      <c r="AJ141" s="40"/>
      <c r="AK141" s="40"/>
      <c r="AL141" s="40"/>
      <c r="AM141" s="40"/>
      <c r="AN141" s="40"/>
      <c r="AO141" s="40"/>
      <c r="AP141" s="40"/>
      <c r="AQ141" s="40"/>
      <c r="AR141" s="40"/>
      <c r="AS141" s="40"/>
      <c r="AT141" s="40"/>
      <c r="AU141" s="40"/>
      <c r="AV141" s="40"/>
      <c r="AW141" s="40"/>
      <c r="AX141" s="40"/>
      <c r="AY141" s="40"/>
      <c r="AZ141" s="40"/>
      <c r="BA141" s="5"/>
    </row>
    <row r="142" spans="1:53" ht="15" thickBot="1" x14ac:dyDescent="0.4">
      <c r="A142" s="30" t="s">
        <v>359</v>
      </c>
      <c r="B142" s="30" t="s">
        <v>359</v>
      </c>
      <c r="C142" s="30" t="s">
        <v>359</v>
      </c>
      <c r="D142" s="30" t="s">
        <v>359</v>
      </c>
      <c r="E142" s="30" t="s">
        <v>358</v>
      </c>
      <c r="F142" s="30" t="s">
        <v>359</v>
      </c>
      <c r="G142" s="30" t="s">
        <v>359</v>
      </c>
      <c r="H142" s="30" t="s">
        <v>359</v>
      </c>
      <c r="I142" s="30" t="s">
        <v>359</v>
      </c>
      <c r="J142" s="5" t="s">
        <v>73</v>
      </c>
      <c r="K142" s="5" t="s">
        <v>170</v>
      </c>
      <c r="L142" s="5" t="s">
        <v>455</v>
      </c>
      <c r="M142" s="5" t="s">
        <v>172</v>
      </c>
      <c r="N142" s="5" t="s">
        <v>445</v>
      </c>
      <c r="O142" s="5">
        <v>1E-3</v>
      </c>
      <c r="P142" s="110"/>
      <c r="Q142" s="110"/>
      <c r="R142" s="404">
        <v>21.280807236876331</v>
      </c>
      <c r="S142" s="110"/>
      <c r="T142" s="110"/>
      <c r="U142" s="110"/>
      <c r="V142" s="121">
        <f t="shared" si="2"/>
        <v>21.280999999999999</v>
      </c>
      <c r="W142" s="40"/>
      <c r="X142" s="40"/>
      <c r="Y142" s="40"/>
      <c r="Z142" s="40"/>
      <c r="AA142" s="40"/>
      <c r="AB142" s="40"/>
      <c r="AC142" s="40"/>
      <c r="AD142" s="40"/>
      <c r="AE142" s="40"/>
      <c r="AF142" s="40"/>
      <c r="AG142" s="40"/>
      <c r="AH142" s="40"/>
      <c r="AI142" s="40" t="s">
        <v>358</v>
      </c>
      <c r="AJ142" s="40"/>
      <c r="AK142" s="40"/>
      <c r="AL142" s="40"/>
      <c r="AM142" s="40"/>
      <c r="AN142" s="40"/>
      <c r="AO142" s="40"/>
      <c r="AP142" s="40"/>
      <c r="AQ142" s="40"/>
      <c r="AR142" s="40"/>
      <c r="AS142" s="40"/>
      <c r="AT142" s="40"/>
      <c r="AU142" s="40"/>
      <c r="AV142" s="40"/>
      <c r="AW142" s="40"/>
      <c r="AX142" s="40"/>
      <c r="AY142" s="40"/>
      <c r="AZ142" s="40"/>
      <c r="BA142" s="5"/>
    </row>
    <row r="143" spans="1:53" ht="15" thickBot="1" x14ac:dyDescent="0.4">
      <c r="A143" s="30" t="s">
        <v>359</v>
      </c>
      <c r="B143" s="30" t="s">
        <v>359</v>
      </c>
      <c r="C143" s="30" t="s">
        <v>359</v>
      </c>
      <c r="D143" s="30" t="s">
        <v>359</v>
      </c>
      <c r="E143" s="30" t="s">
        <v>358</v>
      </c>
      <c r="F143" s="30" t="s">
        <v>359</v>
      </c>
      <c r="G143" s="30" t="s">
        <v>359</v>
      </c>
      <c r="H143" s="30" t="s">
        <v>359</v>
      </c>
      <c r="I143" s="30" t="s">
        <v>359</v>
      </c>
      <c r="J143" s="5" t="s">
        <v>73</v>
      </c>
      <c r="K143" s="5" t="s">
        <v>170</v>
      </c>
      <c r="L143" s="5" t="s">
        <v>171</v>
      </c>
      <c r="M143" s="5" t="s">
        <v>172</v>
      </c>
      <c r="N143" s="5" t="s">
        <v>445</v>
      </c>
      <c r="O143" s="5">
        <v>1E-3</v>
      </c>
      <c r="P143" s="110"/>
      <c r="Q143" s="110"/>
      <c r="R143" s="404">
        <v>497.04470652803235</v>
      </c>
      <c r="S143" s="110"/>
      <c r="T143" s="110"/>
      <c r="U143" s="110"/>
      <c r="V143" s="121">
        <f t="shared" si="2"/>
        <v>497.04500000000002</v>
      </c>
      <c r="W143" s="40"/>
      <c r="X143" s="40"/>
      <c r="Y143" s="40"/>
      <c r="Z143" s="40"/>
      <c r="AA143" s="40"/>
      <c r="AB143" s="40"/>
      <c r="AC143" s="40"/>
      <c r="AD143" s="40"/>
      <c r="AE143" s="40"/>
      <c r="AF143" s="40"/>
      <c r="AG143" s="40"/>
      <c r="AH143" s="40"/>
      <c r="AI143" s="40" t="s">
        <v>358</v>
      </c>
      <c r="AJ143" s="40"/>
      <c r="AK143" s="40"/>
      <c r="AL143" s="40"/>
      <c r="AM143" s="40"/>
      <c r="AN143" s="40"/>
      <c r="AO143" s="40"/>
      <c r="AP143" s="40"/>
      <c r="AQ143" s="40"/>
      <c r="AR143" s="40"/>
      <c r="AS143" s="40"/>
      <c r="AT143" s="40"/>
      <c r="AU143" s="40"/>
      <c r="AV143" s="40"/>
      <c r="AW143" s="40"/>
      <c r="AX143" s="40"/>
      <c r="AY143" s="40"/>
      <c r="AZ143" s="40"/>
      <c r="BA143" s="5"/>
    </row>
    <row r="144" spans="1:53" ht="15" thickBot="1" x14ac:dyDescent="0.4">
      <c r="A144" s="30" t="s">
        <v>359</v>
      </c>
      <c r="B144" s="30" t="s">
        <v>359</v>
      </c>
      <c r="C144" s="30" t="s">
        <v>359</v>
      </c>
      <c r="D144" s="30" t="s">
        <v>359</v>
      </c>
      <c r="E144" s="30" t="s">
        <v>358</v>
      </c>
      <c r="F144" s="30" t="s">
        <v>359</v>
      </c>
      <c r="G144" s="30" t="s">
        <v>359</v>
      </c>
      <c r="H144" s="30" t="s">
        <v>359</v>
      </c>
      <c r="I144" s="30" t="s">
        <v>359</v>
      </c>
      <c r="J144" s="5" t="s">
        <v>407</v>
      </c>
      <c r="K144" s="265" t="s">
        <v>1010</v>
      </c>
      <c r="L144" s="5" t="s">
        <v>1009</v>
      </c>
      <c r="M144" s="5" t="s">
        <v>1007</v>
      </c>
      <c r="N144" s="5"/>
      <c r="O144" s="5"/>
      <c r="P144" s="404">
        <v>0.11882092348993289</v>
      </c>
      <c r="Q144" s="110"/>
      <c r="R144" s="110"/>
      <c r="S144" s="110"/>
      <c r="T144" s="110"/>
      <c r="U144" s="110"/>
      <c r="V144" s="11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t="s">
        <v>358</v>
      </c>
      <c r="AS144" s="40"/>
      <c r="AT144" s="40"/>
      <c r="AU144" s="40"/>
      <c r="AV144" s="40"/>
      <c r="AW144" s="40"/>
      <c r="AX144" s="40"/>
      <c r="AY144" s="40"/>
      <c r="AZ144" s="40"/>
      <c r="BA144" s="5" t="s">
        <v>1029</v>
      </c>
    </row>
    <row r="145" spans="1:53" ht="15" thickBot="1" x14ac:dyDescent="0.4">
      <c r="A145" s="30" t="s">
        <v>359</v>
      </c>
      <c r="B145" s="30" t="s">
        <v>359</v>
      </c>
      <c r="C145" s="30" t="s">
        <v>359</v>
      </c>
      <c r="D145" s="30" t="s">
        <v>359</v>
      </c>
      <c r="E145" s="30" t="s">
        <v>358</v>
      </c>
      <c r="F145" s="30" t="s">
        <v>359</v>
      </c>
      <c r="G145" s="30" t="s">
        <v>359</v>
      </c>
      <c r="H145" s="30" t="s">
        <v>359</v>
      </c>
      <c r="I145" s="30" t="s">
        <v>359</v>
      </c>
      <c r="J145" s="5" t="s">
        <v>407</v>
      </c>
      <c r="K145" s="265" t="s">
        <v>1010</v>
      </c>
      <c r="L145" s="265" t="s">
        <v>1008</v>
      </c>
      <c r="M145" s="5" t="s">
        <v>1007</v>
      </c>
      <c r="N145" s="5"/>
      <c r="O145" s="5"/>
      <c r="P145" s="404">
        <v>0.20141577315436243</v>
      </c>
      <c r="Q145" s="110"/>
      <c r="R145" s="110"/>
      <c r="S145" s="110"/>
      <c r="T145" s="110"/>
      <c r="U145" s="110"/>
      <c r="V145" s="11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t="s">
        <v>358</v>
      </c>
      <c r="AS145" s="40"/>
      <c r="AT145" s="40"/>
      <c r="AU145" s="40"/>
      <c r="AV145" s="40"/>
      <c r="AW145" s="40"/>
      <c r="AX145" s="40"/>
      <c r="AY145" s="40"/>
      <c r="AZ145" s="40"/>
      <c r="BA145" s="5" t="s">
        <v>1029</v>
      </c>
    </row>
    <row r="146" spans="1:53" ht="52.5" thickBot="1" x14ac:dyDescent="0.4">
      <c r="A146" s="30" t="s">
        <v>359</v>
      </c>
      <c r="B146" s="30" t="s">
        <v>359</v>
      </c>
      <c r="C146" s="30" t="s">
        <v>359</v>
      </c>
      <c r="D146" s="30" t="s">
        <v>359</v>
      </c>
      <c r="E146" s="30" t="s">
        <v>358</v>
      </c>
      <c r="F146" s="30" t="s">
        <v>359</v>
      </c>
      <c r="G146" s="30" t="s">
        <v>359</v>
      </c>
      <c r="H146" s="30" t="s">
        <v>359</v>
      </c>
      <c r="I146" s="30" t="s">
        <v>359</v>
      </c>
      <c r="J146" s="265" t="s">
        <v>749</v>
      </c>
      <c r="K146" s="5" t="s">
        <v>170</v>
      </c>
      <c r="L146" s="5" t="s">
        <v>455</v>
      </c>
      <c r="M146" s="5" t="s">
        <v>172</v>
      </c>
      <c r="N146" s="5" t="s">
        <v>445</v>
      </c>
      <c r="O146" s="5">
        <v>1E-3</v>
      </c>
      <c r="P146" s="110"/>
      <c r="Q146" s="110"/>
      <c r="R146" s="404">
        <f>R142-(50*2*P145)</f>
        <v>1.1392299214400872</v>
      </c>
      <c r="S146" s="110"/>
      <c r="T146" s="110"/>
      <c r="U146" s="110"/>
      <c r="V146" s="121">
        <f t="shared" si="2"/>
        <v>1.139</v>
      </c>
      <c r="W146" s="40"/>
      <c r="X146" s="40"/>
      <c r="Y146" s="40"/>
      <c r="Z146" s="40"/>
      <c r="AA146" s="40"/>
      <c r="AB146" s="40"/>
      <c r="AC146" s="40"/>
      <c r="AD146" s="40"/>
      <c r="AE146" s="40"/>
      <c r="AF146" s="40"/>
      <c r="AG146" s="40"/>
      <c r="AH146" s="40"/>
      <c r="AI146" s="40" t="s">
        <v>358</v>
      </c>
      <c r="AJ146" s="40"/>
      <c r="AK146" s="40"/>
      <c r="AL146" s="40"/>
      <c r="AM146" s="40"/>
      <c r="AN146" s="40"/>
      <c r="AO146" s="40"/>
      <c r="AP146" s="40"/>
      <c r="AQ146" s="40"/>
      <c r="AR146" s="40" t="s">
        <v>358</v>
      </c>
      <c r="AS146" s="40"/>
      <c r="AT146" s="40"/>
      <c r="AU146" s="40"/>
      <c r="AV146" s="40"/>
      <c r="AW146" s="40"/>
      <c r="AX146" s="40"/>
      <c r="AY146" s="40"/>
      <c r="AZ146" s="40"/>
      <c r="BA146" s="5" t="s">
        <v>462</v>
      </c>
    </row>
    <row r="147" spans="1:53" ht="52.5" thickBot="1" x14ac:dyDescent="0.4">
      <c r="A147" s="30" t="s">
        <v>359</v>
      </c>
      <c r="B147" s="30" t="s">
        <v>359</v>
      </c>
      <c r="C147" s="30" t="s">
        <v>359</v>
      </c>
      <c r="D147" s="30" t="s">
        <v>359</v>
      </c>
      <c r="E147" s="30" t="s">
        <v>358</v>
      </c>
      <c r="F147" s="30" t="s">
        <v>359</v>
      </c>
      <c r="G147" s="30" t="s">
        <v>359</v>
      </c>
      <c r="H147" s="30" t="s">
        <v>359</v>
      </c>
      <c r="I147" s="30" t="s">
        <v>359</v>
      </c>
      <c r="J147" s="265" t="s">
        <v>749</v>
      </c>
      <c r="K147" s="5" t="s">
        <v>170</v>
      </c>
      <c r="L147" s="5" t="s">
        <v>171</v>
      </c>
      <c r="M147" s="5" t="s">
        <v>172</v>
      </c>
      <c r="N147" s="5" t="s">
        <v>445</v>
      </c>
      <c r="O147" s="5">
        <v>1E-3</v>
      </c>
      <c r="P147" s="110"/>
      <c r="Q147" s="110"/>
      <c r="R147" s="404">
        <f>R143-(25*2*P145)</f>
        <v>486.97391787031421</v>
      </c>
      <c r="S147" s="110"/>
      <c r="T147" s="110"/>
      <c r="U147" s="110"/>
      <c r="V147" s="121">
        <f t="shared" si="2"/>
        <v>486.97399999999999</v>
      </c>
      <c r="W147" s="40"/>
      <c r="X147" s="40"/>
      <c r="Y147" s="40"/>
      <c r="Z147" s="40"/>
      <c r="AA147" s="40"/>
      <c r="AB147" s="40"/>
      <c r="AC147" s="40"/>
      <c r="AD147" s="40"/>
      <c r="AE147" s="40"/>
      <c r="AF147" s="40"/>
      <c r="AG147" s="40"/>
      <c r="AH147" s="40"/>
      <c r="AI147" s="40" t="s">
        <v>358</v>
      </c>
      <c r="AJ147" s="40"/>
      <c r="AK147" s="40"/>
      <c r="AL147" s="40"/>
      <c r="AM147" s="40"/>
      <c r="AN147" s="40"/>
      <c r="AO147" s="40"/>
      <c r="AP147" s="40"/>
      <c r="AQ147" s="40"/>
      <c r="AR147" s="40" t="s">
        <v>358</v>
      </c>
      <c r="AS147" s="40"/>
      <c r="AT147" s="40"/>
      <c r="AU147" s="40"/>
      <c r="AV147" s="40"/>
      <c r="AW147" s="40"/>
      <c r="AX147" s="40"/>
      <c r="AY147" s="40"/>
      <c r="AZ147" s="40"/>
      <c r="BA147" s="5" t="s">
        <v>464</v>
      </c>
    </row>
    <row r="148" spans="1:53" ht="26.5" thickBot="1" x14ac:dyDescent="0.4">
      <c r="A148" s="30" t="s">
        <v>359</v>
      </c>
      <c r="B148" s="30" t="s">
        <v>359</v>
      </c>
      <c r="C148" s="30" t="s">
        <v>359</v>
      </c>
      <c r="D148" s="30" t="s">
        <v>359</v>
      </c>
      <c r="E148" s="30" t="s">
        <v>358</v>
      </c>
      <c r="F148" s="30" t="s">
        <v>359</v>
      </c>
      <c r="G148" s="30" t="s">
        <v>359</v>
      </c>
      <c r="H148" s="30" t="s">
        <v>359</v>
      </c>
      <c r="I148" s="30" t="s">
        <v>359</v>
      </c>
      <c r="J148" s="5" t="s">
        <v>73</v>
      </c>
      <c r="K148" s="5" t="s">
        <v>465</v>
      </c>
      <c r="L148" s="5" t="s">
        <v>174</v>
      </c>
      <c r="M148" s="5" t="s">
        <v>172</v>
      </c>
      <c r="N148" s="5" t="s">
        <v>445</v>
      </c>
      <c r="O148" s="5">
        <v>1E-3</v>
      </c>
      <c r="P148" s="110"/>
      <c r="Q148" s="110"/>
      <c r="R148" s="404">
        <v>21.280807236876331</v>
      </c>
      <c r="S148" s="110"/>
      <c r="T148" s="110"/>
      <c r="U148" s="110"/>
      <c r="V148" s="121">
        <f t="shared" si="2"/>
        <v>21.280999999999999</v>
      </c>
      <c r="W148" s="40"/>
      <c r="X148" s="40"/>
      <c r="Y148" s="40"/>
      <c r="Z148" s="40"/>
      <c r="AA148" s="40"/>
      <c r="AB148" s="40"/>
      <c r="AC148" s="40"/>
      <c r="AD148" s="40"/>
      <c r="AE148" s="40"/>
      <c r="AF148" s="40"/>
      <c r="AG148" s="40"/>
      <c r="AH148" s="40"/>
      <c r="AI148" s="40" t="s">
        <v>358</v>
      </c>
      <c r="AJ148" s="40"/>
      <c r="AK148" s="40"/>
      <c r="AL148" s="40"/>
      <c r="AM148" s="40"/>
      <c r="AN148" s="40"/>
      <c r="AO148" s="40"/>
      <c r="AP148" s="40"/>
      <c r="AQ148" s="40"/>
      <c r="AR148" s="40"/>
      <c r="AS148" s="40"/>
      <c r="AT148" s="40"/>
      <c r="AU148" s="40"/>
      <c r="AV148" s="40"/>
      <c r="AW148" s="40"/>
      <c r="AX148" s="40"/>
      <c r="AY148" s="40"/>
      <c r="AZ148" s="40"/>
      <c r="BA148" s="5"/>
    </row>
    <row r="149" spans="1:53" ht="26.5" thickBot="1" x14ac:dyDescent="0.4">
      <c r="A149" s="30" t="s">
        <v>359</v>
      </c>
      <c r="B149" s="30" t="s">
        <v>359</v>
      </c>
      <c r="C149" s="30" t="s">
        <v>359</v>
      </c>
      <c r="D149" s="30" t="s">
        <v>359</v>
      </c>
      <c r="E149" s="30" t="s">
        <v>358</v>
      </c>
      <c r="F149" s="30" t="s">
        <v>359</v>
      </c>
      <c r="G149" s="30" t="s">
        <v>359</v>
      </c>
      <c r="H149" s="30" t="s">
        <v>359</v>
      </c>
      <c r="I149" s="30" t="s">
        <v>359</v>
      </c>
      <c r="J149" s="5" t="s">
        <v>73</v>
      </c>
      <c r="K149" s="5" t="s">
        <v>465</v>
      </c>
      <c r="L149" s="5" t="s">
        <v>455</v>
      </c>
      <c r="M149" s="5" t="s">
        <v>172</v>
      </c>
      <c r="N149" s="5" t="s">
        <v>445</v>
      </c>
      <c r="O149" s="5">
        <v>1E-3</v>
      </c>
      <c r="P149" s="110"/>
      <c r="Q149" s="110"/>
      <c r="R149" s="404">
        <v>21.280807236876331</v>
      </c>
      <c r="S149" s="110"/>
      <c r="T149" s="110"/>
      <c r="U149" s="110"/>
      <c r="V149" s="121">
        <f t="shared" si="2"/>
        <v>21.280999999999999</v>
      </c>
      <c r="W149" s="40"/>
      <c r="X149" s="40"/>
      <c r="Y149" s="40"/>
      <c r="Z149" s="40"/>
      <c r="AA149" s="40"/>
      <c r="AB149" s="40"/>
      <c r="AC149" s="40"/>
      <c r="AD149" s="40"/>
      <c r="AE149" s="40"/>
      <c r="AF149" s="40"/>
      <c r="AG149" s="40"/>
      <c r="AH149" s="40"/>
      <c r="AI149" s="40" t="s">
        <v>358</v>
      </c>
      <c r="AJ149" s="40"/>
      <c r="AK149" s="40"/>
      <c r="AL149" s="40"/>
      <c r="AM149" s="40"/>
      <c r="AN149" s="40"/>
      <c r="AO149" s="40"/>
      <c r="AP149" s="40"/>
      <c r="AQ149" s="40"/>
      <c r="AR149" s="40"/>
      <c r="AS149" s="40"/>
      <c r="AT149" s="40"/>
      <c r="AU149" s="40"/>
      <c r="AV149" s="40"/>
      <c r="AW149" s="40"/>
      <c r="AX149" s="40"/>
      <c r="AY149" s="40"/>
      <c r="AZ149" s="40"/>
      <c r="BA149" s="5"/>
    </row>
    <row r="150" spans="1:53" ht="26.5" thickBot="1" x14ac:dyDescent="0.4">
      <c r="A150" s="30" t="s">
        <v>359</v>
      </c>
      <c r="B150" s="30" t="s">
        <v>359</v>
      </c>
      <c r="C150" s="30" t="s">
        <v>359</v>
      </c>
      <c r="D150" s="30" t="s">
        <v>359</v>
      </c>
      <c r="E150" s="30" t="s">
        <v>358</v>
      </c>
      <c r="F150" s="30" t="s">
        <v>359</v>
      </c>
      <c r="G150" s="30" t="s">
        <v>359</v>
      </c>
      <c r="H150" s="30" t="s">
        <v>359</v>
      </c>
      <c r="I150" s="30" t="s">
        <v>359</v>
      </c>
      <c r="J150" s="5" t="s">
        <v>73</v>
      </c>
      <c r="K150" s="5" t="s">
        <v>465</v>
      </c>
      <c r="L150" s="5" t="s">
        <v>171</v>
      </c>
      <c r="M150" s="5" t="s">
        <v>172</v>
      </c>
      <c r="N150" s="5" t="s">
        <v>445</v>
      </c>
      <c r="O150" s="5">
        <v>1E-3</v>
      </c>
      <c r="P150" s="110"/>
      <c r="Q150" s="110"/>
      <c r="R150" s="404">
        <v>496.68330591452838</v>
      </c>
      <c r="S150" s="110"/>
      <c r="T150" s="110"/>
      <c r="U150" s="110"/>
      <c r="V150" s="121">
        <f t="shared" si="2"/>
        <v>496.68299999999999</v>
      </c>
      <c r="W150" s="40"/>
      <c r="X150" s="40"/>
      <c r="Y150" s="40"/>
      <c r="Z150" s="40"/>
      <c r="AA150" s="40"/>
      <c r="AB150" s="40"/>
      <c r="AC150" s="40"/>
      <c r="AD150" s="40"/>
      <c r="AE150" s="40"/>
      <c r="AF150" s="40"/>
      <c r="AG150" s="40"/>
      <c r="AH150" s="40"/>
      <c r="AI150" s="40" t="s">
        <v>358</v>
      </c>
      <c r="AJ150" s="40"/>
      <c r="AK150" s="40"/>
      <c r="AL150" s="40"/>
      <c r="AM150" s="40"/>
      <c r="AN150" s="40"/>
      <c r="AO150" s="40"/>
      <c r="AP150" s="40"/>
      <c r="AQ150" s="40"/>
      <c r="AR150" s="40"/>
      <c r="AS150" s="40"/>
      <c r="AT150" s="40"/>
      <c r="AU150" s="40"/>
      <c r="AV150" s="40"/>
      <c r="AW150" s="40"/>
      <c r="AX150" s="40"/>
      <c r="AY150" s="40"/>
      <c r="AZ150" s="40"/>
      <c r="BA150" s="5"/>
    </row>
    <row r="151" spans="1:53" ht="52.5" thickBot="1" x14ac:dyDescent="0.4">
      <c r="A151" s="30" t="s">
        <v>359</v>
      </c>
      <c r="B151" s="30" t="s">
        <v>359</v>
      </c>
      <c r="C151" s="30" t="s">
        <v>359</v>
      </c>
      <c r="D151" s="30" t="s">
        <v>359</v>
      </c>
      <c r="E151" s="30" t="s">
        <v>358</v>
      </c>
      <c r="F151" s="30" t="s">
        <v>359</v>
      </c>
      <c r="G151" s="30" t="s">
        <v>359</v>
      </c>
      <c r="H151" s="30" t="s">
        <v>359</v>
      </c>
      <c r="I151" s="30" t="s">
        <v>359</v>
      </c>
      <c r="J151" s="265" t="s">
        <v>749</v>
      </c>
      <c r="K151" s="5" t="s">
        <v>465</v>
      </c>
      <c r="L151" s="5" t="s">
        <v>174</v>
      </c>
      <c r="M151" s="5" t="s">
        <v>172</v>
      </c>
      <c r="N151" s="5" t="s">
        <v>445</v>
      </c>
      <c r="O151" s="5">
        <v>1E-3</v>
      </c>
      <c r="P151" s="110"/>
      <c r="Q151" s="110"/>
      <c r="R151" s="404">
        <f>R148-(50*2*P144)</f>
        <v>9.3987148878830418</v>
      </c>
      <c r="S151" s="110"/>
      <c r="T151" s="110"/>
      <c r="U151" s="110"/>
      <c r="V151" s="121">
        <f t="shared" si="2"/>
        <v>9.3989999999999991</v>
      </c>
      <c r="W151" s="40"/>
      <c r="X151" s="40"/>
      <c r="Y151" s="40"/>
      <c r="Z151" s="40"/>
      <c r="AA151" s="40"/>
      <c r="AB151" s="40"/>
      <c r="AC151" s="40"/>
      <c r="AD151" s="40"/>
      <c r="AE151" s="40"/>
      <c r="AF151" s="40"/>
      <c r="AG151" s="40"/>
      <c r="AH151" s="40"/>
      <c r="AI151" s="40" t="s">
        <v>358</v>
      </c>
      <c r="AJ151" s="40"/>
      <c r="AK151" s="40"/>
      <c r="AL151" s="40"/>
      <c r="AM151" s="40"/>
      <c r="AN151" s="40"/>
      <c r="AO151" s="40"/>
      <c r="AP151" s="40"/>
      <c r="AQ151" s="40"/>
      <c r="AR151" s="40" t="s">
        <v>358</v>
      </c>
      <c r="AS151" s="40"/>
      <c r="AT151" s="40"/>
      <c r="AU151" s="40"/>
      <c r="AV151" s="40"/>
      <c r="AW151" s="40"/>
      <c r="AX151" s="40"/>
      <c r="AY151" s="40"/>
      <c r="AZ151" s="40"/>
      <c r="BA151" s="5" t="s">
        <v>461</v>
      </c>
    </row>
    <row r="152" spans="1:53" ht="52.5" thickBot="1" x14ac:dyDescent="0.4">
      <c r="A152" s="30" t="s">
        <v>359</v>
      </c>
      <c r="B152" s="30" t="s">
        <v>359</v>
      </c>
      <c r="C152" s="30" t="s">
        <v>359</v>
      </c>
      <c r="D152" s="30" t="s">
        <v>359</v>
      </c>
      <c r="E152" s="30" t="s">
        <v>358</v>
      </c>
      <c r="F152" s="30" t="s">
        <v>359</v>
      </c>
      <c r="G152" s="30" t="s">
        <v>359</v>
      </c>
      <c r="H152" s="30" t="s">
        <v>359</v>
      </c>
      <c r="I152" s="30" t="s">
        <v>359</v>
      </c>
      <c r="J152" s="265" t="s">
        <v>749</v>
      </c>
      <c r="K152" s="5" t="s">
        <v>465</v>
      </c>
      <c r="L152" s="5" t="s">
        <v>455</v>
      </c>
      <c r="M152" s="5" t="s">
        <v>172</v>
      </c>
      <c r="N152" s="5" t="s">
        <v>445</v>
      </c>
      <c r="O152" s="5">
        <v>1E-3</v>
      </c>
      <c r="P152" s="110"/>
      <c r="Q152" s="110"/>
      <c r="R152" s="404">
        <f>R149-(50*2*P145)</f>
        <v>1.1392299214400872</v>
      </c>
      <c r="S152" s="110"/>
      <c r="T152" s="110"/>
      <c r="U152" s="110"/>
      <c r="V152" s="121">
        <f t="shared" si="2"/>
        <v>1.139</v>
      </c>
      <c r="W152" s="40"/>
      <c r="X152" s="40"/>
      <c r="Y152" s="40"/>
      <c r="Z152" s="40"/>
      <c r="AA152" s="40"/>
      <c r="AB152" s="40"/>
      <c r="AC152" s="40"/>
      <c r="AD152" s="40"/>
      <c r="AE152" s="40"/>
      <c r="AF152" s="40"/>
      <c r="AG152" s="40"/>
      <c r="AH152" s="40"/>
      <c r="AI152" s="40" t="s">
        <v>358</v>
      </c>
      <c r="AJ152" s="40"/>
      <c r="AK152" s="40"/>
      <c r="AL152" s="40"/>
      <c r="AM152" s="40"/>
      <c r="AN152" s="40"/>
      <c r="AO152" s="40"/>
      <c r="AP152" s="40"/>
      <c r="AQ152" s="40"/>
      <c r="AR152" s="40" t="s">
        <v>358</v>
      </c>
      <c r="AS152" s="40"/>
      <c r="AT152" s="40"/>
      <c r="AU152" s="40"/>
      <c r="AV152" s="40"/>
      <c r="AW152" s="40"/>
      <c r="AX152" s="40"/>
      <c r="AY152" s="40"/>
      <c r="AZ152" s="40"/>
      <c r="BA152" s="5" t="s">
        <v>462</v>
      </c>
    </row>
    <row r="153" spans="1:53" ht="52.5" thickBot="1" x14ac:dyDescent="0.4">
      <c r="A153" s="30" t="s">
        <v>359</v>
      </c>
      <c r="B153" s="30" t="s">
        <v>359</v>
      </c>
      <c r="C153" s="30" t="s">
        <v>359</v>
      </c>
      <c r="D153" s="30" t="s">
        <v>359</v>
      </c>
      <c r="E153" s="30" t="s">
        <v>358</v>
      </c>
      <c r="F153" s="30" t="s">
        <v>359</v>
      </c>
      <c r="G153" s="30" t="s">
        <v>359</v>
      </c>
      <c r="H153" s="30" t="s">
        <v>359</v>
      </c>
      <c r="I153" s="30" t="s">
        <v>359</v>
      </c>
      <c r="J153" s="265" t="s">
        <v>749</v>
      </c>
      <c r="K153" s="5" t="s">
        <v>465</v>
      </c>
      <c r="L153" s="5" t="s">
        <v>171</v>
      </c>
      <c r="M153" s="5" t="s">
        <v>172</v>
      </c>
      <c r="N153" s="5" t="s">
        <v>445</v>
      </c>
      <c r="O153" s="5">
        <v>1E-3</v>
      </c>
      <c r="P153" s="110"/>
      <c r="Q153" s="110"/>
      <c r="R153" s="404">
        <f>R150-(25*2*P145)</f>
        <v>486.61251725681024</v>
      </c>
      <c r="S153" s="110"/>
      <c r="T153" s="110"/>
      <c r="U153" s="110"/>
      <c r="V153" s="121">
        <f t="shared" si="2"/>
        <v>486.613</v>
      </c>
      <c r="W153" s="40"/>
      <c r="X153" s="40"/>
      <c r="Y153" s="40"/>
      <c r="Z153" s="40"/>
      <c r="AA153" s="40"/>
      <c r="AB153" s="40"/>
      <c r="AC153" s="40"/>
      <c r="AD153" s="40"/>
      <c r="AE153" s="40"/>
      <c r="AF153" s="40"/>
      <c r="AG153" s="40"/>
      <c r="AH153" s="40"/>
      <c r="AI153" s="40" t="s">
        <v>358</v>
      </c>
      <c r="AJ153" s="40"/>
      <c r="AK153" s="40"/>
      <c r="AL153" s="40"/>
      <c r="AM153" s="40"/>
      <c r="AN153" s="40"/>
      <c r="AO153" s="40"/>
      <c r="AP153" s="40"/>
      <c r="AQ153" s="40"/>
      <c r="AR153" s="40" t="s">
        <v>358</v>
      </c>
      <c r="AS153" s="40"/>
      <c r="AT153" s="40"/>
      <c r="AU153" s="40"/>
      <c r="AV153" s="40"/>
      <c r="AW153" s="40"/>
      <c r="AX153" s="40"/>
      <c r="AY153" s="40"/>
      <c r="AZ153" s="40"/>
      <c r="BA153" s="5" t="s">
        <v>464</v>
      </c>
    </row>
    <row r="154" spans="1:53" ht="15" thickBot="1" x14ac:dyDescent="0.4">
      <c r="A154" s="30" t="s">
        <v>359</v>
      </c>
      <c r="B154" s="30" t="s">
        <v>359</v>
      </c>
      <c r="C154" s="30" t="s">
        <v>359</v>
      </c>
      <c r="D154" s="30" t="s">
        <v>359</v>
      </c>
      <c r="E154" s="30" t="s">
        <v>358</v>
      </c>
      <c r="F154" s="30" t="s">
        <v>359</v>
      </c>
      <c r="G154" s="30" t="s">
        <v>359</v>
      </c>
      <c r="H154" s="30" t="s">
        <v>359</v>
      </c>
      <c r="I154" s="30" t="s">
        <v>359</v>
      </c>
      <c r="J154" s="5" t="s">
        <v>73</v>
      </c>
      <c r="K154" s="5" t="s">
        <v>173</v>
      </c>
      <c r="L154" s="5" t="s">
        <v>174</v>
      </c>
      <c r="M154" s="5" t="s">
        <v>172</v>
      </c>
      <c r="N154" s="5" t="s">
        <v>445</v>
      </c>
      <c r="O154" s="5">
        <v>1E-3</v>
      </c>
      <c r="P154" s="110"/>
      <c r="Q154" s="110"/>
      <c r="R154" s="404">
        <v>21.280807236876331</v>
      </c>
      <c r="S154" s="110"/>
      <c r="T154" s="110"/>
      <c r="U154" s="110"/>
      <c r="V154" s="121">
        <f t="shared" si="2"/>
        <v>21.280999999999999</v>
      </c>
      <c r="W154" s="40"/>
      <c r="X154" s="40"/>
      <c r="Y154" s="40"/>
      <c r="Z154" s="40"/>
      <c r="AA154" s="40"/>
      <c r="AB154" s="40"/>
      <c r="AC154" s="40"/>
      <c r="AD154" s="40"/>
      <c r="AE154" s="40"/>
      <c r="AF154" s="40"/>
      <c r="AG154" s="40"/>
      <c r="AH154" s="40"/>
      <c r="AI154" s="40" t="s">
        <v>358</v>
      </c>
      <c r="AJ154" s="40"/>
      <c r="AK154" s="40"/>
      <c r="AL154" s="40"/>
      <c r="AM154" s="40"/>
      <c r="AN154" s="40"/>
      <c r="AO154" s="40"/>
      <c r="AP154" s="40"/>
      <c r="AQ154" s="40"/>
      <c r="AR154" s="40"/>
      <c r="AS154" s="40"/>
      <c r="AT154" s="40"/>
      <c r="AU154" s="40"/>
      <c r="AV154" s="40"/>
      <c r="AW154" s="40"/>
      <c r="AX154" s="40"/>
      <c r="AY154" s="40"/>
      <c r="AZ154" s="40"/>
      <c r="BA154" s="5"/>
    </row>
    <row r="155" spans="1:53" ht="15" thickBot="1" x14ac:dyDescent="0.4">
      <c r="A155" s="30" t="s">
        <v>359</v>
      </c>
      <c r="B155" s="30" t="s">
        <v>359</v>
      </c>
      <c r="C155" s="30" t="s">
        <v>359</v>
      </c>
      <c r="D155" s="30" t="s">
        <v>359</v>
      </c>
      <c r="E155" s="30" t="s">
        <v>358</v>
      </c>
      <c r="F155" s="30" t="s">
        <v>359</v>
      </c>
      <c r="G155" s="30" t="s">
        <v>359</v>
      </c>
      <c r="H155" s="30" t="s">
        <v>359</v>
      </c>
      <c r="I155" s="30" t="s">
        <v>359</v>
      </c>
      <c r="J155" s="5" t="s">
        <v>73</v>
      </c>
      <c r="K155" s="277" t="s">
        <v>173</v>
      </c>
      <c r="L155" s="277" t="s">
        <v>455</v>
      </c>
      <c r="M155" s="5" t="s">
        <v>172</v>
      </c>
      <c r="N155" s="5" t="s">
        <v>445</v>
      </c>
      <c r="O155" s="5">
        <v>1E-3</v>
      </c>
      <c r="P155" s="110"/>
      <c r="Q155" s="110"/>
      <c r="R155" s="404">
        <v>21.280807236876331</v>
      </c>
      <c r="S155" s="110"/>
      <c r="T155" s="110"/>
      <c r="U155" s="110"/>
      <c r="V155" s="121">
        <f t="shared" si="2"/>
        <v>21.280999999999999</v>
      </c>
      <c r="W155" s="40"/>
      <c r="X155" s="40"/>
      <c r="Y155" s="40"/>
      <c r="Z155" s="40"/>
      <c r="AA155" s="40"/>
      <c r="AB155" s="40"/>
      <c r="AC155" s="40"/>
      <c r="AD155" s="40"/>
      <c r="AE155" s="40"/>
      <c r="AF155" s="40"/>
      <c r="AG155" s="40"/>
      <c r="AH155" s="40"/>
      <c r="AI155" s="40" t="s">
        <v>358</v>
      </c>
      <c r="AJ155" s="40"/>
      <c r="AK155" s="40"/>
      <c r="AL155" s="40"/>
      <c r="AM155" s="40"/>
      <c r="AN155" s="40"/>
      <c r="AO155" s="40"/>
      <c r="AP155" s="40"/>
      <c r="AQ155" s="40"/>
      <c r="AR155" s="40"/>
      <c r="AS155" s="40"/>
      <c r="AT155" s="40"/>
      <c r="AU155" s="40"/>
      <c r="AV155" s="40"/>
      <c r="AW155" s="40"/>
      <c r="AX155" s="40"/>
      <c r="AY155" s="40"/>
      <c r="AZ155" s="40"/>
      <c r="BA155" s="5"/>
    </row>
    <row r="156" spans="1:53" ht="15" thickBot="1" x14ac:dyDescent="0.4">
      <c r="A156" s="30" t="s">
        <v>359</v>
      </c>
      <c r="B156" s="30" t="s">
        <v>359</v>
      </c>
      <c r="C156" s="30" t="s">
        <v>359</v>
      </c>
      <c r="D156" s="30" t="s">
        <v>359</v>
      </c>
      <c r="E156" s="30" t="s">
        <v>358</v>
      </c>
      <c r="F156" s="30" t="s">
        <v>359</v>
      </c>
      <c r="G156" s="30" t="s">
        <v>359</v>
      </c>
      <c r="H156" s="30" t="s">
        <v>359</v>
      </c>
      <c r="I156" s="30" t="s">
        <v>359</v>
      </c>
      <c r="J156" s="5" t="s">
        <v>73</v>
      </c>
      <c r="K156" s="277" t="s">
        <v>173</v>
      </c>
      <c r="L156" s="277" t="s">
        <v>171</v>
      </c>
      <c r="M156" s="5" t="s">
        <v>172</v>
      </c>
      <c r="N156" s="5" t="s">
        <v>445</v>
      </c>
      <c r="O156" s="5">
        <v>1E-3</v>
      </c>
      <c r="P156" s="110"/>
      <c r="Q156" s="110"/>
      <c r="R156" s="404">
        <v>8.8841301316268648</v>
      </c>
      <c r="S156" s="110"/>
      <c r="T156" s="110"/>
      <c r="U156" s="110"/>
      <c r="V156" s="121">
        <f t="shared" si="2"/>
        <v>8.8840000000000003</v>
      </c>
      <c r="W156" s="40"/>
      <c r="X156" s="40"/>
      <c r="Y156" s="40"/>
      <c r="Z156" s="40"/>
      <c r="AA156" s="40"/>
      <c r="AB156" s="40"/>
      <c r="AC156" s="40"/>
      <c r="AD156" s="40"/>
      <c r="AE156" s="40"/>
      <c r="AF156" s="40"/>
      <c r="AG156" s="40"/>
      <c r="AH156" s="40"/>
      <c r="AI156" s="40" t="s">
        <v>358</v>
      </c>
      <c r="AJ156" s="40"/>
      <c r="AK156" s="40"/>
      <c r="AL156" s="40"/>
      <c r="AM156" s="40"/>
      <c r="AN156" s="40"/>
      <c r="AO156" s="40"/>
      <c r="AP156" s="40"/>
      <c r="AQ156" s="40"/>
      <c r="AR156" s="40"/>
      <c r="AS156" s="40"/>
      <c r="AT156" s="40"/>
      <c r="AU156" s="40"/>
      <c r="AV156" s="40"/>
      <c r="AW156" s="40"/>
      <c r="AX156" s="40"/>
      <c r="AY156" s="40"/>
      <c r="AZ156" s="40"/>
      <c r="BA156" s="5"/>
    </row>
    <row r="157" spans="1:53" ht="52.5" thickBot="1" x14ac:dyDescent="0.4">
      <c r="A157" s="30" t="s">
        <v>359</v>
      </c>
      <c r="B157" s="30" t="s">
        <v>359</v>
      </c>
      <c r="C157" s="30" t="s">
        <v>359</v>
      </c>
      <c r="D157" s="30" t="s">
        <v>359</v>
      </c>
      <c r="E157" s="30" t="s">
        <v>358</v>
      </c>
      <c r="F157" s="30" t="s">
        <v>359</v>
      </c>
      <c r="G157" s="30" t="s">
        <v>359</v>
      </c>
      <c r="H157" s="30" t="s">
        <v>359</v>
      </c>
      <c r="I157" s="30" t="s">
        <v>359</v>
      </c>
      <c r="J157" s="265" t="s">
        <v>749</v>
      </c>
      <c r="K157" s="5" t="s">
        <v>173</v>
      </c>
      <c r="L157" s="5" t="s">
        <v>174</v>
      </c>
      <c r="M157" s="5" t="s">
        <v>172</v>
      </c>
      <c r="N157" s="5" t="s">
        <v>445</v>
      </c>
      <c r="O157" s="5">
        <v>1E-3</v>
      </c>
      <c r="P157" s="110"/>
      <c r="Q157" s="110"/>
      <c r="R157" s="404">
        <f>R154-(50*2*P144)</f>
        <v>9.3987148878830418</v>
      </c>
      <c r="S157" s="110"/>
      <c r="T157" s="110"/>
      <c r="U157" s="110"/>
      <c r="V157" s="121">
        <f t="shared" si="2"/>
        <v>9.3989999999999991</v>
      </c>
      <c r="W157" s="40"/>
      <c r="X157" s="40"/>
      <c r="Y157" s="40"/>
      <c r="Z157" s="40"/>
      <c r="AA157" s="40"/>
      <c r="AB157" s="40"/>
      <c r="AC157" s="40"/>
      <c r="AD157" s="40"/>
      <c r="AE157" s="40"/>
      <c r="AF157" s="40"/>
      <c r="AG157" s="40"/>
      <c r="AH157" s="40"/>
      <c r="AI157" s="40" t="s">
        <v>358</v>
      </c>
      <c r="AJ157" s="40"/>
      <c r="AK157" s="40"/>
      <c r="AL157" s="40"/>
      <c r="AM157" s="40"/>
      <c r="AN157" s="40"/>
      <c r="AO157" s="40"/>
      <c r="AP157" s="40"/>
      <c r="AQ157" s="40"/>
      <c r="AR157" s="40" t="s">
        <v>358</v>
      </c>
      <c r="AS157" s="40"/>
      <c r="AT157" s="40"/>
      <c r="AU157" s="40"/>
      <c r="AV157" s="40"/>
      <c r="AW157" s="40"/>
      <c r="AX157" s="40"/>
      <c r="AY157" s="40"/>
      <c r="AZ157" s="40"/>
      <c r="BA157" s="5" t="s">
        <v>461</v>
      </c>
    </row>
    <row r="158" spans="1:53" ht="52.5" thickBot="1" x14ac:dyDescent="0.4">
      <c r="A158" s="30" t="s">
        <v>359</v>
      </c>
      <c r="B158" s="30" t="s">
        <v>359</v>
      </c>
      <c r="C158" s="30" t="s">
        <v>359</v>
      </c>
      <c r="D158" s="30" t="s">
        <v>359</v>
      </c>
      <c r="E158" s="30" t="s">
        <v>358</v>
      </c>
      <c r="F158" s="30" t="s">
        <v>359</v>
      </c>
      <c r="G158" s="30" t="s">
        <v>359</v>
      </c>
      <c r="H158" s="30" t="s">
        <v>359</v>
      </c>
      <c r="I158" s="30" t="s">
        <v>359</v>
      </c>
      <c r="J158" s="265" t="s">
        <v>749</v>
      </c>
      <c r="K158" s="5" t="s">
        <v>173</v>
      </c>
      <c r="L158" s="5" t="s">
        <v>455</v>
      </c>
      <c r="M158" s="5" t="s">
        <v>172</v>
      </c>
      <c r="N158" s="5" t="s">
        <v>445</v>
      </c>
      <c r="O158" s="5">
        <v>1E-3</v>
      </c>
      <c r="P158" s="110"/>
      <c r="Q158" s="110"/>
      <c r="R158" s="404">
        <f>R155-(50*2*P145)</f>
        <v>1.1392299214400872</v>
      </c>
      <c r="S158" s="110"/>
      <c r="T158" s="110"/>
      <c r="U158" s="110"/>
      <c r="V158" s="121">
        <f t="shared" si="2"/>
        <v>1.139</v>
      </c>
      <c r="W158" s="40"/>
      <c r="X158" s="40"/>
      <c r="Y158" s="40"/>
      <c r="Z158" s="40"/>
      <c r="AA158" s="40"/>
      <c r="AB158" s="40"/>
      <c r="AC158" s="40"/>
      <c r="AD158" s="40"/>
      <c r="AE158" s="40"/>
      <c r="AF158" s="40"/>
      <c r="AG158" s="40"/>
      <c r="AH158" s="40"/>
      <c r="AI158" s="40" t="s">
        <v>358</v>
      </c>
      <c r="AJ158" s="40"/>
      <c r="AK158" s="40"/>
      <c r="AL158" s="40"/>
      <c r="AM158" s="40"/>
      <c r="AN158" s="40"/>
      <c r="AO158" s="40"/>
      <c r="AP158" s="40"/>
      <c r="AQ158" s="40"/>
      <c r="AR158" s="40" t="s">
        <v>358</v>
      </c>
      <c r="AS158" s="40"/>
      <c r="AT158" s="40"/>
      <c r="AU158" s="40"/>
      <c r="AV158" s="40"/>
      <c r="AW158" s="40"/>
      <c r="AX158" s="40"/>
      <c r="AY158" s="40"/>
      <c r="AZ158" s="40"/>
      <c r="BA158" s="5" t="s">
        <v>466</v>
      </c>
    </row>
    <row r="159" spans="1:53" ht="52.5" thickBot="1" x14ac:dyDescent="0.4">
      <c r="A159" s="30" t="s">
        <v>359</v>
      </c>
      <c r="B159" s="30" t="s">
        <v>359</v>
      </c>
      <c r="C159" s="30" t="s">
        <v>359</v>
      </c>
      <c r="D159" s="30" t="s">
        <v>359</v>
      </c>
      <c r="E159" s="30" t="s">
        <v>358</v>
      </c>
      <c r="F159" s="30" t="s">
        <v>359</v>
      </c>
      <c r="G159" s="30" t="s">
        <v>359</v>
      </c>
      <c r="H159" s="30" t="s">
        <v>359</v>
      </c>
      <c r="I159" s="30" t="s">
        <v>359</v>
      </c>
      <c r="J159" s="265" t="s">
        <v>749</v>
      </c>
      <c r="K159" s="5" t="s">
        <v>173</v>
      </c>
      <c r="L159" s="5" t="s">
        <v>171</v>
      </c>
      <c r="M159" s="5" t="s">
        <v>172</v>
      </c>
      <c r="N159" s="5" t="s">
        <v>445</v>
      </c>
      <c r="O159" s="5">
        <v>1E-3</v>
      </c>
      <c r="P159" s="110"/>
      <c r="Q159" s="110"/>
      <c r="R159" s="404">
        <f>R156-(10*2*P145)</f>
        <v>4.8558146685396162</v>
      </c>
      <c r="S159" s="110"/>
      <c r="T159" s="110"/>
      <c r="U159" s="110"/>
      <c r="V159" s="121">
        <f t="shared" si="2"/>
        <v>4.8559999999999999</v>
      </c>
      <c r="W159" s="40"/>
      <c r="X159" s="40"/>
      <c r="Y159" s="40"/>
      <c r="Z159" s="40"/>
      <c r="AA159" s="40"/>
      <c r="AB159" s="40"/>
      <c r="AC159" s="40"/>
      <c r="AD159" s="40"/>
      <c r="AE159" s="40"/>
      <c r="AF159" s="40"/>
      <c r="AG159" s="40"/>
      <c r="AH159" s="40"/>
      <c r="AI159" s="40" t="s">
        <v>358</v>
      </c>
      <c r="AJ159" s="40"/>
      <c r="AK159" s="40"/>
      <c r="AL159" s="40"/>
      <c r="AM159" s="40"/>
      <c r="AN159" s="40"/>
      <c r="AO159" s="40"/>
      <c r="AP159" s="40"/>
      <c r="AQ159" s="40"/>
      <c r="AR159" s="40" t="s">
        <v>358</v>
      </c>
      <c r="AS159" s="40"/>
      <c r="AT159" s="40"/>
      <c r="AU159" s="40"/>
      <c r="AV159" s="40"/>
      <c r="AW159" s="40"/>
      <c r="AX159" s="40"/>
      <c r="AY159" s="40"/>
      <c r="AZ159" s="40"/>
      <c r="BA159" s="5" t="s">
        <v>467</v>
      </c>
    </row>
    <row r="160" spans="1:53" ht="15" thickBot="1" x14ac:dyDescent="0.4">
      <c r="A160" s="30" t="s">
        <v>359</v>
      </c>
      <c r="B160" s="30" t="s">
        <v>359</v>
      </c>
      <c r="C160" s="30" t="s">
        <v>359</v>
      </c>
      <c r="D160" s="30" t="s">
        <v>359</v>
      </c>
      <c r="E160" s="30" t="s">
        <v>358</v>
      </c>
      <c r="F160" s="30" t="s">
        <v>359</v>
      </c>
      <c r="G160" s="30" t="s">
        <v>359</v>
      </c>
      <c r="H160" s="30" t="s">
        <v>359</v>
      </c>
      <c r="I160" s="30" t="s">
        <v>359</v>
      </c>
      <c r="J160" s="5" t="s">
        <v>73</v>
      </c>
      <c r="K160" s="5" t="s">
        <v>468</v>
      </c>
      <c r="L160" s="5" t="s">
        <v>174</v>
      </c>
      <c r="M160" s="5" t="s">
        <v>172</v>
      </c>
      <c r="N160" s="5" t="s">
        <v>445</v>
      </c>
      <c r="O160" s="5">
        <v>1E-3</v>
      </c>
      <c r="P160" s="110"/>
      <c r="Q160" s="110"/>
      <c r="R160" s="404">
        <v>21.280807236876331</v>
      </c>
      <c r="S160" s="110"/>
      <c r="T160" s="110"/>
      <c r="U160" s="110"/>
      <c r="V160" s="121">
        <f t="shared" si="2"/>
        <v>21.280999999999999</v>
      </c>
      <c r="W160" s="40"/>
      <c r="X160" s="40"/>
      <c r="Y160" s="40"/>
      <c r="Z160" s="40"/>
      <c r="AA160" s="40"/>
      <c r="AB160" s="40"/>
      <c r="AC160" s="40"/>
      <c r="AD160" s="40"/>
      <c r="AE160" s="40"/>
      <c r="AF160" s="40"/>
      <c r="AG160" s="40"/>
      <c r="AH160" s="40"/>
      <c r="AI160" s="40" t="s">
        <v>358</v>
      </c>
      <c r="AJ160" s="40"/>
      <c r="AK160" s="40"/>
      <c r="AL160" s="40"/>
      <c r="AM160" s="40"/>
      <c r="AN160" s="40"/>
      <c r="AO160" s="40"/>
      <c r="AP160" s="40"/>
      <c r="AQ160" s="40"/>
      <c r="AR160" s="40"/>
      <c r="AS160" s="40"/>
      <c r="AT160" s="40"/>
      <c r="AU160" s="40"/>
      <c r="AV160" s="40"/>
      <c r="AW160" s="40"/>
      <c r="AX160" s="40"/>
      <c r="AY160" s="40"/>
      <c r="AZ160" s="40"/>
      <c r="BA160" s="5"/>
    </row>
    <row r="161" spans="1:53" ht="52.5" thickBot="1" x14ac:dyDescent="0.4">
      <c r="A161" s="30" t="s">
        <v>359</v>
      </c>
      <c r="B161" s="30" t="s">
        <v>359</v>
      </c>
      <c r="C161" s="30" t="s">
        <v>359</v>
      </c>
      <c r="D161" s="30" t="s">
        <v>359</v>
      </c>
      <c r="E161" s="30" t="s">
        <v>358</v>
      </c>
      <c r="F161" s="30" t="s">
        <v>359</v>
      </c>
      <c r="G161" s="30" t="s">
        <v>359</v>
      </c>
      <c r="H161" s="30" t="s">
        <v>359</v>
      </c>
      <c r="I161" s="30" t="s">
        <v>359</v>
      </c>
      <c r="J161" s="265" t="s">
        <v>749</v>
      </c>
      <c r="K161" s="5" t="s">
        <v>468</v>
      </c>
      <c r="L161" s="5" t="s">
        <v>174</v>
      </c>
      <c r="M161" s="5" t="s">
        <v>172</v>
      </c>
      <c r="N161" s="5" t="s">
        <v>445</v>
      </c>
      <c r="O161" s="5">
        <v>1E-3</v>
      </c>
      <c r="P161" s="110"/>
      <c r="Q161" s="110"/>
      <c r="R161" s="404">
        <f>R160-(50*2*P144)</f>
        <v>9.3987148878830418</v>
      </c>
      <c r="S161" s="110"/>
      <c r="T161" s="110"/>
      <c r="U161" s="110"/>
      <c r="V161" s="121">
        <f t="shared" si="2"/>
        <v>9.3989999999999991</v>
      </c>
      <c r="W161" s="40"/>
      <c r="X161" s="40"/>
      <c r="Y161" s="40"/>
      <c r="Z161" s="40"/>
      <c r="AA161" s="40"/>
      <c r="AB161" s="40"/>
      <c r="AC161" s="40"/>
      <c r="AD161" s="40"/>
      <c r="AE161" s="40"/>
      <c r="AF161" s="40"/>
      <c r="AG161" s="40"/>
      <c r="AH161" s="40"/>
      <c r="AI161" s="40" t="s">
        <v>358</v>
      </c>
      <c r="AJ161" s="40"/>
      <c r="AK161" s="40"/>
      <c r="AL161" s="40"/>
      <c r="AM161" s="40"/>
      <c r="AN161" s="40"/>
      <c r="AO161" s="40"/>
      <c r="AP161" s="40"/>
      <c r="AQ161" s="40"/>
      <c r="AR161" s="40" t="s">
        <v>358</v>
      </c>
      <c r="AS161" s="40"/>
      <c r="AT161" s="40"/>
      <c r="AU161" s="40"/>
      <c r="AV161" s="40"/>
      <c r="AW161" s="40"/>
      <c r="AX161" s="40"/>
      <c r="AY161" s="40"/>
      <c r="AZ161" s="40"/>
      <c r="BA161" s="5" t="s">
        <v>461</v>
      </c>
    </row>
    <row r="162" spans="1:53" ht="15" thickBot="1" x14ac:dyDescent="0.4">
      <c r="A162" s="30" t="s">
        <v>359</v>
      </c>
      <c r="B162" s="30" t="s">
        <v>359</v>
      </c>
      <c r="C162" s="30" t="s">
        <v>359</v>
      </c>
      <c r="D162" s="30" t="s">
        <v>359</v>
      </c>
      <c r="E162" s="30" t="s">
        <v>358</v>
      </c>
      <c r="F162" s="30" t="s">
        <v>359</v>
      </c>
      <c r="G162" s="30" t="s">
        <v>359</v>
      </c>
      <c r="H162" s="30" t="s">
        <v>359</v>
      </c>
      <c r="I162" s="30" t="s">
        <v>359</v>
      </c>
      <c r="J162" s="265" t="s">
        <v>73</v>
      </c>
      <c r="K162" s="5" t="s">
        <v>469</v>
      </c>
      <c r="L162" s="5" t="s">
        <v>174</v>
      </c>
      <c r="M162" s="5" t="s">
        <v>172</v>
      </c>
      <c r="N162" s="5" t="s">
        <v>445</v>
      </c>
      <c r="O162" s="5">
        <v>1E-3</v>
      </c>
      <c r="P162" s="110"/>
      <c r="Q162" s="110"/>
      <c r="R162" s="404">
        <v>21.280807236876331</v>
      </c>
      <c r="S162" s="110"/>
      <c r="T162" s="110"/>
      <c r="U162" s="110"/>
      <c r="V162" s="121">
        <f t="shared" si="2"/>
        <v>21.280999999999999</v>
      </c>
      <c r="W162" s="40"/>
      <c r="X162" s="40"/>
      <c r="Y162" s="40"/>
      <c r="Z162" s="40"/>
      <c r="AA162" s="40"/>
      <c r="AB162" s="40"/>
      <c r="AC162" s="40"/>
      <c r="AD162" s="40"/>
      <c r="AE162" s="40"/>
      <c r="AF162" s="40"/>
      <c r="AG162" s="40"/>
      <c r="AH162" s="40"/>
      <c r="AI162" s="40" t="s">
        <v>358</v>
      </c>
      <c r="AJ162" s="40"/>
      <c r="AK162" s="40"/>
      <c r="AL162" s="40"/>
      <c r="AM162" s="40"/>
      <c r="AN162" s="40"/>
      <c r="AO162" s="40"/>
      <c r="AP162" s="40"/>
      <c r="AQ162" s="40"/>
      <c r="AR162" s="40"/>
      <c r="AS162" s="40"/>
      <c r="AT162" s="40"/>
      <c r="AU162" s="40"/>
      <c r="AV162" s="40"/>
      <c r="AW162" s="40"/>
      <c r="AX162" s="40"/>
      <c r="AY162" s="40"/>
      <c r="AZ162" s="40"/>
      <c r="BA162" s="5"/>
    </row>
    <row r="163" spans="1:53" ht="52.5" thickBot="1" x14ac:dyDescent="0.4">
      <c r="A163" s="30" t="s">
        <v>359</v>
      </c>
      <c r="B163" s="30" t="s">
        <v>359</v>
      </c>
      <c r="C163" s="30" t="s">
        <v>359</v>
      </c>
      <c r="D163" s="30" t="s">
        <v>359</v>
      </c>
      <c r="E163" s="30" t="s">
        <v>358</v>
      </c>
      <c r="F163" s="30" t="s">
        <v>359</v>
      </c>
      <c r="G163" s="30" t="s">
        <v>359</v>
      </c>
      <c r="H163" s="30" t="s">
        <v>359</v>
      </c>
      <c r="I163" s="30" t="s">
        <v>359</v>
      </c>
      <c r="J163" s="265" t="s">
        <v>749</v>
      </c>
      <c r="K163" s="5" t="s">
        <v>469</v>
      </c>
      <c r="L163" s="5" t="s">
        <v>174</v>
      </c>
      <c r="M163" s="5" t="s">
        <v>172</v>
      </c>
      <c r="N163" s="5" t="s">
        <v>445</v>
      </c>
      <c r="O163" s="5">
        <v>1E-3</v>
      </c>
      <c r="P163" s="110"/>
      <c r="Q163" s="110"/>
      <c r="R163" s="404">
        <f>R162-(50*2*P144)</f>
        <v>9.3987148878830418</v>
      </c>
      <c r="S163" s="110"/>
      <c r="T163" s="110"/>
      <c r="U163" s="110"/>
      <c r="V163" s="121">
        <f t="shared" si="2"/>
        <v>9.3989999999999991</v>
      </c>
      <c r="W163" s="40"/>
      <c r="X163" s="40"/>
      <c r="Y163" s="40"/>
      <c r="Z163" s="40"/>
      <c r="AA163" s="40"/>
      <c r="AB163" s="40"/>
      <c r="AC163" s="40"/>
      <c r="AD163" s="40"/>
      <c r="AE163" s="40"/>
      <c r="AF163" s="40"/>
      <c r="AG163" s="40"/>
      <c r="AH163" s="40"/>
      <c r="AI163" s="40" t="s">
        <v>358</v>
      </c>
      <c r="AJ163" s="40"/>
      <c r="AK163" s="40"/>
      <c r="AL163" s="40"/>
      <c r="AM163" s="40"/>
      <c r="AN163" s="40"/>
      <c r="AO163" s="40"/>
      <c r="AP163" s="40"/>
      <c r="AQ163" s="40"/>
      <c r="AR163" s="40" t="s">
        <v>358</v>
      </c>
      <c r="AS163" s="40"/>
      <c r="AT163" s="40"/>
      <c r="AU163" s="40"/>
      <c r="AV163" s="40"/>
      <c r="AW163" s="40"/>
      <c r="AX163" s="40"/>
      <c r="AY163" s="40"/>
      <c r="AZ163" s="40"/>
      <c r="BA163" s="5" t="s">
        <v>461</v>
      </c>
    </row>
    <row r="164" spans="1:53" ht="15" thickBot="1" x14ac:dyDescent="0.4">
      <c r="A164" s="30" t="s">
        <v>359</v>
      </c>
      <c r="B164" s="30" t="s">
        <v>359</v>
      </c>
      <c r="C164" s="30" t="s">
        <v>359</v>
      </c>
      <c r="D164" s="30" t="s">
        <v>359</v>
      </c>
      <c r="E164" s="30" t="s">
        <v>358</v>
      </c>
      <c r="F164" s="30" t="s">
        <v>359</v>
      </c>
      <c r="G164" s="30" t="s">
        <v>359</v>
      </c>
      <c r="H164" s="30" t="s">
        <v>359</v>
      </c>
      <c r="I164" s="30" t="s">
        <v>359</v>
      </c>
      <c r="J164" s="5" t="s">
        <v>73</v>
      </c>
      <c r="K164" s="5" t="s">
        <v>470</v>
      </c>
      <c r="L164" s="5" t="s">
        <v>174</v>
      </c>
      <c r="M164" s="5" t="s">
        <v>172</v>
      </c>
      <c r="N164" s="5" t="s">
        <v>445</v>
      </c>
      <c r="O164" s="5">
        <v>1E-3</v>
      </c>
      <c r="P164" s="110"/>
      <c r="Q164" s="110"/>
      <c r="R164" s="404">
        <v>21.280807236876331</v>
      </c>
      <c r="S164" s="110"/>
      <c r="T164" s="110"/>
      <c r="U164" s="110"/>
      <c r="V164" s="121">
        <f t="shared" si="2"/>
        <v>21.280999999999999</v>
      </c>
      <c r="W164" s="40"/>
      <c r="X164" s="40"/>
      <c r="Y164" s="40"/>
      <c r="Z164" s="40"/>
      <c r="AA164" s="40"/>
      <c r="AB164" s="40"/>
      <c r="AC164" s="40"/>
      <c r="AD164" s="40"/>
      <c r="AE164" s="40"/>
      <c r="AF164" s="40"/>
      <c r="AG164" s="40"/>
      <c r="AH164" s="40"/>
      <c r="AI164" s="40" t="s">
        <v>358</v>
      </c>
      <c r="AJ164" s="40"/>
      <c r="AK164" s="40"/>
      <c r="AL164" s="40"/>
      <c r="AM164" s="40"/>
      <c r="AN164" s="40"/>
      <c r="AO164" s="40"/>
      <c r="AP164" s="40"/>
      <c r="AQ164" s="40"/>
      <c r="AR164" s="40"/>
      <c r="AS164" s="40"/>
      <c r="AT164" s="40"/>
      <c r="AU164" s="40"/>
      <c r="AV164" s="40"/>
      <c r="AW164" s="40"/>
      <c r="AX164" s="40"/>
      <c r="AY164" s="40"/>
      <c r="AZ164" s="40"/>
      <c r="BA164" s="5"/>
    </row>
    <row r="165" spans="1:53" ht="52.5" thickBot="1" x14ac:dyDescent="0.4">
      <c r="A165" s="30" t="s">
        <v>359</v>
      </c>
      <c r="B165" s="30" t="s">
        <v>359</v>
      </c>
      <c r="C165" s="30" t="s">
        <v>359</v>
      </c>
      <c r="D165" s="30" t="s">
        <v>359</v>
      </c>
      <c r="E165" s="30" t="s">
        <v>358</v>
      </c>
      <c r="F165" s="30" t="s">
        <v>359</v>
      </c>
      <c r="G165" s="30" t="s">
        <v>359</v>
      </c>
      <c r="H165" s="30" t="s">
        <v>359</v>
      </c>
      <c r="I165" s="30" t="s">
        <v>359</v>
      </c>
      <c r="J165" s="265" t="s">
        <v>749</v>
      </c>
      <c r="K165" s="5" t="s">
        <v>470</v>
      </c>
      <c r="L165" s="5" t="s">
        <v>174</v>
      </c>
      <c r="M165" s="5" t="s">
        <v>172</v>
      </c>
      <c r="N165" s="5" t="s">
        <v>445</v>
      </c>
      <c r="O165" s="5">
        <v>1E-3</v>
      </c>
      <c r="P165" s="110"/>
      <c r="Q165" s="110"/>
      <c r="R165" s="404">
        <f>R164-(50*2*P144)</f>
        <v>9.3987148878830418</v>
      </c>
      <c r="S165" s="110"/>
      <c r="T165" s="110"/>
      <c r="U165" s="110"/>
      <c r="V165" s="121">
        <f t="shared" ref="V165:V212" si="3">ROUND(SUM(P165:U165),3)</f>
        <v>9.3989999999999991</v>
      </c>
      <c r="W165" s="40"/>
      <c r="X165" s="40"/>
      <c r="Y165" s="40"/>
      <c r="Z165" s="40"/>
      <c r="AA165" s="40"/>
      <c r="AB165" s="40"/>
      <c r="AC165" s="40"/>
      <c r="AD165" s="40"/>
      <c r="AE165" s="40"/>
      <c r="AF165" s="40"/>
      <c r="AG165" s="40"/>
      <c r="AH165" s="40"/>
      <c r="AI165" s="40" t="s">
        <v>358</v>
      </c>
      <c r="AJ165" s="40"/>
      <c r="AK165" s="40"/>
      <c r="AL165" s="40"/>
      <c r="AM165" s="40"/>
      <c r="AN165" s="40"/>
      <c r="AO165" s="40"/>
      <c r="AP165" s="40"/>
      <c r="AQ165" s="40"/>
      <c r="AR165" s="40" t="s">
        <v>358</v>
      </c>
      <c r="AS165" s="40"/>
      <c r="AT165" s="40"/>
      <c r="AU165" s="40"/>
      <c r="AV165" s="40"/>
      <c r="AW165" s="40"/>
      <c r="AX165" s="40"/>
      <c r="AY165" s="40"/>
      <c r="AZ165" s="40"/>
      <c r="BA165" s="5" t="s">
        <v>461</v>
      </c>
    </row>
    <row r="166" spans="1:53" ht="15" thickBot="1" x14ac:dyDescent="0.4">
      <c r="A166" s="30" t="s">
        <v>359</v>
      </c>
      <c r="B166" s="30" t="s">
        <v>359</v>
      </c>
      <c r="C166" s="30" t="s">
        <v>359</v>
      </c>
      <c r="D166" s="30" t="s">
        <v>359</v>
      </c>
      <c r="E166" s="30" t="s">
        <v>358</v>
      </c>
      <c r="F166" s="30" t="s">
        <v>359</v>
      </c>
      <c r="G166" s="30" t="s">
        <v>359</v>
      </c>
      <c r="H166" s="30" t="s">
        <v>359</v>
      </c>
      <c r="I166" s="30" t="s">
        <v>359</v>
      </c>
      <c r="J166" s="5" t="s">
        <v>73</v>
      </c>
      <c r="K166" s="5" t="s">
        <v>471</v>
      </c>
      <c r="L166" s="5" t="s">
        <v>174</v>
      </c>
      <c r="M166" s="5" t="s">
        <v>172</v>
      </c>
      <c r="N166" s="5" t="s">
        <v>445</v>
      </c>
      <c r="O166" s="5">
        <v>1E-3</v>
      </c>
      <c r="P166" s="110"/>
      <c r="Q166" s="110"/>
      <c r="R166" s="404">
        <v>21.280807236876331</v>
      </c>
      <c r="S166" s="110"/>
      <c r="T166" s="110"/>
      <c r="U166" s="110"/>
      <c r="V166" s="121">
        <f t="shared" si="3"/>
        <v>21.280999999999999</v>
      </c>
      <c r="W166" s="40"/>
      <c r="X166" s="40"/>
      <c r="Y166" s="40"/>
      <c r="Z166" s="40"/>
      <c r="AA166" s="40"/>
      <c r="AB166" s="40"/>
      <c r="AC166" s="40"/>
      <c r="AD166" s="40"/>
      <c r="AE166" s="40"/>
      <c r="AF166" s="40"/>
      <c r="AG166" s="40"/>
      <c r="AH166" s="40"/>
      <c r="AI166" s="40" t="s">
        <v>358</v>
      </c>
      <c r="AJ166" s="40"/>
      <c r="AK166" s="40"/>
      <c r="AL166" s="40"/>
      <c r="AM166" s="40"/>
      <c r="AN166" s="40"/>
      <c r="AO166" s="40"/>
      <c r="AP166" s="40"/>
      <c r="AQ166" s="40"/>
      <c r="AR166" s="40"/>
      <c r="AS166" s="40"/>
      <c r="AT166" s="40"/>
      <c r="AU166" s="40"/>
      <c r="AV166" s="40"/>
      <c r="AW166" s="40"/>
      <c r="AX166" s="40"/>
      <c r="AY166" s="40"/>
      <c r="AZ166" s="40"/>
      <c r="BA166" s="5"/>
    </row>
    <row r="167" spans="1:53" ht="15" thickBot="1" x14ac:dyDescent="0.4">
      <c r="A167" s="30" t="s">
        <v>359</v>
      </c>
      <c r="B167" s="30" t="s">
        <v>359</v>
      </c>
      <c r="C167" s="30" t="s">
        <v>359</v>
      </c>
      <c r="D167" s="30" t="s">
        <v>359</v>
      </c>
      <c r="E167" s="30" t="s">
        <v>358</v>
      </c>
      <c r="F167" s="30" t="s">
        <v>359</v>
      </c>
      <c r="G167" s="30" t="s">
        <v>359</v>
      </c>
      <c r="H167" s="30" t="s">
        <v>359</v>
      </c>
      <c r="I167" s="30" t="s">
        <v>359</v>
      </c>
      <c r="J167" s="5" t="s">
        <v>73</v>
      </c>
      <c r="K167" s="5" t="s">
        <v>471</v>
      </c>
      <c r="L167" s="5" t="s">
        <v>459</v>
      </c>
      <c r="M167" s="5" t="s">
        <v>172</v>
      </c>
      <c r="N167" s="5" t="s">
        <v>445</v>
      </c>
      <c r="O167" s="5">
        <v>1E-3</v>
      </c>
      <c r="P167" s="110"/>
      <c r="Q167" s="110"/>
      <c r="R167" s="404">
        <v>8.9124217106289993</v>
      </c>
      <c r="S167" s="110"/>
      <c r="T167" s="110"/>
      <c r="U167" s="110"/>
      <c r="V167" s="121">
        <f t="shared" si="3"/>
        <v>8.9120000000000008</v>
      </c>
      <c r="W167" s="40"/>
      <c r="X167" s="40"/>
      <c r="Y167" s="40"/>
      <c r="Z167" s="40"/>
      <c r="AA167" s="40"/>
      <c r="AB167" s="40"/>
      <c r="AC167" s="40"/>
      <c r="AD167" s="40"/>
      <c r="AE167" s="40"/>
      <c r="AF167" s="40"/>
      <c r="AG167" s="40"/>
      <c r="AH167" s="40"/>
      <c r="AI167" s="40" t="s">
        <v>358</v>
      </c>
      <c r="AJ167" s="40"/>
      <c r="AK167" s="40"/>
      <c r="AL167" s="40"/>
      <c r="AM167" s="40"/>
      <c r="AN167" s="40"/>
      <c r="AO167" s="40"/>
      <c r="AP167" s="40"/>
      <c r="AQ167" s="40"/>
      <c r="AR167" s="40"/>
      <c r="AS167" s="40"/>
      <c r="AT167" s="40"/>
      <c r="AU167" s="40"/>
      <c r="AV167" s="40"/>
      <c r="AW167" s="40"/>
      <c r="AX167" s="40"/>
      <c r="AY167" s="40"/>
      <c r="AZ167" s="40"/>
      <c r="BA167" s="5"/>
    </row>
    <row r="168" spans="1:53" ht="52.5" thickBot="1" x14ac:dyDescent="0.4">
      <c r="A168" s="30" t="s">
        <v>359</v>
      </c>
      <c r="B168" s="30" t="s">
        <v>359</v>
      </c>
      <c r="C168" s="30" t="s">
        <v>359</v>
      </c>
      <c r="D168" s="30" t="s">
        <v>359</v>
      </c>
      <c r="E168" s="30" t="s">
        <v>358</v>
      </c>
      <c r="F168" s="30" t="s">
        <v>359</v>
      </c>
      <c r="G168" s="30" t="s">
        <v>359</v>
      </c>
      <c r="H168" s="30" t="s">
        <v>359</v>
      </c>
      <c r="I168" s="30" t="s">
        <v>359</v>
      </c>
      <c r="J168" s="265" t="s">
        <v>749</v>
      </c>
      <c r="K168" s="5" t="s">
        <v>471</v>
      </c>
      <c r="L168" s="5" t="s">
        <v>174</v>
      </c>
      <c r="M168" s="5" t="s">
        <v>172</v>
      </c>
      <c r="N168" s="5" t="s">
        <v>445</v>
      </c>
      <c r="O168" s="5">
        <v>1E-3</v>
      </c>
      <c r="P168" s="110"/>
      <c r="Q168" s="110"/>
      <c r="R168" s="404">
        <f>R166-(50*2*P144)</f>
        <v>9.3987148878830418</v>
      </c>
      <c r="S168" s="110"/>
      <c r="T168" s="110"/>
      <c r="U168" s="110"/>
      <c r="V168" s="121">
        <f t="shared" si="3"/>
        <v>9.3989999999999991</v>
      </c>
      <c r="W168" s="40"/>
      <c r="X168" s="40"/>
      <c r="Y168" s="40"/>
      <c r="Z168" s="40"/>
      <c r="AA168" s="40"/>
      <c r="AB168" s="40"/>
      <c r="AC168" s="40"/>
      <c r="AD168" s="40"/>
      <c r="AE168" s="40"/>
      <c r="AF168" s="40"/>
      <c r="AG168" s="40"/>
      <c r="AH168" s="40"/>
      <c r="AI168" s="40" t="s">
        <v>358</v>
      </c>
      <c r="AJ168" s="40"/>
      <c r="AK168" s="40"/>
      <c r="AL168" s="40"/>
      <c r="AM168" s="40"/>
      <c r="AN168" s="40"/>
      <c r="AO168" s="40"/>
      <c r="AP168" s="40"/>
      <c r="AQ168" s="40"/>
      <c r="AR168" s="40" t="s">
        <v>358</v>
      </c>
      <c r="AS168" s="40"/>
      <c r="AT168" s="40"/>
      <c r="AU168" s="40"/>
      <c r="AV168" s="40"/>
      <c r="AW168" s="40"/>
      <c r="AX168" s="40"/>
      <c r="AY168" s="40"/>
      <c r="AZ168" s="40"/>
      <c r="BA168" s="5" t="s">
        <v>461</v>
      </c>
    </row>
    <row r="169" spans="1:53" ht="52.5" thickBot="1" x14ac:dyDescent="0.4">
      <c r="A169" s="30" t="s">
        <v>359</v>
      </c>
      <c r="B169" s="30" t="s">
        <v>359</v>
      </c>
      <c r="C169" s="30" t="s">
        <v>359</v>
      </c>
      <c r="D169" s="30" t="s">
        <v>359</v>
      </c>
      <c r="E169" s="30" t="s">
        <v>358</v>
      </c>
      <c r="F169" s="30" t="s">
        <v>359</v>
      </c>
      <c r="G169" s="30" t="s">
        <v>359</v>
      </c>
      <c r="H169" s="30" t="s">
        <v>359</v>
      </c>
      <c r="I169" s="30" t="s">
        <v>359</v>
      </c>
      <c r="J169" s="265" t="s">
        <v>749</v>
      </c>
      <c r="K169" s="5" t="s">
        <v>471</v>
      </c>
      <c r="L169" s="5" t="s">
        <v>459</v>
      </c>
      <c r="M169" s="5" t="s">
        <v>172</v>
      </c>
      <c r="N169" s="5" t="s">
        <v>445</v>
      </c>
      <c r="O169" s="5">
        <v>1E-3</v>
      </c>
      <c r="P169" s="110"/>
      <c r="Q169" s="110"/>
      <c r="R169" s="404">
        <f>R167-(10*2*P145)</f>
        <v>4.8841062475417507</v>
      </c>
      <c r="S169" s="110"/>
      <c r="T169" s="110"/>
      <c r="U169" s="110"/>
      <c r="V169" s="121">
        <f t="shared" si="3"/>
        <v>4.8840000000000003</v>
      </c>
      <c r="W169" s="40"/>
      <c r="X169" s="40"/>
      <c r="Y169" s="40"/>
      <c r="Z169" s="40"/>
      <c r="AA169" s="40"/>
      <c r="AB169" s="40"/>
      <c r="AC169" s="40"/>
      <c r="AD169" s="40"/>
      <c r="AE169" s="40"/>
      <c r="AF169" s="40"/>
      <c r="AG169" s="40"/>
      <c r="AH169" s="40"/>
      <c r="AI169" s="40" t="s">
        <v>358</v>
      </c>
      <c r="AJ169" s="40"/>
      <c r="AK169" s="40"/>
      <c r="AL169" s="40"/>
      <c r="AM169" s="40"/>
      <c r="AN169" s="40"/>
      <c r="AO169" s="40"/>
      <c r="AP169" s="40"/>
      <c r="AQ169" s="40"/>
      <c r="AR169" s="40" t="s">
        <v>358</v>
      </c>
      <c r="AS169" s="40"/>
      <c r="AT169" s="40"/>
      <c r="AU169" s="40"/>
      <c r="AV169" s="40"/>
      <c r="AW169" s="40"/>
      <c r="AX169" s="40"/>
      <c r="AY169" s="40"/>
      <c r="AZ169" s="40"/>
      <c r="BA169" s="5" t="s">
        <v>463</v>
      </c>
    </row>
    <row r="170" spans="1:53" ht="39.5" thickBot="1" x14ac:dyDescent="0.4">
      <c r="A170" s="30" t="s">
        <v>359</v>
      </c>
      <c r="B170" s="30" t="s">
        <v>359</v>
      </c>
      <c r="C170" s="30" t="s">
        <v>359</v>
      </c>
      <c r="D170" s="30" t="s">
        <v>359</v>
      </c>
      <c r="E170" s="30" t="s">
        <v>358</v>
      </c>
      <c r="F170" s="30" t="s">
        <v>359</v>
      </c>
      <c r="G170" s="30" t="s">
        <v>359</v>
      </c>
      <c r="H170" s="30" t="s">
        <v>359</v>
      </c>
      <c r="I170" s="30" t="s">
        <v>359</v>
      </c>
      <c r="J170" s="265" t="s">
        <v>73</v>
      </c>
      <c r="K170" s="5" t="s">
        <v>472</v>
      </c>
      <c r="L170" s="5" t="s">
        <v>174</v>
      </c>
      <c r="M170" s="5" t="s">
        <v>172</v>
      </c>
      <c r="N170" s="5" t="s">
        <v>445</v>
      </c>
      <c r="O170" s="5">
        <v>1E-3</v>
      </c>
      <c r="P170" s="110"/>
      <c r="Q170" s="110"/>
      <c r="R170" s="404">
        <v>21.280807236876331</v>
      </c>
      <c r="S170" s="110"/>
      <c r="T170" s="110"/>
      <c r="U170" s="110"/>
      <c r="V170" s="121">
        <f t="shared" si="3"/>
        <v>21.280999999999999</v>
      </c>
      <c r="W170" s="40"/>
      <c r="X170" s="40"/>
      <c r="Y170" s="40"/>
      <c r="Z170" s="40"/>
      <c r="AA170" s="40"/>
      <c r="AB170" s="40"/>
      <c r="AC170" s="40"/>
      <c r="AD170" s="40"/>
      <c r="AE170" s="40"/>
      <c r="AF170" s="40"/>
      <c r="AG170" s="40"/>
      <c r="AH170" s="40"/>
      <c r="AI170" s="40" t="s">
        <v>359</v>
      </c>
      <c r="AJ170" s="40"/>
      <c r="AK170" s="40"/>
      <c r="AL170" s="40"/>
      <c r="AM170" s="40"/>
      <c r="AN170" s="40"/>
      <c r="AO170" s="40"/>
      <c r="AP170" s="40"/>
      <c r="AQ170" s="40"/>
      <c r="AR170" s="40"/>
      <c r="AS170" s="40"/>
      <c r="AT170" s="40"/>
      <c r="AU170" s="40"/>
      <c r="AV170" s="40"/>
      <c r="AW170" s="40"/>
      <c r="AX170" s="40"/>
      <c r="AY170" s="40"/>
      <c r="AZ170" s="40"/>
      <c r="BA170" s="5" t="s">
        <v>473</v>
      </c>
    </row>
    <row r="171" spans="1:53" ht="52.5" thickBot="1" x14ac:dyDescent="0.4">
      <c r="A171" s="30" t="s">
        <v>359</v>
      </c>
      <c r="B171" s="30" t="s">
        <v>359</v>
      </c>
      <c r="C171" s="30" t="s">
        <v>359</v>
      </c>
      <c r="D171" s="30" t="s">
        <v>359</v>
      </c>
      <c r="E171" s="30" t="s">
        <v>358</v>
      </c>
      <c r="F171" s="30" t="s">
        <v>359</v>
      </c>
      <c r="G171" s="30" t="s">
        <v>359</v>
      </c>
      <c r="H171" s="30" t="s">
        <v>359</v>
      </c>
      <c r="I171" s="30" t="s">
        <v>359</v>
      </c>
      <c r="J171" s="5" t="s">
        <v>749</v>
      </c>
      <c r="K171" s="5" t="s">
        <v>472</v>
      </c>
      <c r="L171" s="5" t="s">
        <v>174</v>
      </c>
      <c r="M171" s="5" t="s">
        <v>172</v>
      </c>
      <c r="N171" s="5" t="s">
        <v>445</v>
      </c>
      <c r="O171" s="5">
        <v>1E-3</v>
      </c>
      <c r="P171" s="110"/>
      <c r="Q171" s="110"/>
      <c r="R171" s="404">
        <f>R170-(50*2*P144)</f>
        <v>9.3987148878830418</v>
      </c>
      <c r="S171" s="110"/>
      <c r="T171" s="110"/>
      <c r="U171" s="110"/>
      <c r="V171" s="121">
        <f t="shared" si="3"/>
        <v>9.3989999999999991</v>
      </c>
      <c r="W171" s="40"/>
      <c r="X171" s="40"/>
      <c r="Y171" s="40"/>
      <c r="Z171" s="40"/>
      <c r="AA171" s="40"/>
      <c r="AB171" s="40"/>
      <c r="AC171" s="40"/>
      <c r="AD171" s="40"/>
      <c r="AE171" s="40"/>
      <c r="AF171" s="40"/>
      <c r="AG171" s="40"/>
      <c r="AH171" s="40"/>
      <c r="AI171" s="40" t="s">
        <v>359</v>
      </c>
      <c r="AJ171" s="40"/>
      <c r="AK171" s="40"/>
      <c r="AL171" s="40"/>
      <c r="AM171" s="40"/>
      <c r="AN171" s="40"/>
      <c r="AO171" s="40"/>
      <c r="AP171" s="40"/>
      <c r="AQ171" s="40"/>
      <c r="AR171" s="40" t="s">
        <v>358</v>
      </c>
      <c r="AS171" s="40"/>
      <c r="AT171" s="40"/>
      <c r="AU171" s="40"/>
      <c r="AV171" s="40"/>
      <c r="AW171" s="40"/>
      <c r="AX171" s="40"/>
      <c r="AY171" s="40"/>
      <c r="AZ171" s="40"/>
      <c r="BA171" s="5" t="s">
        <v>461</v>
      </c>
    </row>
    <row r="172" spans="1:53" ht="15" thickBot="1" x14ac:dyDescent="0.4">
      <c r="A172" s="30" t="s">
        <v>359</v>
      </c>
      <c r="B172" s="30" t="s">
        <v>359</v>
      </c>
      <c r="C172" s="30" t="s">
        <v>359</v>
      </c>
      <c r="D172" s="30" t="s">
        <v>359</v>
      </c>
      <c r="E172" s="30" t="s">
        <v>358</v>
      </c>
      <c r="F172" s="30" t="s">
        <v>359</v>
      </c>
      <c r="G172" s="30" t="s">
        <v>359</v>
      </c>
      <c r="H172" s="30" t="s">
        <v>359</v>
      </c>
      <c r="I172" s="30" t="s">
        <v>359</v>
      </c>
      <c r="J172" s="5" t="s">
        <v>73</v>
      </c>
      <c r="K172" s="5" t="s">
        <v>474</v>
      </c>
      <c r="L172" s="5" t="s">
        <v>174</v>
      </c>
      <c r="M172" s="5" t="s">
        <v>172</v>
      </c>
      <c r="N172" s="5" t="s">
        <v>445</v>
      </c>
      <c r="O172" s="5">
        <v>1E-3</v>
      </c>
      <c r="P172" s="110"/>
      <c r="Q172" s="110"/>
      <c r="R172" s="404">
        <v>21.280807236876331</v>
      </c>
      <c r="S172" s="110"/>
      <c r="T172" s="110"/>
      <c r="U172" s="110"/>
      <c r="V172" s="121">
        <f t="shared" si="3"/>
        <v>21.280999999999999</v>
      </c>
      <c r="W172" s="40"/>
      <c r="X172" s="40"/>
      <c r="Y172" s="40"/>
      <c r="Z172" s="40"/>
      <c r="AA172" s="40"/>
      <c r="AB172" s="40"/>
      <c r="AC172" s="40"/>
      <c r="AD172" s="40"/>
      <c r="AE172" s="40"/>
      <c r="AF172" s="40"/>
      <c r="AG172" s="40"/>
      <c r="AH172" s="40"/>
      <c r="AI172" s="40" t="s">
        <v>358</v>
      </c>
      <c r="AJ172" s="40"/>
      <c r="AK172" s="40"/>
      <c r="AL172" s="40"/>
      <c r="AM172" s="40"/>
      <c r="AN172" s="40"/>
      <c r="AO172" s="40"/>
      <c r="AP172" s="40"/>
      <c r="AQ172" s="40"/>
      <c r="AR172" s="40"/>
      <c r="AS172" s="40"/>
      <c r="AT172" s="40"/>
      <c r="AU172" s="40"/>
      <c r="AV172" s="40"/>
      <c r="AW172" s="40"/>
      <c r="AX172" s="40"/>
      <c r="AY172" s="40"/>
      <c r="AZ172" s="40"/>
      <c r="BA172" s="5"/>
    </row>
    <row r="173" spans="1:53" ht="15" thickBot="1" x14ac:dyDescent="0.4">
      <c r="A173" s="30" t="s">
        <v>359</v>
      </c>
      <c r="B173" s="30" t="s">
        <v>359</v>
      </c>
      <c r="C173" s="30" t="s">
        <v>359</v>
      </c>
      <c r="D173" s="30" t="s">
        <v>359</v>
      </c>
      <c r="E173" s="30" t="s">
        <v>358</v>
      </c>
      <c r="F173" s="30" t="s">
        <v>359</v>
      </c>
      <c r="G173" s="30" t="s">
        <v>359</v>
      </c>
      <c r="H173" s="30" t="s">
        <v>359</v>
      </c>
      <c r="I173" s="30" t="s">
        <v>359</v>
      </c>
      <c r="J173" s="5" t="s">
        <v>73</v>
      </c>
      <c r="K173" s="5" t="s">
        <v>474</v>
      </c>
      <c r="L173" s="5" t="s">
        <v>171</v>
      </c>
      <c r="M173" s="5" t="s">
        <v>172</v>
      </c>
      <c r="N173" s="5" t="s">
        <v>445</v>
      </c>
      <c r="O173" s="5">
        <v>1E-3</v>
      </c>
      <c r="P173" s="110"/>
      <c r="Q173" s="110"/>
      <c r="R173" s="404">
        <v>8.8841301316268648</v>
      </c>
      <c r="S173" s="110"/>
      <c r="T173" s="110"/>
      <c r="U173" s="110"/>
      <c r="V173" s="121">
        <f t="shared" si="3"/>
        <v>8.8840000000000003</v>
      </c>
      <c r="W173" s="40"/>
      <c r="X173" s="40"/>
      <c r="Y173" s="40"/>
      <c r="Z173" s="40"/>
      <c r="AA173" s="40"/>
      <c r="AB173" s="40"/>
      <c r="AC173" s="40"/>
      <c r="AD173" s="40"/>
      <c r="AE173" s="40"/>
      <c r="AF173" s="40"/>
      <c r="AG173" s="40"/>
      <c r="AH173" s="40"/>
      <c r="AI173" s="40" t="s">
        <v>358</v>
      </c>
      <c r="AJ173" s="40"/>
      <c r="AK173" s="40"/>
      <c r="AL173" s="40"/>
      <c r="AM173" s="40"/>
      <c r="AN173" s="40"/>
      <c r="AO173" s="40"/>
      <c r="AP173" s="40"/>
      <c r="AQ173" s="40"/>
      <c r="AR173" s="40"/>
      <c r="AS173" s="40"/>
      <c r="AT173" s="40"/>
      <c r="AU173" s="40"/>
      <c r="AV173" s="40"/>
      <c r="AW173" s="40"/>
      <c r="AX173" s="40"/>
      <c r="AY173" s="40"/>
      <c r="AZ173" s="40"/>
      <c r="BA173" s="5"/>
    </row>
    <row r="174" spans="1:53" ht="52.5" thickBot="1" x14ac:dyDescent="0.4">
      <c r="A174" s="30" t="s">
        <v>359</v>
      </c>
      <c r="B174" s="30" t="s">
        <v>359</v>
      </c>
      <c r="C174" s="30" t="s">
        <v>359</v>
      </c>
      <c r="D174" s="30" t="s">
        <v>359</v>
      </c>
      <c r="E174" s="30" t="s">
        <v>358</v>
      </c>
      <c r="F174" s="30" t="s">
        <v>359</v>
      </c>
      <c r="G174" s="30" t="s">
        <v>359</v>
      </c>
      <c r="H174" s="30" t="s">
        <v>359</v>
      </c>
      <c r="I174" s="30" t="s">
        <v>359</v>
      </c>
      <c r="J174" s="5" t="s">
        <v>749</v>
      </c>
      <c r="K174" s="5" t="s">
        <v>474</v>
      </c>
      <c r="L174" s="5" t="s">
        <v>174</v>
      </c>
      <c r="M174" s="5" t="s">
        <v>172</v>
      </c>
      <c r="N174" s="5" t="s">
        <v>445</v>
      </c>
      <c r="O174" s="5">
        <v>1E-3</v>
      </c>
      <c r="P174" s="110"/>
      <c r="Q174" s="110"/>
      <c r="R174" s="404">
        <f>R172-(50*2*P144)</f>
        <v>9.3987148878830418</v>
      </c>
      <c r="S174" s="110"/>
      <c r="T174" s="110"/>
      <c r="U174" s="110"/>
      <c r="V174" s="121">
        <f t="shared" si="3"/>
        <v>9.3989999999999991</v>
      </c>
      <c r="W174" s="40"/>
      <c r="X174" s="40"/>
      <c r="Y174" s="40"/>
      <c r="Z174" s="40"/>
      <c r="AA174" s="40"/>
      <c r="AB174" s="40"/>
      <c r="AC174" s="40"/>
      <c r="AD174" s="40"/>
      <c r="AE174" s="40"/>
      <c r="AF174" s="40"/>
      <c r="AG174" s="40"/>
      <c r="AH174" s="40"/>
      <c r="AI174" s="40" t="s">
        <v>358</v>
      </c>
      <c r="AJ174" s="40"/>
      <c r="AK174" s="40"/>
      <c r="AL174" s="40"/>
      <c r="AM174" s="40"/>
      <c r="AN174" s="40"/>
      <c r="AO174" s="40"/>
      <c r="AP174" s="40"/>
      <c r="AQ174" s="40"/>
      <c r="AR174" s="40" t="s">
        <v>358</v>
      </c>
      <c r="AS174" s="40"/>
      <c r="AT174" s="40"/>
      <c r="AU174" s="40"/>
      <c r="AV174" s="40"/>
      <c r="AW174" s="40"/>
      <c r="AX174" s="40"/>
      <c r="AY174" s="40"/>
      <c r="AZ174" s="40"/>
      <c r="BA174" s="5" t="s">
        <v>461</v>
      </c>
    </row>
    <row r="175" spans="1:53" ht="52.5" thickBot="1" x14ac:dyDescent="0.4">
      <c r="A175" s="30" t="s">
        <v>359</v>
      </c>
      <c r="B175" s="30" t="s">
        <v>359</v>
      </c>
      <c r="C175" s="30" t="s">
        <v>359</v>
      </c>
      <c r="D175" s="30" t="s">
        <v>359</v>
      </c>
      <c r="E175" s="30" t="s">
        <v>358</v>
      </c>
      <c r="F175" s="30" t="s">
        <v>359</v>
      </c>
      <c r="G175" s="30" t="s">
        <v>359</v>
      </c>
      <c r="H175" s="30" t="s">
        <v>359</v>
      </c>
      <c r="I175" s="30" t="s">
        <v>359</v>
      </c>
      <c r="J175" s="5" t="s">
        <v>749</v>
      </c>
      <c r="K175" s="5" t="s">
        <v>474</v>
      </c>
      <c r="L175" s="5" t="s">
        <v>171</v>
      </c>
      <c r="M175" s="5" t="s">
        <v>172</v>
      </c>
      <c r="N175" s="5" t="s">
        <v>445</v>
      </c>
      <c r="O175" s="5">
        <v>1E-3</v>
      </c>
      <c r="P175" s="110"/>
      <c r="Q175" s="110"/>
      <c r="R175" s="404">
        <f>R173-(10*2*P145)</f>
        <v>4.8558146685396162</v>
      </c>
      <c r="S175" s="110"/>
      <c r="T175" s="110"/>
      <c r="U175" s="110"/>
      <c r="V175" s="121">
        <f t="shared" si="3"/>
        <v>4.8559999999999999</v>
      </c>
      <c r="W175" s="40"/>
      <c r="X175" s="40"/>
      <c r="Y175" s="40"/>
      <c r="Z175" s="40"/>
      <c r="AA175" s="40"/>
      <c r="AB175" s="40"/>
      <c r="AC175" s="40"/>
      <c r="AD175" s="40"/>
      <c r="AE175" s="40"/>
      <c r="AF175" s="40"/>
      <c r="AG175" s="40"/>
      <c r="AH175" s="40"/>
      <c r="AI175" s="40" t="s">
        <v>358</v>
      </c>
      <c r="AJ175" s="40"/>
      <c r="AK175" s="40"/>
      <c r="AL175" s="40"/>
      <c r="AM175" s="40"/>
      <c r="AN175" s="40"/>
      <c r="AO175" s="40"/>
      <c r="AP175" s="40"/>
      <c r="AQ175" s="40"/>
      <c r="AR175" s="40" t="s">
        <v>358</v>
      </c>
      <c r="AS175" s="40"/>
      <c r="AT175" s="40"/>
      <c r="AU175" s="40"/>
      <c r="AV175" s="40"/>
      <c r="AW175" s="40"/>
      <c r="AX175" s="40"/>
      <c r="AY175" s="40"/>
      <c r="AZ175" s="40"/>
      <c r="BA175" s="5" t="s">
        <v>467</v>
      </c>
    </row>
    <row r="176" spans="1:53" ht="15" thickBot="1" x14ac:dyDescent="0.4">
      <c r="A176" s="30" t="s">
        <v>359</v>
      </c>
      <c r="B176" s="30" t="s">
        <v>359</v>
      </c>
      <c r="C176" s="30" t="s">
        <v>359</v>
      </c>
      <c r="D176" s="30" t="s">
        <v>359</v>
      </c>
      <c r="E176" s="30" t="s">
        <v>358</v>
      </c>
      <c r="F176" s="30" t="s">
        <v>359</v>
      </c>
      <c r="G176" s="30" t="s">
        <v>359</v>
      </c>
      <c r="H176" s="30" t="s">
        <v>359</v>
      </c>
      <c r="I176" s="30" t="s">
        <v>359</v>
      </c>
      <c r="J176" s="5" t="s">
        <v>73</v>
      </c>
      <c r="K176" s="5" t="s">
        <v>475</v>
      </c>
      <c r="L176" s="5" t="s">
        <v>174</v>
      </c>
      <c r="M176" s="5" t="s">
        <v>172</v>
      </c>
      <c r="N176" s="5" t="s">
        <v>445</v>
      </c>
      <c r="O176" s="5">
        <v>1E-3</v>
      </c>
      <c r="P176" s="110"/>
      <c r="Q176" s="110"/>
      <c r="R176" s="404">
        <v>21.280807236876331</v>
      </c>
      <c r="S176" s="110"/>
      <c r="T176" s="110"/>
      <c r="U176" s="110"/>
      <c r="V176" s="121">
        <f t="shared" si="3"/>
        <v>21.280999999999999</v>
      </c>
      <c r="W176" s="40"/>
      <c r="X176" s="40"/>
      <c r="Y176" s="40"/>
      <c r="Z176" s="40"/>
      <c r="AA176" s="40"/>
      <c r="AB176" s="40"/>
      <c r="AC176" s="40"/>
      <c r="AD176" s="40"/>
      <c r="AE176" s="40"/>
      <c r="AF176" s="40"/>
      <c r="AG176" s="40"/>
      <c r="AH176" s="40"/>
      <c r="AI176" s="40" t="s">
        <v>358</v>
      </c>
      <c r="AJ176" s="40"/>
      <c r="AK176" s="40"/>
      <c r="AL176" s="40"/>
      <c r="AM176" s="40"/>
      <c r="AN176" s="40"/>
      <c r="AO176" s="40"/>
      <c r="AP176" s="40"/>
      <c r="AQ176" s="40"/>
      <c r="AR176" s="40"/>
      <c r="AS176" s="40"/>
      <c r="AT176" s="40"/>
      <c r="AU176" s="40"/>
      <c r="AV176" s="40"/>
      <c r="AW176" s="40"/>
      <c r="AX176" s="40"/>
      <c r="AY176" s="40"/>
      <c r="AZ176" s="40"/>
      <c r="BA176" s="5"/>
    </row>
    <row r="177" spans="1:53" ht="15" thickBot="1" x14ac:dyDescent="0.4">
      <c r="A177" s="30" t="s">
        <v>359</v>
      </c>
      <c r="B177" s="30" t="s">
        <v>359</v>
      </c>
      <c r="C177" s="30" t="s">
        <v>359</v>
      </c>
      <c r="D177" s="30" t="s">
        <v>359</v>
      </c>
      <c r="E177" s="30" t="s">
        <v>358</v>
      </c>
      <c r="F177" s="30" t="s">
        <v>359</v>
      </c>
      <c r="G177" s="30" t="s">
        <v>359</v>
      </c>
      <c r="H177" s="30" t="s">
        <v>359</v>
      </c>
      <c r="I177" s="30" t="s">
        <v>359</v>
      </c>
      <c r="J177" s="5" t="s">
        <v>73</v>
      </c>
      <c r="K177" s="5" t="s">
        <v>475</v>
      </c>
      <c r="L177" s="5" t="s">
        <v>455</v>
      </c>
      <c r="M177" s="5" t="s">
        <v>172</v>
      </c>
      <c r="N177" s="5" t="s">
        <v>445</v>
      </c>
      <c r="O177" s="5">
        <v>1E-3</v>
      </c>
      <c r="P177" s="110"/>
      <c r="Q177" s="110"/>
      <c r="R177" s="404">
        <v>21.280807236876331</v>
      </c>
      <c r="S177" s="110"/>
      <c r="T177" s="110"/>
      <c r="U177" s="110"/>
      <c r="V177" s="121">
        <f t="shared" si="3"/>
        <v>21.280999999999999</v>
      </c>
      <c r="W177" s="40"/>
      <c r="X177" s="40"/>
      <c r="Y177" s="40"/>
      <c r="Z177" s="40"/>
      <c r="AA177" s="40"/>
      <c r="AB177" s="40"/>
      <c r="AC177" s="40"/>
      <c r="AD177" s="40"/>
      <c r="AE177" s="40"/>
      <c r="AF177" s="40"/>
      <c r="AG177" s="40"/>
      <c r="AH177" s="40"/>
      <c r="AI177" s="40" t="s">
        <v>358</v>
      </c>
      <c r="AJ177" s="40"/>
      <c r="AK177" s="40"/>
      <c r="AL177" s="40"/>
      <c r="AM177" s="40"/>
      <c r="AN177" s="40"/>
      <c r="AO177" s="40"/>
      <c r="AP177" s="40"/>
      <c r="AQ177" s="40"/>
      <c r="AR177" s="40"/>
      <c r="AS177" s="40"/>
      <c r="AT177" s="40"/>
      <c r="AU177" s="40"/>
      <c r="AV177" s="40"/>
      <c r="AW177" s="40"/>
      <c r="AX177" s="40"/>
      <c r="AY177" s="40"/>
      <c r="AZ177" s="40"/>
      <c r="BA177" s="5"/>
    </row>
    <row r="178" spans="1:53" ht="15" thickBot="1" x14ac:dyDescent="0.4">
      <c r="A178" s="30" t="s">
        <v>359</v>
      </c>
      <c r="B178" s="30" t="s">
        <v>359</v>
      </c>
      <c r="C178" s="30" t="s">
        <v>359</v>
      </c>
      <c r="D178" s="30" t="s">
        <v>359</v>
      </c>
      <c r="E178" s="30" t="s">
        <v>358</v>
      </c>
      <c r="F178" s="30" t="s">
        <v>359</v>
      </c>
      <c r="G178" s="30" t="s">
        <v>359</v>
      </c>
      <c r="H178" s="30" t="s">
        <v>359</v>
      </c>
      <c r="I178" s="30" t="s">
        <v>359</v>
      </c>
      <c r="J178" s="5" t="s">
        <v>73</v>
      </c>
      <c r="K178" s="5" t="s">
        <v>475</v>
      </c>
      <c r="L178" s="5" t="s">
        <v>171</v>
      </c>
      <c r="M178" s="5" t="s">
        <v>172</v>
      </c>
      <c r="N178" s="5" t="s">
        <v>445</v>
      </c>
      <c r="O178" s="5">
        <v>1E-3</v>
      </c>
      <c r="P178" s="110"/>
      <c r="Q178" s="110"/>
      <c r="R178" s="404">
        <v>496.68330591452838</v>
      </c>
      <c r="S178" s="110"/>
      <c r="T178" s="110"/>
      <c r="U178" s="110"/>
      <c r="V178" s="121">
        <f t="shared" si="3"/>
        <v>496.68299999999999</v>
      </c>
      <c r="W178" s="40"/>
      <c r="X178" s="40"/>
      <c r="Y178" s="40"/>
      <c r="Z178" s="40"/>
      <c r="AA178" s="40"/>
      <c r="AB178" s="40"/>
      <c r="AC178" s="40"/>
      <c r="AD178" s="40"/>
      <c r="AE178" s="40"/>
      <c r="AF178" s="40"/>
      <c r="AG178" s="40"/>
      <c r="AH178" s="40"/>
      <c r="AI178" s="40" t="s">
        <v>358</v>
      </c>
      <c r="AJ178" s="40"/>
      <c r="AK178" s="40"/>
      <c r="AL178" s="40"/>
      <c r="AM178" s="40"/>
      <c r="AN178" s="40"/>
      <c r="AO178" s="40"/>
      <c r="AP178" s="40"/>
      <c r="AQ178" s="40"/>
      <c r="AR178" s="40"/>
      <c r="AS178" s="40"/>
      <c r="AT178" s="40"/>
      <c r="AU178" s="40"/>
      <c r="AV178" s="40"/>
      <c r="AW178" s="40"/>
      <c r="AX178" s="40"/>
      <c r="AY178" s="40"/>
      <c r="AZ178" s="40"/>
      <c r="BA178" s="5"/>
    </row>
    <row r="179" spans="1:53" ht="52.5" thickBot="1" x14ac:dyDescent="0.4">
      <c r="A179" s="30" t="s">
        <v>359</v>
      </c>
      <c r="B179" s="30" t="s">
        <v>359</v>
      </c>
      <c r="C179" s="30" t="s">
        <v>359</v>
      </c>
      <c r="D179" s="30" t="s">
        <v>359</v>
      </c>
      <c r="E179" s="30" t="s">
        <v>358</v>
      </c>
      <c r="F179" s="30" t="s">
        <v>359</v>
      </c>
      <c r="G179" s="30" t="s">
        <v>359</v>
      </c>
      <c r="H179" s="30" t="s">
        <v>359</v>
      </c>
      <c r="I179" s="30" t="s">
        <v>359</v>
      </c>
      <c r="J179" s="5" t="s">
        <v>749</v>
      </c>
      <c r="K179" s="5" t="s">
        <v>475</v>
      </c>
      <c r="L179" s="5" t="s">
        <v>174</v>
      </c>
      <c r="M179" s="5" t="s">
        <v>172</v>
      </c>
      <c r="N179" s="5" t="s">
        <v>445</v>
      </c>
      <c r="O179" s="5">
        <v>1E-3</v>
      </c>
      <c r="P179" s="110"/>
      <c r="Q179" s="110"/>
      <c r="R179" s="404">
        <f>R176-(50*2*P144)</f>
        <v>9.3987148878830418</v>
      </c>
      <c r="S179" s="110"/>
      <c r="T179" s="110"/>
      <c r="U179" s="110"/>
      <c r="V179" s="121">
        <f t="shared" si="3"/>
        <v>9.3989999999999991</v>
      </c>
      <c r="W179" s="40"/>
      <c r="X179" s="40"/>
      <c r="Y179" s="40"/>
      <c r="Z179" s="40"/>
      <c r="AA179" s="40"/>
      <c r="AB179" s="40"/>
      <c r="AC179" s="40"/>
      <c r="AD179" s="40"/>
      <c r="AE179" s="40"/>
      <c r="AF179" s="40"/>
      <c r="AG179" s="40"/>
      <c r="AH179" s="40"/>
      <c r="AI179" s="40" t="s">
        <v>358</v>
      </c>
      <c r="AJ179" s="40"/>
      <c r="AK179" s="40"/>
      <c r="AL179" s="40"/>
      <c r="AM179" s="40"/>
      <c r="AN179" s="40"/>
      <c r="AO179" s="40"/>
      <c r="AP179" s="40"/>
      <c r="AQ179" s="40"/>
      <c r="AR179" s="40" t="s">
        <v>358</v>
      </c>
      <c r="AS179" s="40"/>
      <c r="AT179" s="40"/>
      <c r="AU179" s="40"/>
      <c r="AV179" s="40"/>
      <c r="AW179" s="40"/>
      <c r="AX179" s="40"/>
      <c r="AY179" s="40"/>
      <c r="AZ179" s="40"/>
      <c r="BA179" s="5" t="s">
        <v>461</v>
      </c>
    </row>
    <row r="180" spans="1:53" ht="52.5" thickBot="1" x14ac:dyDescent="0.4">
      <c r="A180" s="30" t="s">
        <v>359</v>
      </c>
      <c r="B180" s="30" t="s">
        <v>359</v>
      </c>
      <c r="C180" s="30" t="s">
        <v>359</v>
      </c>
      <c r="D180" s="30" t="s">
        <v>359</v>
      </c>
      <c r="E180" s="30" t="s">
        <v>358</v>
      </c>
      <c r="F180" s="30" t="s">
        <v>359</v>
      </c>
      <c r="G180" s="30" t="s">
        <v>359</v>
      </c>
      <c r="H180" s="30" t="s">
        <v>359</v>
      </c>
      <c r="I180" s="30" t="s">
        <v>359</v>
      </c>
      <c r="J180" s="5" t="s">
        <v>749</v>
      </c>
      <c r="K180" s="5" t="s">
        <v>475</v>
      </c>
      <c r="L180" s="5" t="s">
        <v>455</v>
      </c>
      <c r="M180" s="5" t="s">
        <v>172</v>
      </c>
      <c r="N180" s="5" t="s">
        <v>445</v>
      </c>
      <c r="O180" s="5">
        <v>1E-3</v>
      </c>
      <c r="P180" s="110"/>
      <c r="Q180" s="110"/>
      <c r="R180" s="404">
        <f>R177-(50*2*P145)</f>
        <v>1.1392299214400872</v>
      </c>
      <c r="S180" s="110"/>
      <c r="T180" s="110"/>
      <c r="U180" s="110"/>
      <c r="V180" s="121">
        <f t="shared" si="3"/>
        <v>1.139</v>
      </c>
      <c r="W180" s="40"/>
      <c r="X180" s="40"/>
      <c r="Y180" s="40"/>
      <c r="Z180" s="40"/>
      <c r="AA180" s="40"/>
      <c r="AB180" s="40"/>
      <c r="AC180" s="40"/>
      <c r="AD180" s="40"/>
      <c r="AE180" s="40"/>
      <c r="AF180" s="40"/>
      <c r="AG180" s="40"/>
      <c r="AH180" s="40"/>
      <c r="AI180" s="40" t="s">
        <v>358</v>
      </c>
      <c r="AJ180" s="40"/>
      <c r="AK180" s="40"/>
      <c r="AL180" s="40"/>
      <c r="AM180" s="40"/>
      <c r="AN180" s="40"/>
      <c r="AO180" s="40"/>
      <c r="AP180" s="40"/>
      <c r="AQ180" s="40"/>
      <c r="AR180" s="40" t="s">
        <v>358</v>
      </c>
      <c r="AS180" s="40"/>
      <c r="AT180" s="40"/>
      <c r="AU180" s="40"/>
      <c r="AV180" s="40"/>
      <c r="AW180" s="40"/>
      <c r="AX180" s="40"/>
      <c r="AY180" s="40"/>
      <c r="AZ180" s="40"/>
      <c r="BA180" s="5" t="s">
        <v>462</v>
      </c>
    </row>
    <row r="181" spans="1:53" ht="52.5" thickBot="1" x14ac:dyDescent="0.4">
      <c r="A181" s="30" t="s">
        <v>359</v>
      </c>
      <c r="B181" s="30" t="s">
        <v>359</v>
      </c>
      <c r="C181" s="30" t="s">
        <v>359</v>
      </c>
      <c r="D181" s="30" t="s">
        <v>359</v>
      </c>
      <c r="E181" s="30" t="s">
        <v>358</v>
      </c>
      <c r="F181" s="30" t="s">
        <v>359</v>
      </c>
      <c r="G181" s="30" t="s">
        <v>359</v>
      </c>
      <c r="H181" s="30" t="s">
        <v>359</v>
      </c>
      <c r="I181" s="30" t="s">
        <v>359</v>
      </c>
      <c r="J181" s="5" t="s">
        <v>749</v>
      </c>
      <c r="K181" s="5" t="s">
        <v>475</v>
      </c>
      <c r="L181" s="5" t="s">
        <v>171</v>
      </c>
      <c r="M181" s="5" t="s">
        <v>172</v>
      </c>
      <c r="N181" s="5" t="s">
        <v>445</v>
      </c>
      <c r="O181" s="5">
        <v>1E-3</v>
      </c>
      <c r="P181" s="110"/>
      <c r="Q181" s="110"/>
      <c r="R181" s="404">
        <f>R178-(25*2*P145)</f>
        <v>486.61251725681024</v>
      </c>
      <c r="S181" s="110"/>
      <c r="T181" s="110"/>
      <c r="U181" s="110"/>
      <c r="V181" s="121">
        <f t="shared" si="3"/>
        <v>486.613</v>
      </c>
      <c r="W181" s="40"/>
      <c r="X181" s="40"/>
      <c r="Y181" s="40"/>
      <c r="Z181" s="40"/>
      <c r="AA181" s="40"/>
      <c r="AB181" s="40"/>
      <c r="AC181" s="40"/>
      <c r="AD181" s="40"/>
      <c r="AE181" s="40"/>
      <c r="AF181" s="40"/>
      <c r="AG181" s="40"/>
      <c r="AH181" s="40"/>
      <c r="AI181" s="40" t="s">
        <v>358</v>
      </c>
      <c r="AJ181" s="40"/>
      <c r="AK181" s="40"/>
      <c r="AL181" s="40"/>
      <c r="AM181" s="40"/>
      <c r="AN181" s="40"/>
      <c r="AO181" s="40"/>
      <c r="AP181" s="40"/>
      <c r="AQ181" s="40"/>
      <c r="AR181" s="40" t="s">
        <v>358</v>
      </c>
      <c r="AS181" s="40"/>
      <c r="AT181" s="40"/>
      <c r="AU181" s="40"/>
      <c r="AV181" s="40"/>
      <c r="AW181" s="40"/>
      <c r="AX181" s="40"/>
      <c r="AY181" s="40"/>
      <c r="AZ181" s="40"/>
      <c r="BA181" s="5" t="s">
        <v>464</v>
      </c>
    </row>
    <row r="182" spans="1:53" ht="15" thickBot="1" x14ac:dyDescent="0.4">
      <c r="A182" s="30" t="s">
        <v>359</v>
      </c>
      <c r="B182" s="30" t="s">
        <v>359</v>
      </c>
      <c r="C182" s="30" t="s">
        <v>359</v>
      </c>
      <c r="D182" s="30" t="s">
        <v>359</v>
      </c>
      <c r="E182" s="30" t="s">
        <v>358</v>
      </c>
      <c r="F182" s="30" t="s">
        <v>359</v>
      </c>
      <c r="G182" s="30" t="s">
        <v>359</v>
      </c>
      <c r="H182" s="30" t="s">
        <v>359</v>
      </c>
      <c r="I182" s="30" t="s">
        <v>359</v>
      </c>
      <c r="J182" s="5" t="s">
        <v>73</v>
      </c>
      <c r="K182" s="5" t="s">
        <v>476</v>
      </c>
      <c r="L182" s="5" t="s">
        <v>455</v>
      </c>
      <c r="M182" s="5" t="s">
        <v>172</v>
      </c>
      <c r="N182" s="5" t="s">
        <v>445</v>
      </c>
      <c r="O182" s="5">
        <v>1E-3</v>
      </c>
      <c r="P182" s="110"/>
      <c r="Q182" s="110"/>
      <c r="R182" s="404">
        <v>21.280807236876331</v>
      </c>
      <c r="S182" s="110"/>
      <c r="T182" s="110"/>
      <c r="U182" s="110"/>
      <c r="V182" s="121">
        <f t="shared" si="3"/>
        <v>21.280999999999999</v>
      </c>
      <c r="W182" s="40"/>
      <c r="X182" s="40"/>
      <c r="Y182" s="40"/>
      <c r="Z182" s="40"/>
      <c r="AA182" s="40"/>
      <c r="AB182" s="40"/>
      <c r="AC182" s="40"/>
      <c r="AD182" s="40"/>
      <c r="AE182" s="40"/>
      <c r="AF182" s="40"/>
      <c r="AG182" s="40"/>
      <c r="AH182" s="40"/>
      <c r="AI182" s="40" t="s">
        <v>358</v>
      </c>
      <c r="AJ182" s="40"/>
      <c r="AK182" s="40"/>
      <c r="AL182" s="40"/>
      <c r="AM182" s="40"/>
      <c r="AN182" s="40"/>
      <c r="AO182" s="40"/>
      <c r="AP182" s="40"/>
      <c r="AQ182" s="40"/>
      <c r="AR182" s="40"/>
      <c r="AS182" s="40"/>
      <c r="AT182" s="40"/>
      <c r="AU182" s="40"/>
      <c r="AV182" s="40"/>
      <c r="AW182" s="40"/>
      <c r="AX182" s="40"/>
      <c r="AY182" s="40"/>
      <c r="AZ182" s="40"/>
      <c r="BA182" s="5"/>
    </row>
    <row r="183" spans="1:53" ht="15" thickBot="1" x14ac:dyDescent="0.4">
      <c r="A183" s="30" t="s">
        <v>359</v>
      </c>
      <c r="B183" s="30" t="s">
        <v>359</v>
      </c>
      <c r="C183" s="30" t="s">
        <v>359</v>
      </c>
      <c r="D183" s="30" t="s">
        <v>359</v>
      </c>
      <c r="E183" s="30" t="s">
        <v>358</v>
      </c>
      <c r="F183" s="30" t="s">
        <v>359</v>
      </c>
      <c r="G183" s="30" t="s">
        <v>359</v>
      </c>
      <c r="H183" s="30" t="s">
        <v>359</v>
      </c>
      <c r="I183" s="30" t="s">
        <v>359</v>
      </c>
      <c r="J183" s="5" t="s">
        <v>73</v>
      </c>
      <c r="K183" s="5" t="s">
        <v>476</v>
      </c>
      <c r="L183" s="5" t="s">
        <v>459</v>
      </c>
      <c r="M183" s="5" t="s">
        <v>172</v>
      </c>
      <c r="N183" s="5" t="s">
        <v>445</v>
      </c>
      <c r="O183" s="5">
        <v>1E-3</v>
      </c>
      <c r="P183" s="110"/>
      <c r="Q183" s="110"/>
      <c r="R183" s="404">
        <v>8.9124217106289993</v>
      </c>
      <c r="S183" s="110"/>
      <c r="T183" s="110"/>
      <c r="U183" s="110"/>
      <c r="V183" s="121">
        <f t="shared" si="3"/>
        <v>8.9120000000000008</v>
      </c>
      <c r="W183" s="40"/>
      <c r="X183" s="40"/>
      <c r="Y183" s="40"/>
      <c r="Z183" s="40"/>
      <c r="AA183" s="40"/>
      <c r="AB183" s="40"/>
      <c r="AC183" s="40"/>
      <c r="AD183" s="40"/>
      <c r="AE183" s="40"/>
      <c r="AF183" s="40"/>
      <c r="AG183" s="40"/>
      <c r="AH183" s="40"/>
      <c r="AI183" s="40" t="s">
        <v>358</v>
      </c>
      <c r="AJ183" s="40"/>
      <c r="AK183" s="40"/>
      <c r="AL183" s="40"/>
      <c r="AM183" s="40"/>
      <c r="AN183" s="40"/>
      <c r="AO183" s="40"/>
      <c r="AP183" s="40"/>
      <c r="AQ183" s="40"/>
      <c r="AR183" s="40"/>
      <c r="AS183" s="40"/>
      <c r="AT183" s="40"/>
      <c r="AU183" s="40"/>
      <c r="AV183" s="40"/>
      <c r="AW183" s="40"/>
      <c r="AX183" s="40"/>
      <c r="AY183" s="40"/>
      <c r="AZ183" s="40"/>
      <c r="BA183" s="5"/>
    </row>
    <row r="184" spans="1:53" ht="15" thickBot="1" x14ac:dyDescent="0.4">
      <c r="A184" s="30" t="s">
        <v>359</v>
      </c>
      <c r="B184" s="30" t="s">
        <v>359</v>
      </c>
      <c r="C184" s="30" t="s">
        <v>359</v>
      </c>
      <c r="D184" s="30" t="s">
        <v>359</v>
      </c>
      <c r="E184" s="30" t="s">
        <v>358</v>
      </c>
      <c r="F184" s="30" t="s">
        <v>359</v>
      </c>
      <c r="G184" s="30" t="s">
        <v>359</v>
      </c>
      <c r="H184" s="30" t="s">
        <v>359</v>
      </c>
      <c r="I184" s="30" t="s">
        <v>359</v>
      </c>
      <c r="J184" s="5" t="s">
        <v>73</v>
      </c>
      <c r="K184" s="5" t="s">
        <v>476</v>
      </c>
      <c r="L184" s="5" t="s">
        <v>171</v>
      </c>
      <c r="M184" s="5" t="s">
        <v>172</v>
      </c>
      <c r="N184" s="5" t="s">
        <v>445</v>
      </c>
      <c r="O184" s="5">
        <v>1E-3</v>
      </c>
      <c r="P184" s="110"/>
      <c r="Q184" s="110"/>
      <c r="R184" s="404">
        <v>700.20988175342768</v>
      </c>
      <c r="S184" s="110"/>
      <c r="T184" s="110"/>
      <c r="U184" s="110"/>
      <c r="V184" s="121">
        <f t="shared" si="3"/>
        <v>700.21</v>
      </c>
      <c r="W184" s="40"/>
      <c r="X184" s="40"/>
      <c r="Y184" s="40"/>
      <c r="Z184" s="40"/>
      <c r="AA184" s="40"/>
      <c r="AB184" s="40"/>
      <c r="AC184" s="40"/>
      <c r="AD184" s="40"/>
      <c r="AE184" s="40"/>
      <c r="AF184" s="40"/>
      <c r="AG184" s="40"/>
      <c r="AH184" s="40"/>
      <c r="AI184" s="40" t="s">
        <v>358</v>
      </c>
      <c r="AJ184" s="40"/>
      <c r="AK184" s="40"/>
      <c r="AL184" s="40"/>
      <c r="AM184" s="40"/>
      <c r="AN184" s="40"/>
      <c r="AO184" s="40"/>
      <c r="AP184" s="40"/>
      <c r="AQ184" s="40"/>
      <c r="AR184" s="40"/>
      <c r="AS184" s="40"/>
      <c r="AT184" s="40"/>
      <c r="AU184" s="40"/>
      <c r="AV184" s="40"/>
      <c r="AW184" s="40"/>
      <c r="AX184" s="40"/>
      <c r="AY184" s="40"/>
      <c r="AZ184" s="40"/>
      <c r="BA184" s="5"/>
    </row>
    <row r="185" spans="1:53" ht="26.5" thickBot="1" x14ac:dyDescent="0.4">
      <c r="A185" s="30" t="s">
        <v>359</v>
      </c>
      <c r="B185" s="30" t="s">
        <v>359</v>
      </c>
      <c r="C185" s="30" t="s">
        <v>359</v>
      </c>
      <c r="D185" s="30" t="s">
        <v>359</v>
      </c>
      <c r="E185" s="30" t="s">
        <v>358</v>
      </c>
      <c r="F185" s="30" t="s">
        <v>359</v>
      </c>
      <c r="G185" s="30" t="s">
        <v>359</v>
      </c>
      <c r="H185" s="30" t="s">
        <v>359</v>
      </c>
      <c r="I185" s="30" t="s">
        <v>359</v>
      </c>
      <c r="J185" s="5" t="s">
        <v>73</v>
      </c>
      <c r="K185" s="5" t="s">
        <v>476</v>
      </c>
      <c r="L185" s="5" t="s">
        <v>460</v>
      </c>
      <c r="M185" s="5" t="s">
        <v>172</v>
      </c>
      <c r="N185" s="5" t="s">
        <v>445</v>
      </c>
      <c r="O185" s="5">
        <v>1E-3</v>
      </c>
      <c r="P185" s="110"/>
      <c r="Q185" s="110"/>
      <c r="R185" s="404">
        <v>8.9124217106289993</v>
      </c>
      <c r="S185" s="110"/>
      <c r="T185" s="110"/>
      <c r="U185" s="110"/>
      <c r="V185" s="121">
        <f t="shared" si="3"/>
        <v>8.9120000000000008</v>
      </c>
      <c r="W185" s="40"/>
      <c r="X185" s="40"/>
      <c r="Y185" s="40"/>
      <c r="Z185" s="40"/>
      <c r="AA185" s="40"/>
      <c r="AB185" s="40"/>
      <c r="AC185" s="40"/>
      <c r="AD185" s="40"/>
      <c r="AE185" s="40"/>
      <c r="AF185" s="40"/>
      <c r="AG185" s="40"/>
      <c r="AH185" s="40"/>
      <c r="AI185" s="40" t="s">
        <v>358</v>
      </c>
      <c r="AJ185" s="40"/>
      <c r="AK185" s="40"/>
      <c r="AL185" s="40"/>
      <c r="AM185" s="40"/>
      <c r="AN185" s="40"/>
      <c r="AO185" s="40"/>
      <c r="AP185" s="40"/>
      <c r="AQ185" s="40"/>
      <c r="AR185" s="40"/>
      <c r="AS185" s="40"/>
      <c r="AT185" s="40"/>
      <c r="AU185" s="40"/>
      <c r="AV185" s="40"/>
      <c r="AW185" s="40"/>
      <c r="AX185" s="40"/>
      <c r="AY185" s="40"/>
      <c r="AZ185" s="40"/>
      <c r="BA185" s="5"/>
    </row>
    <row r="186" spans="1:53" ht="52.5" thickBot="1" x14ac:dyDescent="0.4">
      <c r="A186" s="30" t="s">
        <v>359</v>
      </c>
      <c r="B186" s="30" t="s">
        <v>359</v>
      </c>
      <c r="C186" s="30" t="s">
        <v>359</v>
      </c>
      <c r="D186" s="30" t="s">
        <v>359</v>
      </c>
      <c r="E186" s="30" t="s">
        <v>358</v>
      </c>
      <c r="F186" s="30" t="s">
        <v>359</v>
      </c>
      <c r="G186" s="30" t="s">
        <v>359</v>
      </c>
      <c r="H186" s="30" t="s">
        <v>359</v>
      </c>
      <c r="I186" s="30" t="s">
        <v>359</v>
      </c>
      <c r="J186" s="5" t="s">
        <v>749</v>
      </c>
      <c r="K186" s="5" t="s">
        <v>476</v>
      </c>
      <c r="L186" s="5" t="s">
        <v>455</v>
      </c>
      <c r="M186" s="5" t="s">
        <v>172</v>
      </c>
      <c r="N186" s="5" t="s">
        <v>445</v>
      </c>
      <c r="O186" s="5">
        <v>1E-3</v>
      </c>
      <c r="P186" s="110"/>
      <c r="Q186" s="110"/>
      <c r="R186" s="404">
        <f>R182-(50*2*P144)</f>
        <v>9.3987148878830418</v>
      </c>
      <c r="S186" s="110"/>
      <c r="T186" s="110"/>
      <c r="U186" s="110"/>
      <c r="V186" s="121">
        <f t="shared" si="3"/>
        <v>9.3989999999999991</v>
      </c>
      <c r="W186" s="40"/>
      <c r="X186" s="40"/>
      <c r="Y186" s="40"/>
      <c r="Z186" s="40"/>
      <c r="AA186" s="40"/>
      <c r="AB186" s="40"/>
      <c r="AC186" s="40"/>
      <c r="AD186" s="40"/>
      <c r="AE186" s="40"/>
      <c r="AF186" s="40"/>
      <c r="AG186" s="40"/>
      <c r="AH186" s="40"/>
      <c r="AI186" s="40" t="s">
        <v>358</v>
      </c>
      <c r="AJ186" s="40"/>
      <c r="AK186" s="40"/>
      <c r="AL186" s="40"/>
      <c r="AM186" s="40"/>
      <c r="AN186" s="40"/>
      <c r="AO186" s="40"/>
      <c r="AP186" s="40"/>
      <c r="AQ186" s="40"/>
      <c r="AR186" s="40" t="s">
        <v>358</v>
      </c>
      <c r="AS186" s="40"/>
      <c r="AT186" s="40"/>
      <c r="AU186" s="40"/>
      <c r="AV186" s="40"/>
      <c r="AW186" s="40"/>
      <c r="AX186" s="40"/>
      <c r="AY186" s="40"/>
      <c r="AZ186" s="40"/>
      <c r="BA186" s="5" t="s">
        <v>477</v>
      </c>
    </row>
    <row r="187" spans="1:53" ht="52.5" thickBot="1" x14ac:dyDescent="0.4">
      <c r="A187" s="30" t="s">
        <v>359</v>
      </c>
      <c r="B187" s="30" t="s">
        <v>359</v>
      </c>
      <c r="C187" s="30" t="s">
        <v>359</v>
      </c>
      <c r="D187" s="30" t="s">
        <v>359</v>
      </c>
      <c r="E187" s="30" t="s">
        <v>358</v>
      </c>
      <c r="F187" s="30" t="s">
        <v>359</v>
      </c>
      <c r="G187" s="30" t="s">
        <v>359</v>
      </c>
      <c r="H187" s="30" t="s">
        <v>359</v>
      </c>
      <c r="I187" s="30" t="s">
        <v>359</v>
      </c>
      <c r="J187" s="5" t="s">
        <v>749</v>
      </c>
      <c r="K187" s="5" t="s">
        <v>476</v>
      </c>
      <c r="L187" s="5" t="s">
        <v>459</v>
      </c>
      <c r="M187" s="5" t="s">
        <v>172</v>
      </c>
      <c r="N187" s="5" t="s">
        <v>445</v>
      </c>
      <c r="O187" s="5">
        <v>1E-3</v>
      </c>
      <c r="P187" s="110"/>
      <c r="Q187" s="110"/>
      <c r="R187" s="404">
        <f>R183-(10*2*P144)</f>
        <v>6.5360032408303415</v>
      </c>
      <c r="S187" s="110"/>
      <c r="T187" s="110"/>
      <c r="U187" s="110"/>
      <c r="V187" s="121">
        <f t="shared" si="3"/>
        <v>6.5359999999999996</v>
      </c>
      <c r="W187" s="40"/>
      <c r="X187" s="40"/>
      <c r="Y187" s="40"/>
      <c r="Z187" s="40"/>
      <c r="AA187" s="40"/>
      <c r="AB187" s="40"/>
      <c r="AC187" s="40"/>
      <c r="AD187" s="40"/>
      <c r="AE187" s="40"/>
      <c r="AF187" s="40"/>
      <c r="AG187" s="40"/>
      <c r="AH187" s="40"/>
      <c r="AI187" s="40" t="s">
        <v>358</v>
      </c>
      <c r="AJ187" s="40"/>
      <c r="AK187" s="40"/>
      <c r="AL187" s="40"/>
      <c r="AM187" s="40"/>
      <c r="AN187" s="40"/>
      <c r="AO187" s="40"/>
      <c r="AP187" s="40"/>
      <c r="AQ187" s="40"/>
      <c r="AR187" s="40" t="s">
        <v>358</v>
      </c>
      <c r="AS187" s="40"/>
      <c r="AT187" s="40"/>
      <c r="AU187" s="40"/>
      <c r="AV187" s="40"/>
      <c r="AW187" s="40"/>
      <c r="AX187" s="40"/>
      <c r="AY187" s="40"/>
      <c r="AZ187" s="40"/>
      <c r="BA187" s="5" t="s">
        <v>478</v>
      </c>
    </row>
    <row r="188" spans="1:53" ht="52.5" thickBot="1" x14ac:dyDescent="0.4">
      <c r="A188" s="30" t="s">
        <v>359</v>
      </c>
      <c r="B188" s="30" t="s">
        <v>359</v>
      </c>
      <c r="C188" s="30" t="s">
        <v>359</v>
      </c>
      <c r="D188" s="30" t="s">
        <v>359</v>
      </c>
      <c r="E188" s="30" t="s">
        <v>358</v>
      </c>
      <c r="F188" s="30" t="s">
        <v>359</v>
      </c>
      <c r="G188" s="30" t="s">
        <v>359</v>
      </c>
      <c r="H188" s="30" t="s">
        <v>359</v>
      </c>
      <c r="I188" s="30" t="s">
        <v>359</v>
      </c>
      <c r="J188" s="5" t="s">
        <v>749</v>
      </c>
      <c r="K188" s="5" t="s">
        <v>476</v>
      </c>
      <c r="L188" s="5" t="s">
        <v>171</v>
      </c>
      <c r="M188" s="5" t="s">
        <v>172</v>
      </c>
      <c r="N188" s="5" t="s">
        <v>445</v>
      </c>
      <c r="O188" s="5">
        <v>1E-3</v>
      </c>
      <c r="P188" s="110"/>
      <c r="Q188" s="110"/>
      <c r="R188" s="404">
        <f>R184-(25*2*P145)</f>
        <v>690.13909309570954</v>
      </c>
      <c r="S188" s="110"/>
      <c r="T188" s="110"/>
      <c r="U188" s="110"/>
      <c r="V188" s="121">
        <f t="shared" si="3"/>
        <v>690.13900000000001</v>
      </c>
      <c r="W188" s="40"/>
      <c r="X188" s="40"/>
      <c r="Y188" s="40"/>
      <c r="Z188" s="40"/>
      <c r="AA188" s="40"/>
      <c r="AB188" s="40"/>
      <c r="AC188" s="40"/>
      <c r="AD188" s="40"/>
      <c r="AE188" s="40"/>
      <c r="AF188" s="40"/>
      <c r="AG188" s="40"/>
      <c r="AH188" s="40"/>
      <c r="AI188" s="40" t="s">
        <v>358</v>
      </c>
      <c r="AJ188" s="40"/>
      <c r="AK188" s="40"/>
      <c r="AL188" s="40"/>
      <c r="AM188" s="40"/>
      <c r="AN188" s="40"/>
      <c r="AO188" s="40"/>
      <c r="AP188" s="40"/>
      <c r="AQ188" s="40"/>
      <c r="AR188" s="40" t="s">
        <v>358</v>
      </c>
      <c r="AS188" s="40"/>
      <c r="AT188" s="40"/>
      <c r="AU188" s="40"/>
      <c r="AV188" s="40"/>
      <c r="AW188" s="40"/>
      <c r="AX188" s="40"/>
      <c r="AY188" s="40"/>
      <c r="AZ188" s="40"/>
      <c r="BA188" s="5" t="s">
        <v>479</v>
      </c>
    </row>
    <row r="189" spans="1:53" ht="52.5" thickBot="1" x14ac:dyDescent="0.4">
      <c r="A189" s="30" t="s">
        <v>359</v>
      </c>
      <c r="B189" s="30" t="s">
        <v>359</v>
      </c>
      <c r="C189" s="30" t="s">
        <v>359</v>
      </c>
      <c r="D189" s="30" t="s">
        <v>359</v>
      </c>
      <c r="E189" s="30" t="s">
        <v>358</v>
      </c>
      <c r="F189" s="30" t="s">
        <v>359</v>
      </c>
      <c r="G189" s="30" t="s">
        <v>359</v>
      </c>
      <c r="H189" s="30" t="s">
        <v>359</v>
      </c>
      <c r="I189" s="30" t="s">
        <v>359</v>
      </c>
      <c r="J189" s="5" t="s">
        <v>749</v>
      </c>
      <c r="K189" s="5" t="s">
        <v>476</v>
      </c>
      <c r="L189" s="5" t="s">
        <v>460</v>
      </c>
      <c r="M189" s="5" t="s">
        <v>172</v>
      </c>
      <c r="N189" s="5" t="s">
        <v>445</v>
      </c>
      <c r="O189" s="5">
        <v>1E-3</v>
      </c>
      <c r="P189" s="110"/>
      <c r="Q189" s="110"/>
      <c r="R189" s="404">
        <f>R185-(10*2*P145)</f>
        <v>4.8841062475417507</v>
      </c>
      <c r="S189" s="110"/>
      <c r="T189" s="110"/>
      <c r="U189" s="110"/>
      <c r="V189" s="121">
        <f t="shared" si="3"/>
        <v>4.8840000000000003</v>
      </c>
      <c r="W189" s="40"/>
      <c r="X189" s="40"/>
      <c r="Y189" s="40"/>
      <c r="Z189" s="40"/>
      <c r="AA189" s="40"/>
      <c r="AB189" s="40"/>
      <c r="AC189" s="40"/>
      <c r="AD189" s="40"/>
      <c r="AE189" s="40"/>
      <c r="AF189" s="40"/>
      <c r="AG189" s="40"/>
      <c r="AH189" s="40"/>
      <c r="AI189" s="40" t="s">
        <v>358</v>
      </c>
      <c r="AJ189" s="40"/>
      <c r="AK189" s="40"/>
      <c r="AL189" s="40"/>
      <c r="AM189" s="40"/>
      <c r="AN189" s="40"/>
      <c r="AO189" s="40"/>
      <c r="AP189" s="40"/>
      <c r="AQ189" s="40"/>
      <c r="AR189" s="40" t="s">
        <v>358</v>
      </c>
      <c r="AS189" s="40"/>
      <c r="AT189" s="40"/>
      <c r="AU189" s="40"/>
      <c r="AV189" s="40"/>
      <c r="AW189" s="40"/>
      <c r="AX189" s="40"/>
      <c r="AY189" s="40"/>
      <c r="AZ189" s="40"/>
      <c r="BA189" s="5" t="s">
        <v>480</v>
      </c>
    </row>
    <row r="190" spans="1:53" ht="15" thickBot="1" x14ac:dyDescent="0.4">
      <c r="A190" s="30" t="s">
        <v>359</v>
      </c>
      <c r="B190" s="30" t="s">
        <v>359</v>
      </c>
      <c r="C190" s="30" t="s">
        <v>359</v>
      </c>
      <c r="D190" s="30" t="s">
        <v>359</v>
      </c>
      <c r="E190" s="30" t="s">
        <v>358</v>
      </c>
      <c r="F190" s="30" t="s">
        <v>359</v>
      </c>
      <c r="G190" s="30" t="s">
        <v>359</v>
      </c>
      <c r="H190" s="30" t="s">
        <v>359</v>
      </c>
      <c r="I190" s="30" t="s">
        <v>359</v>
      </c>
      <c r="J190" s="5" t="s">
        <v>73</v>
      </c>
      <c r="K190" s="5" t="s">
        <v>481</v>
      </c>
      <c r="L190" s="5" t="s">
        <v>455</v>
      </c>
      <c r="M190" s="5" t="s">
        <v>172</v>
      </c>
      <c r="N190" s="5" t="s">
        <v>445</v>
      </c>
      <c r="O190" s="5">
        <v>1E-3</v>
      </c>
      <c r="P190" s="110"/>
      <c r="Q190" s="110"/>
      <c r="R190" s="404">
        <v>21.280807236876331</v>
      </c>
      <c r="S190" s="110"/>
      <c r="T190" s="110"/>
      <c r="U190" s="110"/>
      <c r="V190" s="121">
        <f t="shared" si="3"/>
        <v>21.280999999999999</v>
      </c>
      <c r="W190" s="40"/>
      <c r="X190" s="40"/>
      <c r="Y190" s="40"/>
      <c r="Z190" s="40"/>
      <c r="AA190" s="40"/>
      <c r="AB190" s="40"/>
      <c r="AC190" s="40"/>
      <c r="AD190" s="40"/>
      <c r="AE190" s="40"/>
      <c r="AF190" s="40"/>
      <c r="AG190" s="40"/>
      <c r="AH190" s="40"/>
      <c r="AI190" s="40" t="s">
        <v>358</v>
      </c>
      <c r="AJ190" s="40"/>
      <c r="AK190" s="40"/>
      <c r="AL190" s="40"/>
      <c r="AM190" s="40"/>
      <c r="AN190" s="40"/>
      <c r="AO190" s="40"/>
      <c r="AP190" s="40"/>
      <c r="AQ190" s="40"/>
      <c r="AR190" s="40"/>
      <c r="AS190" s="40"/>
      <c r="AT190" s="40"/>
      <c r="AU190" s="40"/>
      <c r="AV190" s="40"/>
      <c r="AW190" s="40"/>
      <c r="AX190" s="40"/>
      <c r="AY190" s="40"/>
      <c r="AZ190" s="40"/>
      <c r="BA190" s="5"/>
    </row>
    <row r="191" spans="1:53" ht="15" thickBot="1" x14ac:dyDescent="0.4">
      <c r="A191" s="30" t="s">
        <v>359</v>
      </c>
      <c r="B191" s="30" t="s">
        <v>359</v>
      </c>
      <c r="C191" s="30" t="s">
        <v>359</v>
      </c>
      <c r="D191" s="30" t="s">
        <v>359</v>
      </c>
      <c r="E191" s="30" t="s">
        <v>358</v>
      </c>
      <c r="F191" s="30" t="s">
        <v>359</v>
      </c>
      <c r="G191" s="30" t="s">
        <v>359</v>
      </c>
      <c r="H191" s="30" t="s">
        <v>359</v>
      </c>
      <c r="I191" s="30" t="s">
        <v>359</v>
      </c>
      <c r="J191" s="5" t="s">
        <v>73</v>
      </c>
      <c r="K191" s="5" t="s">
        <v>481</v>
      </c>
      <c r="L191" s="5" t="s">
        <v>459</v>
      </c>
      <c r="M191" s="5" t="s">
        <v>172</v>
      </c>
      <c r="N191" s="5" t="s">
        <v>445</v>
      </c>
      <c r="O191" s="5">
        <v>1E-3</v>
      </c>
      <c r="P191" s="110"/>
      <c r="Q191" s="110"/>
      <c r="R191" s="404">
        <v>8.9124217106289993</v>
      </c>
      <c r="S191" s="110"/>
      <c r="T191" s="110"/>
      <c r="U191" s="110"/>
      <c r="V191" s="121">
        <f t="shared" si="3"/>
        <v>8.9120000000000008</v>
      </c>
      <c r="W191" s="40"/>
      <c r="X191" s="40"/>
      <c r="Y191" s="40"/>
      <c r="Z191" s="40"/>
      <c r="AA191" s="40"/>
      <c r="AB191" s="40"/>
      <c r="AC191" s="40"/>
      <c r="AD191" s="40"/>
      <c r="AE191" s="40"/>
      <c r="AF191" s="40"/>
      <c r="AG191" s="40"/>
      <c r="AH191" s="40"/>
      <c r="AI191" s="40" t="s">
        <v>358</v>
      </c>
      <c r="AJ191" s="40"/>
      <c r="AK191" s="40"/>
      <c r="AL191" s="40"/>
      <c r="AM191" s="40"/>
      <c r="AN191" s="40"/>
      <c r="AO191" s="40"/>
      <c r="AP191" s="40"/>
      <c r="AQ191" s="40"/>
      <c r="AR191" s="40"/>
      <c r="AS191" s="40"/>
      <c r="AT191" s="40"/>
      <c r="AU191" s="40"/>
      <c r="AV191" s="40"/>
      <c r="AW191" s="40"/>
      <c r="AX191" s="40"/>
      <c r="AY191" s="40"/>
      <c r="AZ191" s="40"/>
      <c r="BA191" s="5"/>
    </row>
    <row r="192" spans="1:53" ht="15" thickBot="1" x14ac:dyDescent="0.4">
      <c r="A192" s="30" t="s">
        <v>359</v>
      </c>
      <c r="B192" s="30" t="s">
        <v>359</v>
      </c>
      <c r="C192" s="30" t="s">
        <v>359</v>
      </c>
      <c r="D192" s="30" t="s">
        <v>359</v>
      </c>
      <c r="E192" s="30" t="s">
        <v>358</v>
      </c>
      <c r="F192" s="30" t="s">
        <v>359</v>
      </c>
      <c r="G192" s="30" t="s">
        <v>359</v>
      </c>
      <c r="H192" s="30" t="s">
        <v>359</v>
      </c>
      <c r="I192" s="30" t="s">
        <v>359</v>
      </c>
      <c r="J192" s="5" t="s">
        <v>73</v>
      </c>
      <c r="K192" s="5" t="s">
        <v>481</v>
      </c>
      <c r="L192" s="5" t="s">
        <v>171</v>
      </c>
      <c r="M192" s="5" t="s">
        <v>172</v>
      </c>
      <c r="N192" s="5" t="s">
        <v>445</v>
      </c>
      <c r="O192" s="5">
        <v>1E-3</v>
      </c>
      <c r="P192" s="110"/>
      <c r="Q192" s="110"/>
      <c r="R192" s="404">
        <v>646.60659082531515</v>
      </c>
      <c r="S192" s="110"/>
      <c r="T192" s="110"/>
      <c r="U192" s="110"/>
      <c r="V192" s="121">
        <f t="shared" si="3"/>
        <v>646.60699999999997</v>
      </c>
      <c r="W192" s="40"/>
      <c r="X192" s="40"/>
      <c r="Y192" s="40"/>
      <c r="Z192" s="40"/>
      <c r="AA192" s="40"/>
      <c r="AB192" s="40"/>
      <c r="AC192" s="40"/>
      <c r="AD192" s="40"/>
      <c r="AE192" s="40"/>
      <c r="AF192" s="40"/>
      <c r="AG192" s="40"/>
      <c r="AH192" s="40"/>
      <c r="AI192" s="40" t="s">
        <v>358</v>
      </c>
      <c r="AJ192" s="40"/>
      <c r="AK192" s="40"/>
      <c r="AL192" s="40"/>
      <c r="AM192" s="40"/>
      <c r="AN192" s="40"/>
      <c r="AO192" s="40"/>
      <c r="AP192" s="40"/>
      <c r="AQ192" s="40"/>
      <c r="AR192" s="40"/>
      <c r="AS192" s="40"/>
      <c r="AT192" s="40"/>
      <c r="AU192" s="40"/>
      <c r="AV192" s="40"/>
      <c r="AW192" s="40"/>
      <c r="AX192" s="40"/>
      <c r="AY192" s="40"/>
      <c r="AZ192" s="40"/>
      <c r="BA192" s="5"/>
    </row>
    <row r="193" spans="1:53" ht="26.5" thickBot="1" x14ac:dyDescent="0.4">
      <c r="A193" s="30" t="s">
        <v>359</v>
      </c>
      <c r="B193" s="30" t="s">
        <v>359</v>
      </c>
      <c r="C193" s="30" t="s">
        <v>359</v>
      </c>
      <c r="D193" s="30" t="s">
        <v>359</v>
      </c>
      <c r="E193" s="30" t="s">
        <v>358</v>
      </c>
      <c r="F193" s="30" t="s">
        <v>359</v>
      </c>
      <c r="G193" s="30" t="s">
        <v>359</v>
      </c>
      <c r="H193" s="30" t="s">
        <v>359</v>
      </c>
      <c r="I193" s="30" t="s">
        <v>359</v>
      </c>
      <c r="J193" s="5" t="s">
        <v>73</v>
      </c>
      <c r="K193" s="5" t="s">
        <v>481</v>
      </c>
      <c r="L193" s="5" t="s">
        <v>460</v>
      </c>
      <c r="M193" s="5" t="s">
        <v>172</v>
      </c>
      <c r="N193" s="5" t="s">
        <v>445</v>
      </c>
      <c r="O193" s="5">
        <v>1E-3</v>
      </c>
      <c r="P193" s="110"/>
      <c r="Q193" s="110"/>
      <c r="R193" s="404">
        <v>8.9124217106289993</v>
      </c>
      <c r="S193" s="110"/>
      <c r="T193" s="110"/>
      <c r="U193" s="110"/>
      <c r="V193" s="121">
        <f t="shared" si="3"/>
        <v>8.9120000000000008</v>
      </c>
      <c r="W193" s="40"/>
      <c r="X193" s="40"/>
      <c r="Y193" s="40"/>
      <c r="Z193" s="40"/>
      <c r="AA193" s="40"/>
      <c r="AB193" s="40"/>
      <c r="AC193" s="40"/>
      <c r="AD193" s="40"/>
      <c r="AE193" s="40"/>
      <c r="AF193" s="40"/>
      <c r="AG193" s="40"/>
      <c r="AH193" s="40"/>
      <c r="AI193" s="40" t="s">
        <v>358</v>
      </c>
      <c r="AJ193" s="40"/>
      <c r="AK193" s="40"/>
      <c r="AL193" s="40"/>
      <c r="AM193" s="40"/>
      <c r="AN193" s="40"/>
      <c r="AO193" s="40"/>
      <c r="AP193" s="40"/>
      <c r="AQ193" s="40"/>
      <c r="AR193" s="40"/>
      <c r="AS193" s="40"/>
      <c r="AT193" s="40"/>
      <c r="AU193" s="40"/>
      <c r="AV193" s="40"/>
      <c r="AW193" s="40"/>
      <c r="AX193" s="40"/>
      <c r="AY193" s="40"/>
      <c r="AZ193" s="40"/>
      <c r="BA193" s="5"/>
    </row>
    <row r="194" spans="1:53" ht="52.5" thickBot="1" x14ac:dyDescent="0.4">
      <c r="A194" s="30" t="s">
        <v>359</v>
      </c>
      <c r="B194" s="30" t="s">
        <v>359</v>
      </c>
      <c r="C194" s="30" t="s">
        <v>359</v>
      </c>
      <c r="D194" s="30" t="s">
        <v>359</v>
      </c>
      <c r="E194" s="30" t="s">
        <v>358</v>
      </c>
      <c r="F194" s="30" t="s">
        <v>359</v>
      </c>
      <c r="G194" s="30" t="s">
        <v>359</v>
      </c>
      <c r="H194" s="30" t="s">
        <v>359</v>
      </c>
      <c r="I194" s="30" t="s">
        <v>359</v>
      </c>
      <c r="J194" s="5" t="s">
        <v>749</v>
      </c>
      <c r="K194" s="5" t="s">
        <v>481</v>
      </c>
      <c r="L194" s="5" t="s">
        <v>455</v>
      </c>
      <c r="M194" s="5" t="s">
        <v>172</v>
      </c>
      <c r="N194" s="5" t="s">
        <v>445</v>
      </c>
      <c r="O194" s="5">
        <v>1E-3</v>
      </c>
      <c r="P194" s="110"/>
      <c r="Q194" s="110"/>
      <c r="R194" s="404">
        <f>R190-(50*2*P145)</f>
        <v>1.1392299214400872</v>
      </c>
      <c r="S194" s="110"/>
      <c r="T194" s="110"/>
      <c r="U194" s="110"/>
      <c r="V194" s="121">
        <f t="shared" si="3"/>
        <v>1.139</v>
      </c>
      <c r="W194" s="40"/>
      <c r="X194" s="40"/>
      <c r="Y194" s="40"/>
      <c r="Z194" s="40"/>
      <c r="AA194" s="40"/>
      <c r="AB194" s="40"/>
      <c r="AC194" s="40"/>
      <c r="AD194" s="40"/>
      <c r="AE194" s="40"/>
      <c r="AF194" s="40"/>
      <c r="AG194" s="40"/>
      <c r="AH194" s="40"/>
      <c r="AI194" s="40" t="s">
        <v>358</v>
      </c>
      <c r="AJ194" s="40"/>
      <c r="AK194" s="40"/>
      <c r="AL194" s="40"/>
      <c r="AM194" s="40"/>
      <c r="AN194" s="40"/>
      <c r="AO194" s="40"/>
      <c r="AP194" s="40"/>
      <c r="AQ194" s="40"/>
      <c r="AR194" s="40" t="s">
        <v>358</v>
      </c>
      <c r="AS194" s="40"/>
      <c r="AT194" s="40"/>
      <c r="AU194" s="40"/>
      <c r="AV194" s="40"/>
      <c r="AW194" s="40"/>
      <c r="AX194" s="40"/>
      <c r="AY194" s="40"/>
      <c r="AZ194" s="40"/>
      <c r="BA194" s="5" t="s">
        <v>477</v>
      </c>
    </row>
    <row r="195" spans="1:53" ht="52.5" thickBot="1" x14ac:dyDescent="0.4">
      <c r="A195" s="30" t="s">
        <v>359</v>
      </c>
      <c r="B195" s="30" t="s">
        <v>359</v>
      </c>
      <c r="C195" s="30" t="s">
        <v>359</v>
      </c>
      <c r="D195" s="30" t="s">
        <v>359</v>
      </c>
      <c r="E195" s="30" t="s">
        <v>358</v>
      </c>
      <c r="F195" s="30" t="s">
        <v>359</v>
      </c>
      <c r="G195" s="30" t="s">
        <v>359</v>
      </c>
      <c r="H195" s="30" t="s">
        <v>359</v>
      </c>
      <c r="I195" s="30" t="s">
        <v>359</v>
      </c>
      <c r="J195" s="5" t="s">
        <v>749</v>
      </c>
      <c r="K195" s="5" t="s">
        <v>481</v>
      </c>
      <c r="L195" s="5" t="s">
        <v>459</v>
      </c>
      <c r="M195" s="5" t="s">
        <v>172</v>
      </c>
      <c r="N195" s="5" t="s">
        <v>445</v>
      </c>
      <c r="O195" s="5">
        <v>1E-3</v>
      </c>
      <c r="P195" s="110"/>
      <c r="Q195" s="110"/>
      <c r="R195" s="404">
        <f>R191-(10*2*P145)</f>
        <v>4.8841062475417507</v>
      </c>
      <c r="S195" s="110"/>
      <c r="T195" s="110"/>
      <c r="U195" s="110"/>
      <c r="V195" s="121">
        <f t="shared" si="3"/>
        <v>4.8840000000000003</v>
      </c>
      <c r="W195" s="40"/>
      <c r="X195" s="40"/>
      <c r="Y195" s="40"/>
      <c r="Z195" s="40"/>
      <c r="AA195" s="40"/>
      <c r="AB195" s="40"/>
      <c r="AC195" s="40"/>
      <c r="AD195" s="40"/>
      <c r="AE195" s="40"/>
      <c r="AF195" s="40"/>
      <c r="AG195" s="40"/>
      <c r="AH195" s="40"/>
      <c r="AI195" s="40" t="s">
        <v>358</v>
      </c>
      <c r="AJ195" s="40"/>
      <c r="AK195" s="40"/>
      <c r="AL195" s="40"/>
      <c r="AM195" s="40"/>
      <c r="AN195" s="40"/>
      <c r="AO195" s="40"/>
      <c r="AP195" s="40"/>
      <c r="AQ195" s="40"/>
      <c r="AR195" s="40" t="s">
        <v>358</v>
      </c>
      <c r="AS195" s="40"/>
      <c r="AT195" s="40"/>
      <c r="AU195" s="40"/>
      <c r="AV195" s="40"/>
      <c r="AW195" s="40"/>
      <c r="AX195" s="40"/>
      <c r="AY195" s="40"/>
      <c r="AZ195" s="40"/>
      <c r="BA195" s="5" t="s">
        <v>478</v>
      </c>
    </row>
    <row r="196" spans="1:53" ht="52.5" thickBot="1" x14ac:dyDescent="0.4">
      <c r="A196" s="30" t="s">
        <v>359</v>
      </c>
      <c r="B196" s="30" t="s">
        <v>359</v>
      </c>
      <c r="C196" s="30" t="s">
        <v>359</v>
      </c>
      <c r="D196" s="30" t="s">
        <v>359</v>
      </c>
      <c r="E196" s="30" t="s">
        <v>358</v>
      </c>
      <c r="F196" s="30" t="s">
        <v>359</v>
      </c>
      <c r="G196" s="30" t="s">
        <v>359</v>
      </c>
      <c r="H196" s="30" t="s">
        <v>359</v>
      </c>
      <c r="I196" s="30" t="s">
        <v>359</v>
      </c>
      <c r="J196" s="5" t="s">
        <v>749</v>
      </c>
      <c r="K196" s="5" t="s">
        <v>481</v>
      </c>
      <c r="L196" s="5" t="s">
        <v>171</v>
      </c>
      <c r="M196" s="5" t="s">
        <v>172</v>
      </c>
      <c r="N196" s="5" t="s">
        <v>445</v>
      </c>
      <c r="O196" s="5">
        <v>1E-3</v>
      </c>
      <c r="P196" s="110"/>
      <c r="Q196" s="110"/>
      <c r="R196" s="404">
        <f>R192-(25*2*P145)</f>
        <v>636.53580216759701</v>
      </c>
      <c r="S196" s="110"/>
      <c r="T196" s="110"/>
      <c r="U196" s="110"/>
      <c r="V196" s="121">
        <f t="shared" si="3"/>
        <v>636.53599999999994</v>
      </c>
      <c r="W196" s="40"/>
      <c r="X196" s="40"/>
      <c r="Y196" s="40"/>
      <c r="Z196" s="40"/>
      <c r="AA196" s="40"/>
      <c r="AB196" s="40"/>
      <c r="AC196" s="40"/>
      <c r="AD196" s="40"/>
      <c r="AE196" s="40"/>
      <c r="AF196" s="40"/>
      <c r="AG196" s="40"/>
      <c r="AH196" s="40"/>
      <c r="AI196" s="40" t="s">
        <v>358</v>
      </c>
      <c r="AJ196" s="40"/>
      <c r="AK196" s="40"/>
      <c r="AL196" s="40"/>
      <c r="AM196" s="40"/>
      <c r="AN196" s="40"/>
      <c r="AO196" s="40"/>
      <c r="AP196" s="40"/>
      <c r="AQ196" s="40"/>
      <c r="AR196" s="40" t="s">
        <v>358</v>
      </c>
      <c r="AS196" s="40"/>
      <c r="AT196" s="40"/>
      <c r="AU196" s="40"/>
      <c r="AV196" s="40"/>
      <c r="AW196" s="40"/>
      <c r="AX196" s="40"/>
      <c r="AY196" s="40"/>
      <c r="AZ196" s="40"/>
      <c r="BA196" s="5" t="s">
        <v>479</v>
      </c>
    </row>
    <row r="197" spans="1:53" ht="52.5" thickBot="1" x14ac:dyDescent="0.4">
      <c r="A197" s="30" t="s">
        <v>359</v>
      </c>
      <c r="B197" s="30" t="s">
        <v>359</v>
      </c>
      <c r="C197" s="30" t="s">
        <v>359</v>
      </c>
      <c r="D197" s="30" t="s">
        <v>359</v>
      </c>
      <c r="E197" s="30" t="s">
        <v>358</v>
      </c>
      <c r="F197" s="30" t="s">
        <v>359</v>
      </c>
      <c r="G197" s="30" t="s">
        <v>359</v>
      </c>
      <c r="H197" s="30" t="s">
        <v>359</v>
      </c>
      <c r="I197" s="30" t="s">
        <v>359</v>
      </c>
      <c r="J197" s="5" t="s">
        <v>749</v>
      </c>
      <c r="K197" s="5" t="s">
        <v>481</v>
      </c>
      <c r="L197" s="5" t="s">
        <v>460</v>
      </c>
      <c r="M197" s="5" t="s">
        <v>172</v>
      </c>
      <c r="N197" s="5" t="s">
        <v>445</v>
      </c>
      <c r="O197" s="5">
        <v>1E-3</v>
      </c>
      <c r="P197" s="110"/>
      <c r="Q197" s="110"/>
      <c r="R197" s="404">
        <f>R193-(10*2*P145)</f>
        <v>4.8841062475417507</v>
      </c>
      <c r="S197" s="110"/>
      <c r="T197" s="110"/>
      <c r="U197" s="110"/>
      <c r="V197" s="121">
        <f t="shared" si="3"/>
        <v>4.8840000000000003</v>
      </c>
      <c r="W197" s="40"/>
      <c r="X197" s="40"/>
      <c r="Y197" s="40"/>
      <c r="Z197" s="40"/>
      <c r="AA197" s="40"/>
      <c r="AB197" s="40"/>
      <c r="AC197" s="40"/>
      <c r="AD197" s="40"/>
      <c r="AE197" s="40"/>
      <c r="AF197" s="40"/>
      <c r="AG197" s="40"/>
      <c r="AH197" s="40"/>
      <c r="AI197" s="40" t="s">
        <v>358</v>
      </c>
      <c r="AJ197" s="40"/>
      <c r="AK197" s="40"/>
      <c r="AL197" s="40"/>
      <c r="AM197" s="40"/>
      <c r="AN197" s="40"/>
      <c r="AO197" s="40"/>
      <c r="AP197" s="40"/>
      <c r="AQ197" s="40"/>
      <c r="AR197" s="40" t="s">
        <v>358</v>
      </c>
      <c r="AS197" s="40"/>
      <c r="AT197" s="40"/>
      <c r="AU197" s="40"/>
      <c r="AV197" s="40"/>
      <c r="AW197" s="40"/>
      <c r="AX197" s="40"/>
      <c r="AY197" s="40"/>
      <c r="AZ197" s="40"/>
      <c r="BA197" s="5" t="s">
        <v>480</v>
      </c>
    </row>
    <row r="198" spans="1:53" ht="15" thickBot="1" x14ac:dyDescent="0.4">
      <c r="A198" s="30" t="s">
        <v>359</v>
      </c>
      <c r="B198" s="30" t="s">
        <v>359</v>
      </c>
      <c r="C198" s="30" t="s">
        <v>359</v>
      </c>
      <c r="D198" s="30" t="s">
        <v>359</v>
      </c>
      <c r="E198" s="30" t="s">
        <v>358</v>
      </c>
      <c r="F198" s="30" t="s">
        <v>359</v>
      </c>
      <c r="G198" s="30" t="s">
        <v>359</v>
      </c>
      <c r="H198" s="30" t="s">
        <v>359</v>
      </c>
      <c r="I198" s="30" t="s">
        <v>359</v>
      </c>
      <c r="J198" s="5" t="s">
        <v>73</v>
      </c>
      <c r="K198" s="5" t="s">
        <v>482</v>
      </c>
      <c r="L198" s="5" t="s">
        <v>455</v>
      </c>
      <c r="M198" s="5" t="s">
        <v>172</v>
      </c>
      <c r="N198" s="5" t="s">
        <v>445</v>
      </c>
      <c r="O198" s="5">
        <v>1E-3</v>
      </c>
      <c r="P198" s="110"/>
      <c r="Q198" s="269"/>
      <c r="R198" s="404">
        <v>21.280807236876331</v>
      </c>
      <c r="S198" s="110"/>
      <c r="T198" s="110"/>
      <c r="U198" s="110"/>
      <c r="V198" s="121">
        <f t="shared" si="3"/>
        <v>21.280999999999999</v>
      </c>
      <c r="W198" s="40"/>
      <c r="X198" s="40"/>
      <c r="Y198" s="40"/>
      <c r="Z198" s="40"/>
      <c r="AA198" s="40"/>
      <c r="AB198" s="40"/>
      <c r="AC198" s="40"/>
      <c r="AD198" s="40"/>
      <c r="AE198" s="40"/>
      <c r="AF198" s="40"/>
      <c r="AG198" s="40"/>
      <c r="AH198" s="40"/>
      <c r="AI198" s="40" t="s">
        <v>358</v>
      </c>
      <c r="AJ198" s="40"/>
      <c r="AK198" s="40"/>
      <c r="AL198" s="40"/>
      <c r="AM198" s="40"/>
      <c r="AN198" s="40"/>
      <c r="AO198" s="40"/>
      <c r="AP198" s="40"/>
      <c r="AQ198" s="40"/>
      <c r="AR198" s="40"/>
      <c r="AS198" s="40"/>
      <c r="AT198" s="40"/>
      <c r="AU198" s="40"/>
      <c r="AV198" s="40"/>
      <c r="AW198" s="40"/>
      <c r="AX198" s="40"/>
      <c r="AY198" s="40"/>
      <c r="AZ198" s="40"/>
      <c r="BA198" s="5"/>
    </row>
    <row r="199" spans="1:53" ht="15" thickBot="1" x14ac:dyDescent="0.4">
      <c r="A199" s="30" t="s">
        <v>359</v>
      </c>
      <c r="B199" s="30" t="s">
        <v>359</v>
      </c>
      <c r="C199" s="30" t="s">
        <v>359</v>
      </c>
      <c r="D199" s="30" t="s">
        <v>359</v>
      </c>
      <c r="E199" s="30" t="s">
        <v>358</v>
      </c>
      <c r="F199" s="30" t="s">
        <v>359</v>
      </c>
      <c r="G199" s="30" t="s">
        <v>359</v>
      </c>
      <c r="H199" s="30" t="s">
        <v>359</v>
      </c>
      <c r="I199" s="30" t="s">
        <v>359</v>
      </c>
      <c r="J199" s="5" t="s">
        <v>73</v>
      </c>
      <c r="K199" s="5" t="s">
        <v>482</v>
      </c>
      <c r="L199" s="5" t="s">
        <v>459</v>
      </c>
      <c r="M199" s="5" t="s">
        <v>172</v>
      </c>
      <c r="N199" s="5" t="s">
        <v>445</v>
      </c>
      <c r="O199" s="5">
        <v>1E-3</v>
      </c>
      <c r="P199" s="110"/>
      <c r="Q199" s="269"/>
      <c r="R199" s="404">
        <v>8.9124217106289993</v>
      </c>
      <c r="S199" s="110"/>
      <c r="T199" s="110"/>
      <c r="U199" s="110"/>
      <c r="V199" s="121">
        <f t="shared" si="3"/>
        <v>8.9120000000000008</v>
      </c>
      <c r="W199" s="40"/>
      <c r="X199" s="40"/>
      <c r="Y199" s="40"/>
      <c r="Z199" s="40"/>
      <c r="AA199" s="40"/>
      <c r="AB199" s="40"/>
      <c r="AC199" s="40"/>
      <c r="AD199" s="40"/>
      <c r="AE199" s="40"/>
      <c r="AF199" s="40"/>
      <c r="AG199" s="40"/>
      <c r="AH199" s="40"/>
      <c r="AI199" s="40" t="s">
        <v>358</v>
      </c>
      <c r="AJ199" s="40"/>
      <c r="AK199" s="40"/>
      <c r="AL199" s="40"/>
      <c r="AM199" s="40"/>
      <c r="AN199" s="40"/>
      <c r="AO199" s="40"/>
      <c r="AP199" s="40"/>
      <c r="AQ199" s="40"/>
      <c r="AR199" s="40"/>
      <c r="AS199" s="40"/>
      <c r="AT199" s="40"/>
      <c r="AU199" s="40"/>
      <c r="AV199" s="40"/>
      <c r="AW199" s="40"/>
      <c r="AX199" s="40"/>
      <c r="AY199" s="40"/>
      <c r="AZ199" s="40"/>
      <c r="BA199" s="5"/>
    </row>
    <row r="200" spans="1:53" ht="15" thickBot="1" x14ac:dyDescent="0.4">
      <c r="A200" s="30" t="s">
        <v>359</v>
      </c>
      <c r="B200" s="30" t="s">
        <v>359</v>
      </c>
      <c r="C200" s="30" t="s">
        <v>359</v>
      </c>
      <c r="D200" s="30" t="s">
        <v>359</v>
      </c>
      <c r="E200" s="30" t="s">
        <v>358</v>
      </c>
      <c r="F200" s="30" t="s">
        <v>359</v>
      </c>
      <c r="G200" s="30" t="s">
        <v>359</v>
      </c>
      <c r="H200" s="30" t="s">
        <v>359</v>
      </c>
      <c r="I200" s="30" t="s">
        <v>359</v>
      </c>
      <c r="J200" s="5" t="s">
        <v>73</v>
      </c>
      <c r="K200" s="5" t="s">
        <v>482</v>
      </c>
      <c r="L200" s="5" t="s">
        <v>171</v>
      </c>
      <c r="M200" s="5" t="s">
        <v>172</v>
      </c>
      <c r="N200" s="5" t="s">
        <v>445</v>
      </c>
      <c r="O200" s="5">
        <v>1E-3</v>
      </c>
      <c r="P200" s="110"/>
      <c r="Q200" s="269"/>
      <c r="R200" s="404">
        <v>655.98716673773481</v>
      </c>
      <c r="S200" s="110"/>
      <c r="T200" s="110"/>
      <c r="U200" s="110"/>
      <c r="V200" s="121">
        <f t="shared" si="3"/>
        <v>655.98699999999997</v>
      </c>
      <c r="W200" s="40"/>
      <c r="X200" s="40"/>
      <c r="Y200" s="40"/>
      <c r="Z200" s="40"/>
      <c r="AA200" s="40"/>
      <c r="AB200" s="40"/>
      <c r="AC200" s="40"/>
      <c r="AD200" s="40"/>
      <c r="AE200" s="40"/>
      <c r="AF200" s="40"/>
      <c r="AG200" s="40"/>
      <c r="AH200" s="40"/>
      <c r="AI200" s="40" t="s">
        <v>358</v>
      </c>
      <c r="AJ200" s="40"/>
      <c r="AK200" s="40"/>
      <c r="AL200" s="40"/>
      <c r="AM200" s="40"/>
      <c r="AN200" s="40"/>
      <c r="AO200" s="40"/>
      <c r="AP200" s="40"/>
      <c r="AQ200" s="40"/>
      <c r="AR200" s="40"/>
      <c r="AS200" s="40"/>
      <c r="AT200" s="40"/>
      <c r="AU200" s="40"/>
      <c r="AV200" s="40"/>
      <c r="AW200" s="40"/>
      <c r="AX200" s="40"/>
      <c r="AY200" s="40"/>
      <c r="AZ200" s="40"/>
      <c r="BA200" s="5"/>
    </row>
    <row r="201" spans="1:53" ht="26.5" thickBot="1" x14ac:dyDescent="0.4">
      <c r="A201" s="30" t="s">
        <v>359</v>
      </c>
      <c r="B201" s="30" t="s">
        <v>359</v>
      </c>
      <c r="C201" s="30" t="s">
        <v>359</v>
      </c>
      <c r="D201" s="30" t="s">
        <v>359</v>
      </c>
      <c r="E201" s="30" t="s">
        <v>358</v>
      </c>
      <c r="F201" s="30" t="s">
        <v>359</v>
      </c>
      <c r="G201" s="30" t="s">
        <v>359</v>
      </c>
      <c r="H201" s="30" t="s">
        <v>359</v>
      </c>
      <c r="I201" s="30" t="s">
        <v>359</v>
      </c>
      <c r="J201" s="5" t="s">
        <v>73</v>
      </c>
      <c r="K201" s="5" t="s">
        <v>482</v>
      </c>
      <c r="L201" s="5" t="s">
        <v>460</v>
      </c>
      <c r="M201" s="5" t="s">
        <v>172</v>
      </c>
      <c r="N201" s="5" t="s">
        <v>445</v>
      </c>
      <c r="O201" s="5">
        <v>1E-3</v>
      </c>
      <c r="P201" s="110"/>
      <c r="Q201" s="269"/>
      <c r="R201" s="404">
        <v>8.9124217106289993</v>
      </c>
      <c r="S201" s="110"/>
      <c r="T201" s="110"/>
      <c r="U201" s="110"/>
      <c r="V201" s="121">
        <f t="shared" si="3"/>
        <v>8.9120000000000008</v>
      </c>
      <c r="W201" s="40"/>
      <c r="X201" s="40"/>
      <c r="Y201" s="40"/>
      <c r="Z201" s="40"/>
      <c r="AA201" s="40"/>
      <c r="AB201" s="40"/>
      <c r="AC201" s="40"/>
      <c r="AD201" s="40"/>
      <c r="AE201" s="40"/>
      <c r="AF201" s="40"/>
      <c r="AG201" s="40"/>
      <c r="AH201" s="40"/>
      <c r="AI201" s="40" t="s">
        <v>358</v>
      </c>
      <c r="AJ201" s="40"/>
      <c r="AK201" s="40"/>
      <c r="AL201" s="40"/>
      <c r="AM201" s="40"/>
      <c r="AN201" s="40"/>
      <c r="AO201" s="40"/>
      <c r="AP201" s="40"/>
      <c r="AQ201" s="40"/>
      <c r="AR201" s="40"/>
      <c r="AS201" s="40"/>
      <c r="AT201" s="40"/>
      <c r="AU201" s="40"/>
      <c r="AV201" s="40"/>
      <c r="AW201" s="40"/>
      <c r="AX201" s="40"/>
      <c r="AY201" s="40"/>
      <c r="AZ201" s="40"/>
      <c r="BA201" s="5"/>
    </row>
    <row r="202" spans="1:53" ht="52.5" thickBot="1" x14ac:dyDescent="0.4">
      <c r="A202" s="30" t="s">
        <v>359</v>
      </c>
      <c r="B202" s="30" t="s">
        <v>359</v>
      </c>
      <c r="C202" s="30" t="s">
        <v>359</v>
      </c>
      <c r="D202" s="30" t="s">
        <v>359</v>
      </c>
      <c r="E202" s="30" t="s">
        <v>358</v>
      </c>
      <c r="F202" s="30" t="s">
        <v>359</v>
      </c>
      <c r="G202" s="30" t="s">
        <v>359</v>
      </c>
      <c r="H202" s="30" t="s">
        <v>359</v>
      </c>
      <c r="I202" s="30" t="s">
        <v>359</v>
      </c>
      <c r="J202" s="5" t="s">
        <v>749</v>
      </c>
      <c r="K202" s="5" t="s">
        <v>482</v>
      </c>
      <c r="L202" s="5" t="s">
        <v>455</v>
      </c>
      <c r="M202" s="5" t="s">
        <v>172</v>
      </c>
      <c r="N202" s="5" t="s">
        <v>445</v>
      </c>
      <c r="O202" s="5">
        <v>1E-3</v>
      </c>
      <c r="P202" s="110"/>
      <c r="Q202" s="110"/>
      <c r="R202" s="404">
        <f>R198-(50*2*P144)</f>
        <v>9.3987148878830418</v>
      </c>
      <c r="S202" s="110"/>
      <c r="T202" s="110"/>
      <c r="U202" s="110"/>
      <c r="V202" s="121">
        <f t="shared" si="3"/>
        <v>9.3989999999999991</v>
      </c>
      <c r="W202" s="40"/>
      <c r="X202" s="40"/>
      <c r="Y202" s="40"/>
      <c r="Z202" s="40"/>
      <c r="AA202" s="40"/>
      <c r="AB202" s="40"/>
      <c r="AC202" s="40"/>
      <c r="AD202" s="40"/>
      <c r="AE202" s="40"/>
      <c r="AF202" s="40"/>
      <c r="AG202" s="40"/>
      <c r="AH202" s="40"/>
      <c r="AI202" s="40" t="s">
        <v>358</v>
      </c>
      <c r="AJ202" s="40"/>
      <c r="AK202" s="40"/>
      <c r="AL202" s="40"/>
      <c r="AM202" s="40"/>
      <c r="AN202" s="40"/>
      <c r="AO202" s="40"/>
      <c r="AP202" s="40"/>
      <c r="AQ202" s="40"/>
      <c r="AR202" s="40" t="s">
        <v>358</v>
      </c>
      <c r="AS202" s="40"/>
      <c r="AT202" s="40"/>
      <c r="AU202" s="40"/>
      <c r="AV202" s="40"/>
      <c r="AW202" s="40"/>
      <c r="AX202" s="40"/>
      <c r="AY202" s="40"/>
      <c r="AZ202" s="40"/>
      <c r="BA202" s="5" t="s">
        <v>477</v>
      </c>
    </row>
    <row r="203" spans="1:53" ht="52.5" thickBot="1" x14ac:dyDescent="0.4">
      <c r="A203" s="30" t="s">
        <v>359</v>
      </c>
      <c r="B203" s="30" t="s">
        <v>359</v>
      </c>
      <c r="C203" s="30" t="s">
        <v>359</v>
      </c>
      <c r="D203" s="30" t="s">
        <v>359</v>
      </c>
      <c r="E203" s="30" t="s">
        <v>358</v>
      </c>
      <c r="F203" s="30" t="s">
        <v>359</v>
      </c>
      <c r="G203" s="30" t="s">
        <v>359</v>
      </c>
      <c r="H203" s="30" t="s">
        <v>359</v>
      </c>
      <c r="I203" s="30" t="s">
        <v>359</v>
      </c>
      <c r="J203" s="5" t="s">
        <v>749</v>
      </c>
      <c r="K203" s="5" t="s">
        <v>482</v>
      </c>
      <c r="L203" s="5" t="s">
        <v>459</v>
      </c>
      <c r="M203" s="5" t="s">
        <v>172</v>
      </c>
      <c r="N203" s="5" t="s">
        <v>445</v>
      </c>
      <c r="O203" s="5">
        <v>1E-3</v>
      </c>
      <c r="P203" s="268"/>
      <c r="Q203" s="110"/>
      <c r="R203" s="404">
        <f>R199-(10*2*P144)</f>
        <v>6.5360032408303415</v>
      </c>
      <c r="S203" s="110"/>
      <c r="T203" s="110"/>
      <c r="U203" s="110"/>
      <c r="V203" s="121">
        <f t="shared" si="3"/>
        <v>6.5359999999999996</v>
      </c>
      <c r="W203" s="40"/>
      <c r="X203" s="40"/>
      <c r="Y203" s="40"/>
      <c r="Z203" s="40"/>
      <c r="AA203" s="40"/>
      <c r="AB203" s="40"/>
      <c r="AC203" s="40"/>
      <c r="AD203" s="40"/>
      <c r="AE203" s="40"/>
      <c r="AF203" s="40"/>
      <c r="AG203" s="40"/>
      <c r="AH203" s="40"/>
      <c r="AI203" s="40" t="s">
        <v>358</v>
      </c>
      <c r="AJ203" s="40"/>
      <c r="AK203" s="40"/>
      <c r="AL203" s="40"/>
      <c r="AM203" s="40"/>
      <c r="AN203" s="40"/>
      <c r="AO203" s="40"/>
      <c r="AP203" s="40"/>
      <c r="AQ203" s="40"/>
      <c r="AR203" s="40" t="s">
        <v>358</v>
      </c>
      <c r="AS203" s="40"/>
      <c r="AT203" s="40"/>
      <c r="AU203" s="40"/>
      <c r="AV203" s="40"/>
      <c r="AW203" s="40"/>
      <c r="AX203" s="40"/>
      <c r="AY203" s="40"/>
      <c r="AZ203" s="40"/>
      <c r="BA203" s="5" t="s">
        <v>478</v>
      </c>
    </row>
    <row r="204" spans="1:53" ht="52.5" thickBot="1" x14ac:dyDescent="0.4">
      <c r="A204" s="30" t="s">
        <v>359</v>
      </c>
      <c r="B204" s="30" t="s">
        <v>359</v>
      </c>
      <c r="C204" s="30" t="s">
        <v>359</v>
      </c>
      <c r="D204" s="30" t="s">
        <v>359</v>
      </c>
      <c r="E204" s="30" t="s">
        <v>358</v>
      </c>
      <c r="F204" s="30" t="s">
        <v>359</v>
      </c>
      <c r="G204" s="30" t="s">
        <v>359</v>
      </c>
      <c r="H204" s="30" t="s">
        <v>359</v>
      </c>
      <c r="I204" s="30" t="s">
        <v>359</v>
      </c>
      <c r="J204" s="5" t="s">
        <v>749</v>
      </c>
      <c r="K204" s="5" t="s">
        <v>482</v>
      </c>
      <c r="L204" s="5" t="s">
        <v>171</v>
      </c>
      <c r="M204" s="5" t="s">
        <v>172</v>
      </c>
      <c r="N204" s="5" t="s">
        <v>445</v>
      </c>
      <c r="O204" s="5">
        <v>1E-3</v>
      </c>
      <c r="P204" s="110"/>
      <c r="Q204" s="110"/>
      <c r="R204" s="404">
        <f>R200-(25*2*P145)</f>
        <v>645.91637808001667</v>
      </c>
      <c r="S204" s="110"/>
      <c r="T204" s="110"/>
      <c r="U204" s="110"/>
      <c r="V204" s="121">
        <f t="shared" si="3"/>
        <v>645.91600000000005</v>
      </c>
      <c r="W204" s="40"/>
      <c r="X204" s="40"/>
      <c r="Y204" s="40"/>
      <c r="Z204" s="40"/>
      <c r="AA204" s="40"/>
      <c r="AB204" s="40"/>
      <c r="AC204" s="40"/>
      <c r="AD204" s="40"/>
      <c r="AE204" s="40"/>
      <c r="AF204" s="40"/>
      <c r="AG204" s="40"/>
      <c r="AH204" s="40"/>
      <c r="AI204" s="40" t="s">
        <v>358</v>
      </c>
      <c r="AJ204" s="40"/>
      <c r="AK204" s="40"/>
      <c r="AL204" s="40"/>
      <c r="AM204" s="40"/>
      <c r="AN204" s="40"/>
      <c r="AO204" s="40"/>
      <c r="AP204" s="40"/>
      <c r="AQ204" s="40"/>
      <c r="AR204" s="40" t="s">
        <v>358</v>
      </c>
      <c r="AS204" s="40"/>
      <c r="AT204" s="40"/>
      <c r="AU204" s="40"/>
      <c r="AV204" s="40"/>
      <c r="AW204" s="40"/>
      <c r="AX204" s="40"/>
      <c r="AY204" s="40"/>
      <c r="AZ204" s="40"/>
      <c r="BA204" s="5" t="s">
        <v>479</v>
      </c>
    </row>
    <row r="205" spans="1:53" ht="52.5" thickBot="1" x14ac:dyDescent="0.4">
      <c r="A205" s="30" t="s">
        <v>359</v>
      </c>
      <c r="B205" s="30" t="s">
        <v>359</v>
      </c>
      <c r="C205" s="30" t="s">
        <v>359</v>
      </c>
      <c r="D205" s="30" t="s">
        <v>359</v>
      </c>
      <c r="E205" s="30" t="s">
        <v>358</v>
      </c>
      <c r="F205" s="30" t="s">
        <v>359</v>
      </c>
      <c r="G205" s="30" t="s">
        <v>359</v>
      </c>
      <c r="H205" s="30" t="s">
        <v>359</v>
      </c>
      <c r="I205" s="30" t="s">
        <v>359</v>
      </c>
      <c r="J205" s="5" t="s">
        <v>749</v>
      </c>
      <c r="K205" s="5" t="s">
        <v>482</v>
      </c>
      <c r="L205" s="5" t="s">
        <v>460</v>
      </c>
      <c r="M205" s="5" t="s">
        <v>172</v>
      </c>
      <c r="N205" s="5" t="s">
        <v>445</v>
      </c>
      <c r="O205" s="5">
        <v>1E-3</v>
      </c>
      <c r="P205" s="110"/>
      <c r="Q205" s="110"/>
      <c r="R205" s="404">
        <f>R201-(10*2*P145)</f>
        <v>4.8841062475417507</v>
      </c>
      <c r="S205" s="110"/>
      <c r="T205" s="110"/>
      <c r="U205" s="110"/>
      <c r="V205" s="121">
        <f t="shared" si="3"/>
        <v>4.8840000000000003</v>
      </c>
      <c r="W205" s="40"/>
      <c r="X205" s="40"/>
      <c r="Y205" s="40"/>
      <c r="Z205" s="40"/>
      <c r="AA205" s="40"/>
      <c r="AB205" s="40"/>
      <c r="AC205" s="40"/>
      <c r="AD205" s="40"/>
      <c r="AE205" s="40"/>
      <c r="AF205" s="40"/>
      <c r="AG205" s="40"/>
      <c r="AH205" s="40"/>
      <c r="AI205" s="40" t="s">
        <v>358</v>
      </c>
      <c r="AJ205" s="40"/>
      <c r="AK205" s="40"/>
      <c r="AL205" s="40"/>
      <c r="AM205" s="40"/>
      <c r="AN205" s="40"/>
      <c r="AO205" s="40"/>
      <c r="AP205" s="40"/>
      <c r="AQ205" s="40"/>
      <c r="AR205" s="40" t="s">
        <v>358</v>
      </c>
      <c r="AS205" s="40"/>
      <c r="AT205" s="40"/>
      <c r="AU205" s="40"/>
      <c r="AV205" s="40"/>
      <c r="AW205" s="40"/>
      <c r="AX205" s="40"/>
      <c r="AY205" s="40"/>
      <c r="AZ205" s="40"/>
      <c r="BA205" s="5" t="s">
        <v>480</v>
      </c>
    </row>
    <row r="206" spans="1:53" ht="26.5" thickBot="1" x14ac:dyDescent="0.4">
      <c r="A206" s="30" t="s">
        <v>359</v>
      </c>
      <c r="B206" s="30" t="s">
        <v>359</v>
      </c>
      <c r="C206" s="30" t="s">
        <v>359</v>
      </c>
      <c r="D206" s="30" t="s">
        <v>359</v>
      </c>
      <c r="E206" s="30" t="s">
        <v>358</v>
      </c>
      <c r="F206" s="30" t="s">
        <v>359</v>
      </c>
      <c r="G206" s="30" t="s">
        <v>359</v>
      </c>
      <c r="H206" s="30" t="s">
        <v>359</v>
      </c>
      <c r="I206" s="30" t="s">
        <v>359</v>
      </c>
      <c r="J206" s="5" t="s">
        <v>73</v>
      </c>
      <c r="K206" s="5" t="s">
        <v>483</v>
      </c>
      <c r="L206" s="5" t="s">
        <v>455</v>
      </c>
      <c r="M206" s="5" t="s">
        <v>172</v>
      </c>
      <c r="N206" s="5" t="s">
        <v>445</v>
      </c>
      <c r="O206" s="5">
        <v>1E-3</v>
      </c>
      <c r="P206" s="110"/>
      <c r="Q206" s="110"/>
      <c r="R206" s="278">
        <v>82</v>
      </c>
      <c r="S206" s="110"/>
      <c r="T206" s="110"/>
      <c r="U206" s="110"/>
      <c r="V206" s="121">
        <f t="shared" si="3"/>
        <v>82</v>
      </c>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t="s">
        <v>358</v>
      </c>
      <c r="AW206" s="40"/>
      <c r="AX206" s="40"/>
      <c r="AY206" s="40"/>
      <c r="AZ206" s="40"/>
      <c r="BA206" s="5"/>
    </row>
    <row r="207" spans="1:53" ht="52.5" thickBot="1" x14ac:dyDescent="0.4">
      <c r="A207" s="30" t="s">
        <v>359</v>
      </c>
      <c r="B207" s="30" t="s">
        <v>359</v>
      </c>
      <c r="C207" s="30" t="s">
        <v>359</v>
      </c>
      <c r="D207" s="30" t="s">
        <v>359</v>
      </c>
      <c r="E207" s="30" t="s">
        <v>358</v>
      </c>
      <c r="F207" s="30" t="s">
        <v>359</v>
      </c>
      <c r="G207" s="30" t="s">
        <v>359</v>
      </c>
      <c r="H207" s="30" t="s">
        <v>359</v>
      </c>
      <c r="I207" s="30" t="s">
        <v>359</v>
      </c>
      <c r="J207" s="5" t="s">
        <v>749</v>
      </c>
      <c r="K207" s="5" t="s">
        <v>483</v>
      </c>
      <c r="L207" s="5" t="s">
        <v>455</v>
      </c>
      <c r="M207" s="5" t="s">
        <v>172</v>
      </c>
      <c r="N207" s="5" t="s">
        <v>445</v>
      </c>
      <c r="O207" s="5">
        <v>1E-3</v>
      </c>
      <c r="P207" s="110"/>
      <c r="Q207" s="110"/>
      <c r="R207" s="278">
        <f>R206-(50*2*0.20394)</f>
        <v>61.605999999999995</v>
      </c>
      <c r="S207" s="110"/>
      <c r="T207" s="110"/>
      <c r="U207" s="110"/>
      <c r="V207" s="121">
        <f t="shared" si="3"/>
        <v>61.606000000000002</v>
      </c>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t="s">
        <v>358</v>
      </c>
      <c r="AS207" s="40"/>
      <c r="AT207" s="40"/>
      <c r="AU207" s="40"/>
      <c r="AV207" s="40" t="s">
        <v>358</v>
      </c>
      <c r="AW207" s="40"/>
      <c r="AX207" s="40"/>
      <c r="AY207" s="40"/>
      <c r="AZ207" s="40"/>
      <c r="BA207" s="5" t="s">
        <v>477</v>
      </c>
    </row>
    <row r="208" spans="1:53" ht="39.5" thickBot="1" x14ac:dyDescent="0.4">
      <c r="A208" s="30" t="s">
        <v>359</v>
      </c>
      <c r="B208" s="30" t="s">
        <v>359</v>
      </c>
      <c r="C208" s="30" t="s">
        <v>359</v>
      </c>
      <c r="D208" s="30" t="s">
        <v>359</v>
      </c>
      <c r="E208" s="30" t="s">
        <v>358</v>
      </c>
      <c r="F208" s="30" t="s">
        <v>359</v>
      </c>
      <c r="G208" s="30" t="s">
        <v>359</v>
      </c>
      <c r="H208" s="30" t="s">
        <v>359</v>
      </c>
      <c r="I208" s="30" t="s">
        <v>359</v>
      </c>
      <c r="J208" s="5" t="s">
        <v>73</v>
      </c>
      <c r="K208" s="5" t="s">
        <v>484</v>
      </c>
      <c r="L208" s="5" t="s">
        <v>485</v>
      </c>
      <c r="M208" s="5" t="s">
        <v>172</v>
      </c>
      <c r="N208" s="5" t="s">
        <v>445</v>
      </c>
      <c r="O208" s="5">
        <v>1E-3</v>
      </c>
      <c r="P208" s="110"/>
      <c r="Q208" s="110"/>
      <c r="R208" s="278">
        <v>402</v>
      </c>
      <c r="S208" s="110"/>
      <c r="T208" s="110"/>
      <c r="U208" s="110"/>
      <c r="V208" s="121">
        <f t="shared" si="3"/>
        <v>402</v>
      </c>
      <c r="W208" s="40"/>
      <c r="X208" s="40"/>
      <c r="Y208" s="40"/>
      <c r="Z208" s="40"/>
      <c r="AA208" s="40"/>
      <c r="AB208" s="40"/>
      <c r="AC208" s="40"/>
      <c r="AD208" s="40"/>
      <c r="AE208" s="40"/>
      <c r="AF208" s="40"/>
      <c r="AG208" s="40"/>
      <c r="AH208" s="40"/>
      <c r="AI208" s="40"/>
      <c r="AJ208" s="40"/>
      <c r="AK208" s="40"/>
      <c r="AL208" s="40"/>
      <c r="AM208" s="40"/>
      <c r="AN208" s="40"/>
      <c r="AO208" s="40"/>
      <c r="AP208" s="40"/>
      <c r="AQ208" s="40"/>
      <c r="AR208" s="40"/>
      <c r="AS208" s="40"/>
      <c r="AT208" s="40"/>
      <c r="AU208" s="40"/>
      <c r="AV208" s="40" t="s">
        <v>358</v>
      </c>
      <c r="AW208" s="40" t="s">
        <v>358</v>
      </c>
      <c r="AX208" s="40"/>
      <c r="AY208" s="40"/>
      <c r="AZ208" s="40"/>
      <c r="BA208" s="5"/>
    </row>
    <row r="209" spans="1:53" ht="39.5" thickBot="1" x14ac:dyDescent="0.4">
      <c r="A209" s="30" t="s">
        <v>359</v>
      </c>
      <c r="B209" s="30" t="s">
        <v>359</v>
      </c>
      <c r="C209" s="30" t="s">
        <v>359</v>
      </c>
      <c r="D209" s="30" t="s">
        <v>359</v>
      </c>
      <c r="E209" s="30" t="s">
        <v>358</v>
      </c>
      <c r="F209" s="30" t="s">
        <v>359</v>
      </c>
      <c r="G209" s="30" t="s">
        <v>359</v>
      </c>
      <c r="H209" s="30" t="s">
        <v>359</v>
      </c>
      <c r="I209" s="30" t="s">
        <v>359</v>
      </c>
      <c r="J209" s="5" t="s">
        <v>73</v>
      </c>
      <c r="K209" s="5" t="s">
        <v>486</v>
      </c>
      <c r="L209" s="5" t="s">
        <v>487</v>
      </c>
      <c r="M209" s="5" t="s">
        <v>172</v>
      </c>
      <c r="N209" s="5" t="s">
        <v>445</v>
      </c>
      <c r="O209" s="5">
        <v>1E-3</v>
      </c>
      <c r="P209" s="110"/>
      <c r="Q209" s="110"/>
      <c r="R209" s="278">
        <v>1074</v>
      </c>
      <c r="S209" s="110"/>
      <c r="T209" s="110"/>
      <c r="U209" s="110"/>
      <c r="V209" s="121">
        <f t="shared" si="3"/>
        <v>1074</v>
      </c>
      <c r="W209" s="40"/>
      <c r="X209" s="40"/>
      <c r="Y209" s="40"/>
      <c r="Z209" s="40"/>
      <c r="AA209" s="40"/>
      <c r="AB209" s="40"/>
      <c r="AC209" s="40"/>
      <c r="AD209" s="40"/>
      <c r="AE209" s="40"/>
      <c r="AF209" s="40"/>
      <c r="AG209" s="40"/>
      <c r="AH209" s="40"/>
      <c r="AI209" s="40"/>
      <c r="AJ209" s="40"/>
      <c r="AK209" s="40"/>
      <c r="AL209" s="40"/>
      <c r="AM209" s="40"/>
      <c r="AN209" s="40"/>
      <c r="AO209" s="40"/>
      <c r="AP209" s="40"/>
      <c r="AQ209" s="40"/>
      <c r="AR209" s="40"/>
      <c r="AS209" s="40"/>
      <c r="AT209" s="40"/>
      <c r="AU209" s="40"/>
      <c r="AV209" s="40" t="s">
        <v>358</v>
      </c>
      <c r="AW209" s="40" t="s">
        <v>358</v>
      </c>
      <c r="AX209" s="40" t="s">
        <v>358</v>
      </c>
      <c r="AY209" s="40"/>
      <c r="AZ209" s="40"/>
      <c r="BA209" s="5"/>
    </row>
    <row r="210" spans="1:53" ht="39.5" thickBot="1" x14ac:dyDescent="0.4">
      <c r="A210" s="30" t="s">
        <v>359</v>
      </c>
      <c r="B210" s="30" t="s">
        <v>359</v>
      </c>
      <c r="C210" s="30" t="s">
        <v>359</v>
      </c>
      <c r="D210" s="30" t="s">
        <v>359</v>
      </c>
      <c r="E210" s="30" t="s">
        <v>358</v>
      </c>
      <c r="F210" s="30" t="s">
        <v>359</v>
      </c>
      <c r="G210" s="30" t="s">
        <v>359</v>
      </c>
      <c r="H210" s="30" t="s">
        <v>359</v>
      </c>
      <c r="I210" s="30" t="s">
        <v>359</v>
      </c>
      <c r="J210" s="5" t="s">
        <v>73</v>
      </c>
      <c r="K210" s="5" t="s">
        <v>488</v>
      </c>
      <c r="L210" s="5" t="s">
        <v>487</v>
      </c>
      <c r="M210" s="5" t="s">
        <v>172</v>
      </c>
      <c r="N210" s="5" t="s">
        <v>445</v>
      </c>
      <c r="O210" s="5">
        <v>1E-3</v>
      </c>
      <c r="P210" s="110"/>
      <c r="Q210" s="110"/>
      <c r="R210" s="278">
        <v>1074</v>
      </c>
      <c r="S210" s="110"/>
      <c r="T210" s="110"/>
      <c r="U210" s="110"/>
      <c r="V210" s="121">
        <f t="shared" si="3"/>
        <v>1074</v>
      </c>
      <c r="W210" s="40"/>
      <c r="X210" s="40"/>
      <c r="Y210" s="40"/>
      <c r="Z210" s="40"/>
      <c r="AA210" s="40"/>
      <c r="AB210" s="40"/>
      <c r="AC210" s="40"/>
      <c r="AD210" s="40"/>
      <c r="AE210" s="40"/>
      <c r="AF210" s="40"/>
      <c r="AG210" s="40"/>
      <c r="AH210" s="40"/>
      <c r="AI210" s="40"/>
      <c r="AJ210" s="40"/>
      <c r="AK210" s="40"/>
      <c r="AL210" s="40"/>
      <c r="AM210" s="40"/>
      <c r="AN210" s="40"/>
      <c r="AO210" s="40"/>
      <c r="AP210" s="40"/>
      <c r="AQ210" s="40"/>
      <c r="AR210" s="40"/>
      <c r="AS210" s="40"/>
      <c r="AT210" s="40"/>
      <c r="AU210" s="40"/>
      <c r="AV210" s="40" t="s">
        <v>358</v>
      </c>
      <c r="AW210" s="40" t="s">
        <v>358</v>
      </c>
      <c r="AX210" s="40" t="s">
        <v>358</v>
      </c>
      <c r="AY210" s="40"/>
      <c r="AZ210" s="40"/>
      <c r="BA210" s="5"/>
    </row>
    <row r="211" spans="1:53" ht="39.5" thickBot="1" x14ac:dyDescent="0.4">
      <c r="A211" s="30" t="s">
        <v>359</v>
      </c>
      <c r="B211" s="30" t="s">
        <v>359</v>
      </c>
      <c r="C211" s="30" t="s">
        <v>359</v>
      </c>
      <c r="D211" s="30" t="s">
        <v>359</v>
      </c>
      <c r="E211" s="30" t="s">
        <v>358</v>
      </c>
      <c r="F211" s="30" t="s">
        <v>359</v>
      </c>
      <c r="G211" s="30" t="s">
        <v>359</v>
      </c>
      <c r="H211" s="30" t="s">
        <v>359</v>
      </c>
      <c r="I211" s="30" t="s">
        <v>359</v>
      </c>
      <c r="J211" s="5" t="s">
        <v>73</v>
      </c>
      <c r="K211" s="5" t="s">
        <v>489</v>
      </c>
      <c r="L211" s="5" t="s">
        <v>487</v>
      </c>
      <c r="M211" s="5" t="s">
        <v>172</v>
      </c>
      <c r="N211" s="5" t="s">
        <v>445</v>
      </c>
      <c r="O211" s="5">
        <v>1E-3</v>
      </c>
      <c r="P211" s="110"/>
      <c r="Q211" s="110"/>
      <c r="R211" s="278">
        <v>1074</v>
      </c>
      <c r="S211" s="110"/>
      <c r="T211" s="110"/>
      <c r="U211" s="110"/>
      <c r="V211" s="121">
        <f t="shared" si="3"/>
        <v>1074</v>
      </c>
      <c r="W211" s="40"/>
      <c r="X211" s="40"/>
      <c r="Y211" s="40"/>
      <c r="Z211" s="40"/>
      <c r="AA211" s="40"/>
      <c r="AB211" s="40"/>
      <c r="AC211" s="40"/>
      <c r="AD211" s="40"/>
      <c r="AE211" s="40"/>
      <c r="AF211" s="40"/>
      <c r="AG211" s="40"/>
      <c r="AH211" s="40"/>
      <c r="AI211" s="40"/>
      <c r="AJ211" s="40"/>
      <c r="AK211" s="40"/>
      <c r="AL211" s="40"/>
      <c r="AM211" s="40"/>
      <c r="AN211" s="40"/>
      <c r="AO211" s="40"/>
      <c r="AP211" s="40"/>
      <c r="AQ211" s="40"/>
      <c r="AR211" s="40"/>
      <c r="AS211" s="40"/>
      <c r="AT211" s="40"/>
      <c r="AU211" s="40"/>
      <c r="AV211" s="40" t="s">
        <v>358</v>
      </c>
      <c r="AW211" s="40" t="s">
        <v>358</v>
      </c>
      <c r="AX211" s="40" t="s">
        <v>358</v>
      </c>
      <c r="AY211" s="40"/>
      <c r="AZ211" s="40"/>
      <c r="BA211" s="5"/>
    </row>
    <row r="212" spans="1:53" ht="39.5" thickBot="1" x14ac:dyDescent="0.4">
      <c r="A212" s="30" t="s">
        <v>359</v>
      </c>
      <c r="B212" s="30" t="s">
        <v>359</v>
      </c>
      <c r="C212" s="30" t="s">
        <v>359</v>
      </c>
      <c r="D212" s="30" t="s">
        <v>359</v>
      </c>
      <c r="E212" s="30" t="s">
        <v>358</v>
      </c>
      <c r="F212" s="30" t="s">
        <v>359</v>
      </c>
      <c r="G212" s="30" t="s">
        <v>359</v>
      </c>
      <c r="H212" s="30" t="s">
        <v>359</v>
      </c>
      <c r="I212" s="30" t="s">
        <v>359</v>
      </c>
      <c r="J212" s="26" t="s">
        <v>73</v>
      </c>
      <c r="K212" s="5" t="s">
        <v>490</v>
      </c>
      <c r="L212" s="5" t="s">
        <v>487</v>
      </c>
      <c r="M212" s="5" t="s">
        <v>172</v>
      </c>
      <c r="N212" s="5" t="s">
        <v>445</v>
      </c>
      <c r="O212" s="5">
        <v>1E-3</v>
      </c>
      <c r="P212" s="266"/>
      <c r="Q212" s="110"/>
      <c r="R212" s="278">
        <v>1074</v>
      </c>
      <c r="S212" s="110"/>
      <c r="T212" s="110"/>
      <c r="U212" s="110"/>
      <c r="V212" s="121">
        <f t="shared" si="3"/>
        <v>1074</v>
      </c>
      <c r="W212" s="40"/>
      <c r="X212" s="40"/>
      <c r="Y212" s="40"/>
      <c r="Z212" s="40"/>
      <c r="AA212" s="40"/>
      <c r="AB212" s="40"/>
      <c r="AC212" s="40"/>
      <c r="AD212" s="40"/>
      <c r="AE212" s="40"/>
      <c r="AF212" s="40"/>
      <c r="AG212" s="40"/>
      <c r="AH212" s="40"/>
      <c r="AI212" s="40"/>
      <c r="AJ212" s="40"/>
      <c r="AK212" s="40"/>
      <c r="AL212" s="40"/>
      <c r="AM212" s="40"/>
      <c r="AN212" s="40"/>
      <c r="AO212" s="40"/>
      <c r="AP212" s="40"/>
      <c r="AQ212" s="40"/>
      <c r="AR212" s="40"/>
      <c r="AS212" s="40"/>
      <c r="AT212" s="40"/>
      <c r="AU212" s="40"/>
      <c r="AV212" s="40" t="s">
        <v>358</v>
      </c>
      <c r="AW212" s="40" t="s">
        <v>358</v>
      </c>
      <c r="AX212" s="40" t="s">
        <v>358</v>
      </c>
      <c r="AY212" s="40"/>
      <c r="AZ212" s="40"/>
      <c r="BA212" s="5"/>
    </row>
    <row r="213" spans="1:53" ht="15" thickBot="1" x14ac:dyDescent="0.4">
      <c r="A213" s="30" t="s">
        <v>358</v>
      </c>
      <c r="B213" s="30" t="s">
        <v>359</v>
      </c>
      <c r="C213" s="30" t="s">
        <v>359</v>
      </c>
      <c r="D213" s="30" t="s">
        <v>359</v>
      </c>
      <c r="E213" s="30" t="s">
        <v>359</v>
      </c>
      <c r="F213" s="30" t="s">
        <v>359</v>
      </c>
      <c r="G213" s="30" t="s">
        <v>359</v>
      </c>
      <c r="H213" s="30" t="s">
        <v>359</v>
      </c>
      <c r="I213" s="263" t="s">
        <v>359</v>
      </c>
      <c r="J213" s="264" t="s">
        <v>1018</v>
      </c>
      <c r="K213" s="5" t="s">
        <v>844</v>
      </c>
      <c r="L213" s="5"/>
      <c r="M213" s="5" t="s">
        <v>445</v>
      </c>
      <c r="N213" s="5"/>
      <c r="O213" s="267"/>
      <c r="P213" s="409">
        <v>12400</v>
      </c>
      <c r="Q213" s="110"/>
      <c r="R213" s="110"/>
      <c r="S213" s="110"/>
      <c r="T213" s="110"/>
      <c r="U213" s="110"/>
      <c r="V213" s="121">
        <f t="shared" ref="V213:V276" si="4">ROUND(SUM(P213:U213),3)</f>
        <v>12400</v>
      </c>
      <c r="W213" s="40"/>
      <c r="X213" s="40" t="s">
        <v>358</v>
      </c>
      <c r="Y213" s="40"/>
      <c r="Z213" s="40"/>
      <c r="AA213" s="40"/>
      <c r="AB213" s="40"/>
      <c r="AC213" s="40"/>
      <c r="AD213" s="40"/>
      <c r="AE213" s="40"/>
      <c r="AF213" s="40"/>
      <c r="AG213" s="40"/>
      <c r="AH213" s="40"/>
      <c r="AI213" s="40"/>
      <c r="AJ213" s="40"/>
      <c r="AK213" s="40"/>
      <c r="AL213" s="40"/>
      <c r="AM213" s="40"/>
      <c r="AN213" s="40"/>
      <c r="AO213" s="40"/>
      <c r="AP213" s="40"/>
      <c r="AQ213" s="40"/>
      <c r="AR213" s="40"/>
      <c r="AS213" s="40"/>
      <c r="AT213" s="40"/>
      <c r="AU213" s="40"/>
      <c r="AV213" s="40"/>
      <c r="AW213" s="40"/>
      <c r="AX213" s="40"/>
      <c r="AY213" s="40"/>
      <c r="AZ213" s="40"/>
      <c r="BA213" s="5"/>
    </row>
    <row r="214" spans="1:53" ht="15" thickBot="1" x14ac:dyDescent="0.4">
      <c r="A214" s="30" t="s">
        <v>358</v>
      </c>
      <c r="B214" s="30" t="s">
        <v>359</v>
      </c>
      <c r="C214" s="30" t="s">
        <v>359</v>
      </c>
      <c r="D214" s="30" t="s">
        <v>359</v>
      </c>
      <c r="E214" s="30" t="s">
        <v>359</v>
      </c>
      <c r="F214" s="30" t="s">
        <v>359</v>
      </c>
      <c r="G214" s="30" t="s">
        <v>359</v>
      </c>
      <c r="H214" s="30" t="s">
        <v>359</v>
      </c>
      <c r="I214" s="263" t="s">
        <v>359</v>
      </c>
      <c r="J214" s="264" t="s">
        <v>1018</v>
      </c>
      <c r="K214" s="5" t="s">
        <v>845</v>
      </c>
      <c r="L214" s="5"/>
      <c r="M214" s="5" t="s">
        <v>445</v>
      </c>
      <c r="N214" s="5"/>
      <c r="O214" s="267"/>
      <c r="P214" s="410">
        <v>677</v>
      </c>
      <c r="Q214" s="110"/>
      <c r="R214" s="110"/>
      <c r="S214" s="110"/>
      <c r="T214" s="110"/>
      <c r="U214" s="110"/>
      <c r="V214" s="121">
        <f t="shared" si="4"/>
        <v>677</v>
      </c>
      <c r="W214" s="40"/>
      <c r="X214" s="40" t="s">
        <v>358</v>
      </c>
      <c r="Y214" s="40"/>
      <c r="Z214" s="40"/>
      <c r="AA214" s="40"/>
      <c r="AB214" s="40"/>
      <c r="AC214" s="40"/>
      <c r="AD214" s="40"/>
      <c r="AE214" s="40"/>
      <c r="AF214" s="40"/>
      <c r="AG214" s="40"/>
      <c r="AH214" s="40"/>
      <c r="AI214" s="40"/>
      <c r="AJ214" s="40"/>
      <c r="AK214" s="40"/>
      <c r="AL214" s="40"/>
      <c r="AM214" s="40"/>
      <c r="AN214" s="40"/>
      <c r="AO214" s="40"/>
      <c r="AP214" s="40"/>
      <c r="AQ214" s="40"/>
      <c r="AR214" s="40"/>
      <c r="AS214" s="40"/>
      <c r="AT214" s="40"/>
      <c r="AU214" s="40"/>
      <c r="AV214" s="40"/>
      <c r="AW214" s="40"/>
      <c r="AX214" s="40"/>
      <c r="AY214" s="40"/>
      <c r="AZ214" s="40"/>
      <c r="BA214" s="5"/>
    </row>
    <row r="215" spans="1:53" ht="15" thickBot="1" x14ac:dyDescent="0.4">
      <c r="A215" s="30" t="s">
        <v>358</v>
      </c>
      <c r="B215" s="30" t="s">
        <v>359</v>
      </c>
      <c r="C215" s="30" t="s">
        <v>359</v>
      </c>
      <c r="D215" s="30" t="s">
        <v>359</v>
      </c>
      <c r="E215" s="30" t="s">
        <v>359</v>
      </c>
      <c r="F215" s="30" t="s">
        <v>359</v>
      </c>
      <c r="G215" s="30" t="s">
        <v>359</v>
      </c>
      <c r="H215" s="30" t="s">
        <v>359</v>
      </c>
      <c r="I215" s="263" t="s">
        <v>359</v>
      </c>
      <c r="J215" s="264" t="s">
        <v>1018</v>
      </c>
      <c r="K215" s="5" t="s">
        <v>846</v>
      </c>
      <c r="L215" s="5"/>
      <c r="M215" s="5" t="s">
        <v>445</v>
      </c>
      <c r="N215" s="5"/>
      <c r="O215" s="267"/>
      <c r="P215" s="410">
        <v>116</v>
      </c>
      <c r="Q215" s="110"/>
      <c r="R215" s="110"/>
      <c r="S215" s="110"/>
      <c r="T215" s="110"/>
      <c r="U215" s="110"/>
      <c r="V215" s="121">
        <f t="shared" si="4"/>
        <v>116</v>
      </c>
      <c r="W215" s="40"/>
      <c r="X215" s="40" t="s">
        <v>358</v>
      </c>
      <c r="Y215" s="40"/>
      <c r="Z215" s="40"/>
      <c r="AA215" s="40"/>
      <c r="AB215" s="40"/>
      <c r="AC215" s="40"/>
      <c r="AD215" s="40"/>
      <c r="AE215" s="40"/>
      <c r="AF215" s="40"/>
      <c r="AG215" s="40"/>
      <c r="AH215" s="40"/>
      <c r="AI215" s="40"/>
      <c r="AJ215" s="40"/>
      <c r="AK215" s="40"/>
      <c r="AL215" s="40"/>
      <c r="AM215" s="40"/>
      <c r="AN215" s="40"/>
      <c r="AO215" s="40"/>
      <c r="AP215" s="40"/>
      <c r="AQ215" s="40"/>
      <c r="AR215" s="40"/>
      <c r="AS215" s="40"/>
      <c r="AT215" s="40"/>
      <c r="AU215" s="40"/>
      <c r="AV215" s="40"/>
      <c r="AW215" s="40"/>
      <c r="AX215" s="40"/>
      <c r="AY215" s="40"/>
      <c r="AZ215" s="40"/>
      <c r="BA215" s="5"/>
    </row>
    <row r="216" spans="1:53" ht="15" thickBot="1" x14ac:dyDescent="0.4">
      <c r="A216" s="30" t="s">
        <v>358</v>
      </c>
      <c r="B216" s="30" t="s">
        <v>359</v>
      </c>
      <c r="C216" s="30" t="s">
        <v>359</v>
      </c>
      <c r="D216" s="30" t="s">
        <v>359</v>
      </c>
      <c r="E216" s="30" t="s">
        <v>359</v>
      </c>
      <c r="F216" s="30" t="s">
        <v>359</v>
      </c>
      <c r="G216" s="30" t="s">
        <v>359</v>
      </c>
      <c r="H216" s="30" t="s">
        <v>359</v>
      </c>
      <c r="I216" s="263" t="s">
        <v>359</v>
      </c>
      <c r="J216" s="264" t="s">
        <v>1018</v>
      </c>
      <c r="K216" s="5" t="s">
        <v>847</v>
      </c>
      <c r="L216" s="5"/>
      <c r="M216" s="5" t="s">
        <v>445</v>
      </c>
      <c r="N216" s="5"/>
      <c r="O216" s="267"/>
      <c r="P216" s="410">
        <v>3170</v>
      </c>
      <c r="Q216" s="110"/>
      <c r="R216" s="110"/>
      <c r="S216" s="110"/>
      <c r="T216" s="110"/>
      <c r="U216" s="110"/>
      <c r="V216" s="121">
        <f t="shared" si="4"/>
        <v>3170</v>
      </c>
      <c r="W216" s="40"/>
      <c r="X216" s="40" t="s">
        <v>358</v>
      </c>
      <c r="Y216" s="40"/>
      <c r="Z216" s="40"/>
      <c r="AA216" s="40"/>
      <c r="AB216" s="40"/>
      <c r="AC216" s="40"/>
      <c r="AD216" s="40"/>
      <c r="AE216" s="40"/>
      <c r="AF216" s="40"/>
      <c r="AG216" s="40"/>
      <c r="AH216" s="40"/>
      <c r="AI216" s="40"/>
      <c r="AJ216" s="40"/>
      <c r="AK216" s="40"/>
      <c r="AL216" s="40"/>
      <c r="AM216" s="40"/>
      <c r="AN216" s="40"/>
      <c r="AO216" s="40"/>
      <c r="AP216" s="40"/>
      <c r="AQ216" s="40"/>
      <c r="AR216" s="40"/>
      <c r="AS216" s="40"/>
      <c r="AT216" s="40"/>
      <c r="AU216" s="40"/>
      <c r="AV216" s="40"/>
      <c r="AW216" s="40"/>
      <c r="AX216" s="40"/>
      <c r="AY216" s="40"/>
      <c r="AZ216" s="40"/>
      <c r="BA216" s="5"/>
    </row>
    <row r="217" spans="1:53" ht="15" thickBot="1" x14ac:dyDescent="0.4">
      <c r="A217" s="30" t="s">
        <v>358</v>
      </c>
      <c r="B217" s="30" t="s">
        <v>359</v>
      </c>
      <c r="C217" s="30" t="s">
        <v>359</v>
      </c>
      <c r="D217" s="30" t="s">
        <v>359</v>
      </c>
      <c r="E217" s="30" t="s">
        <v>359</v>
      </c>
      <c r="F217" s="30" t="s">
        <v>359</v>
      </c>
      <c r="G217" s="30" t="s">
        <v>359</v>
      </c>
      <c r="H217" s="30" t="s">
        <v>359</v>
      </c>
      <c r="I217" s="263" t="s">
        <v>359</v>
      </c>
      <c r="J217" s="264" t="s">
        <v>1018</v>
      </c>
      <c r="K217" s="5" t="s">
        <v>848</v>
      </c>
      <c r="L217" s="5"/>
      <c r="M217" s="5" t="s">
        <v>445</v>
      </c>
      <c r="N217" s="5"/>
      <c r="O217" s="267"/>
      <c r="P217" s="410">
        <v>1120</v>
      </c>
      <c r="Q217" s="110"/>
      <c r="R217" s="110"/>
      <c r="S217" s="110"/>
      <c r="T217" s="110"/>
      <c r="U217" s="110"/>
      <c r="V217" s="121">
        <f t="shared" si="4"/>
        <v>1120</v>
      </c>
      <c r="W217" s="40"/>
      <c r="X217" s="40" t="s">
        <v>358</v>
      </c>
      <c r="Y217" s="40"/>
      <c r="Z217" s="40"/>
      <c r="AA217" s="40"/>
      <c r="AB217" s="40"/>
      <c r="AC217" s="40"/>
      <c r="AD217" s="40"/>
      <c r="AE217" s="40"/>
      <c r="AF217" s="40"/>
      <c r="AG217" s="40"/>
      <c r="AH217" s="40"/>
      <c r="AI217" s="40"/>
      <c r="AJ217" s="40"/>
      <c r="AK217" s="40"/>
      <c r="AL217" s="40"/>
      <c r="AM217" s="40"/>
      <c r="AN217" s="40"/>
      <c r="AO217" s="40"/>
      <c r="AP217" s="40"/>
      <c r="AQ217" s="40"/>
      <c r="AR217" s="40"/>
      <c r="AS217" s="40"/>
      <c r="AT217" s="40"/>
      <c r="AU217" s="40"/>
      <c r="AV217" s="40"/>
      <c r="AW217" s="40"/>
      <c r="AX217" s="40"/>
      <c r="AY217" s="40"/>
      <c r="AZ217" s="40"/>
      <c r="BA217" s="5"/>
    </row>
    <row r="218" spans="1:53" ht="15" thickBot="1" x14ac:dyDescent="0.4">
      <c r="A218" s="30" t="s">
        <v>358</v>
      </c>
      <c r="B218" s="30" t="s">
        <v>359</v>
      </c>
      <c r="C218" s="30" t="s">
        <v>359</v>
      </c>
      <c r="D218" s="30" t="s">
        <v>359</v>
      </c>
      <c r="E218" s="30" t="s">
        <v>359</v>
      </c>
      <c r="F218" s="30" t="s">
        <v>359</v>
      </c>
      <c r="G218" s="30" t="s">
        <v>359</v>
      </c>
      <c r="H218" s="30" t="s">
        <v>359</v>
      </c>
      <c r="I218" s="263" t="s">
        <v>359</v>
      </c>
      <c r="J218" s="264" t="s">
        <v>1018</v>
      </c>
      <c r="K218" s="5" t="s">
        <v>849</v>
      </c>
      <c r="L218" s="5"/>
      <c r="M218" s="5" t="s">
        <v>445</v>
      </c>
      <c r="N218" s="5"/>
      <c r="O218" s="267"/>
      <c r="P218" s="410">
        <v>1300</v>
      </c>
      <c r="Q218" s="110"/>
      <c r="R218" s="110"/>
      <c r="S218" s="110"/>
      <c r="T218" s="110"/>
      <c r="U218" s="110"/>
      <c r="V218" s="121">
        <f t="shared" si="4"/>
        <v>1300</v>
      </c>
      <c r="W218" s="40"/>
      <c r="X218" s="40" t="s">
        <v>358</v>
      </c>
      <c r="Y218" s="40"/>
      <c r="Z218" s="40"/>
      <c r="AA218" s="40"/>
      <c r="AB218" s="40"/>
      <c r="AC218" s="40"/>
      <c r="AD218" s="40"/>
      <c r="AE218" s="40"/>
      <c r="AF218" s="40"/>
      <c r="AG218" s="40"/>
      <c r="AH218" s="40"/>
      <c r="AI218" s="40"/>
      <c r="AJ218" s="40"/>
      <c r="AK218" s="40"/>
      <c r="AL218" s="40"/>
      <c r="AM218" s="40"/>
      <c r="AN218" s="40"/>
      <c r="AO218" s="40"/>
      <c r="AP218" s="40"/>
      <c r="AQ218" s="40"/>
      <c r="AR218" s="40"/>
      <c r="AS218" s="40"/>
      <c r="AT218" s="40"/>
      <c r="AU218" s="40"/>
      <c r="AV218" s="40"/>
      <c r="AW218" s="40"/>
      <c r="AX218" s="40"/>
      <c r="AY218" s="40"/>
      <c r="AZ218" s="40"/>
      <c r="BA218" s="5"/>
    </row>
    <row r="219" spans="1:53" ht="15" thickBot="1" x14ac:dyDescent="0.4">
      <c r="A219" s="30" t="s">
        <v>358</v>
      </c>
      <c r="B219" s="30" t="s">
        <v>359</v>
      </c>
      <c r="C219" s="30" t="s">
        <v>359</v>
      </c>
      <c r="D219" s="30" t="s">
        <v>359</v>
      </c>
      <c r="E219" s="30" t="s">
        <v>359</v>
      </c>
      <c r="F219" s="30" t="s">
        <v>359</v>
      </c>
      <c r="G219" s="30" t="s">
        <v>359</v>
      </c>
      <c r="H219" s="30" t="s">
        <v>359</v>
      </c>
      <c r="I219" s="263" t="s">
        <v>359</v>
      </c>
      <c r="J219" s="264" t="s">
        <v>1018</v>
      </c>
      <c r="K219" s="5" t="s">
        <v>850</v>
      </c>
      <c r="L219" s="5"/>
      <c r="M219" s="5" t="s">
        <v>445</v>
      </c>
      <c r="N219" s="5"/>
      <c r="O219" s="267"/>
      <c r="P219" s="410">
        <v>328</v>
      </c>
      <c r="Q219" s="110"/>
      <c r="R219" s="110"/>
      <c r="S219" s="110"/>
      <c r="T219" s="110"/>
      <c r="U219" s="110"/>
      <c r="V219" s="121">
        <f t="shared" si="4"/>
        <v>328</v>
      </c>
      <c r="W219" s="40"/>
      <c r="X219" s="40" t="s">
        <v>358</v>
      </c>
      <c r="Y219" s="40"/>
      <c r="Z219" s="40"/>
      <c r="AA219" s="40"/>
      <c r="AB219" s="40"/>
      <c r="AC219" s="40"/>
      <c r="AD219" s="40"/>
      <c r="AE219" s="40"/>
      <c r="AF219" s="40"/>
      <c r="AG219" s="40"/>
      <c r="AH219" s="40"/>
      <c r="AI219" s="40"/>
      <c r="AJ219" s="40"/>
      <c r="AK219" s="40"/>
      <c r="AL219" s="40"/>
      <c r="AM219" s="40"/>
      <c r="AN219" s="40"/>
      <c r="AO219" s="40"/>
      <c r="AP219" s="40"/>
      <c r="AQ219" s="40"/>
      <c r="AR219" s="40"/>
      <c r="AS219" s="40"/>
      <c r="AT219" s="40"/>
      <c r="AU219" s="40"/>
      <c r="AV219" s="40"/>
      <c r="AW219" s="40"/>
      <c r="AX219" s="40"/>
      <c r="AY219" s="40"/>
      <c r="AZ219" s="40"/>
      <c r="BA219" s="5"/>
    </row>
    <row r="220" spans="1:53" ht="15" thickBot="1" x14ac:dyDescent="0.4">
      <c r="A220" s="30" t="s">
        <v>358</v>
      </c>
      <c r="B220" s="30" t="s">
        <v>359</v>
      </c>
      <c r="C220" s="30" t="s">
        <v>359</v>
      </c>
      <c r="D220" s="30" t="s">
        <v>359</v>
      </c>
      <c r="E220" s="30" t="s">
        <v>359</v>
      </c>
      <c r="F220" s="30" t="s">
        <v>359</v>
      </c>
      <c r="G220" s="30" t="s">
        <v>359</v>
      </c>
      <c r="H220" s="30" t="s">
        <v>359</v>
      </c>
      <c r="I220" s="263" t="s">
        <v>359</v>
      </c>
      <c r="J220" s="264" t="s">
        <v>1018</v>
      </c>
      <c r="K220" s="5" t="s">
        <v>851</v>
      </c>
      <c r="L220" s="5"/>
      <c r="M220" s="5" t="s">
        <v>445</v>
      </c>
      <c r="N220" s="5"/>
      <c r="O220" s="267"/>
      <c r="P220" s="410">
        <v>4800</v>
      </c>
      <c r="Q220" s="110"/>
      <c r="R220" s="110"/>
      <c r="S220" s="110"/>
      <c r="T220" s="110"/>
      <c r="U220" s="110"/>
      <c r="V220" s="121">
        <f t="shared" si="4"/>
        <v>4800</v>
      </c>
      <c r="W220" s="40"/>
      <c r="X220" s="40" t="s">
        <v>358</v>
      </c>
      <c r="Y220" s="40"/>
      <c r="Z220" s="40"/>
      <c r="AA220" s="40"/>
      <c r="AB220" s="40"/>
      <c r="AC220" s="40"/>
      <c r="AD220" s="40"/>
      <c r="AE220" s="40"/>
      <c r="AF220" s="40"/>
      <c r="AG220" s="40"/>
      <c r="AH220" s="40"/>
      <c r="AI220" s="40"/>
      <c r="AJ220" s="40"/>
      <c r="AK220" s="40"/>
      <c r="AL220" s="40"/>
      <c r="AM220" s="40"/>
      <c r="AN220" s="40"/>
      <c r="AO220" s="40"/>
      <c r="AP220" s="40"/>
      <c r="AQ220" s="40"/>
      <c r="AR220" s="40"/>
      <c r="AS220" s="40"/>
      <c r="AT220" s="40"/>
      <c r="AU220" s="40"/>
      <c r="AV220" s="40"/>
      <c r="AW220" s="40"/>
      <c r="AX220" s="40"/>
      <c r="AY220" s="40"/>
      <c r="AZ220" s="40"/>
      <c r="BA220" s="5"/>
    </row>
    <row r="221" spans="1:53" ht="15" thickBot="1" x14ac:dyDescent="0.4">
      <c r="A221" s="30" t="s">
        <v>358</v>
      </c>
      <c r="B221" s="30" t="s">
        <v>359</v>
      </c>
      <c r="C221" s="30" t="s">
        <v>359</v>
      </c>
      <c r="D221" s="30" t="s">
        <v>359</v>
      </c>
      <c r="E221" s="30" t="s">
        <v>359</v>
      </c>
      <c r="F221" s="30" t="s">
        <v>359</v>
      </c>
      <c r="G221" s="30" t="s">
        <v>359</v>
      </c>
      <c r="H221" s="30" t="s">
        <v>359</v>
      </c>
      <c r="I221" s="263" t="s">
        <v>359</v>
      </c>
      <c r="J221" s="264" t="s">
        <v>1018</v>
      </c>
      <c r="K221" s="5" t="s">
        <v>852</v>
      </c>
      <c r="L221" s="5"/>
      <c r="M221" s="5" t="s">
        <v>445</v>
      </c>
      <c r="N221" s="5"/>
      <c r="O221" s="267"/>
      <c r="P221" s="410">
        <v>138</v>
      </c>
      <c r="Q221" s="110"/>
      <c r="R221" s="110"/>
      <c r="S221" s="110"/>
      <c r="T221" s="110"/>
      <c r="U221" s="110"/>
      <c r="V221" s="121">
        <f t="shared" si="4"/>
        <v>138</v>
      </c>
      <c r="W221" s="40"/>
      <c r="X221" s="40" t="s">
        <v>358</v>
      </c>
      <c r="Y221" s="40"/>
      <c r="Z221" s="40"/>
      <c r="AA221" s="40"/>
      <c r="AB221" s="40"/>
      <c r="AC221" s="40"/>
      <c r="AD221" s="40"/>
      <c r="AE221" s="40"/>
      <c r="AF221" s="40"/>
      <c r="AG221" s="40"/>
      <c r="AH221" s="40"/>
      <c r="AI221" s="40"/>
      <c r="AJ221" s="40"/>
      <c r="AK221" s="40"/>
      <c r="AL221" s="40"/>
      <c r="AM221" s="40"/>
      <c r="AN221" s="40"/>
      <c r="AO221" s="40"/>
      <c r="AP221" s="40"/>
      <c r="AQ221" s="40"/>
      <c r="AR221" s="40"/>
      <c r="AS221" s="40"/>
      <c r="AT221" s="40"/>
      <c r="AU221" s="40"/>
      <c r="AV221" s="40"/>
      <c r="AW221" s="40"/>
      <c r="AX221" s="40"/>
      <c r="AY221" s="40"/>
      <c r="AZ221" s="40"/>
      <c r="BA221" s="5"/>
    </row>
    <row r="222" spans="1:53" ht="15" thickBot="1" x14ac:dyDescent="0.4">
      <c r="A222" s="30" t="s">
        <v>358</v>
      </c>
      <c r="B222" s="30" t="s">
        <v>359</v>
      </c>
      <c r="C222" s="30" t="s">
        <v>359</v>
      </c>
      <c r="D222" s="30" t="s">
        <v>359</v>
      </c>
      <c r="E222" s="30" t="s">
        <v>359</v>
      </c>
      <c r="F222" s="30" t="s">
        <v>359</v>
      </c>
      <c r="G222" s="30" t="s">
        <v>359</v>
      </c>
      <c r="H222" s="30" t="s">
        <v>359</v>
      </c>
      <c r="I222" s="263" t="s">
        <v>359</v>
      </c>
      <c r="J222" s="264" t="s">
        <v>1018</v>
      </c>
      <c r="K222" s="5" t="s">
        <v>853</v>
      </c>
      <c r="L222" s="5"/>
      <c r="M222" s="5" t="s">
        <v>445</v>
      </c>
      <c r="N222" s="5"/>
      <c r="O222" s="267"/>
      <c r="P222" s="410">
        <v>3350</v>
      </c>
      <c r="Q222" s="110"/>
      <c r="R222" s="110"/>
      <c r="S222" s="110"/>
      <c r="T222" s="110"/>
      <c r="U222" s="110"/>
      <c r="V222" s="121">
        <f t="shared" si="4"/>
        <v>3350</v>
      </c>
      <c r="W222" s="40"/>
      <c r="X222" s="40" t="s">
        <v>358</v>
      </c>
      <c r="Y222" s="40"/>
      <c r="Z222" s="40"/>
      <c r="AA222" s="40"/>
      <c r="AB222" s="40"/>
      <c r="AC222" s="40"/>
      <c r="AD222" s="40"/>
      <c r="AE222" s="40"/>
      <c r="AF222" s="40"/>
      <c r="AG222" s="40"/>
      <c r="AH222" s="40"/>
      <c r="AI222" s="40"/>
      <c r="AJ222" s="40"/>
      <c r="AK222" s="40"/>
      <c r="AL222" s="40"/>
      <c r="AM222" s="40"/>
      <c r="AN222" s="40"/>
      <c r="AO222" s="40"/>
      <c r="AP222" s="40"/>
      <c r="AQ222" s="40"/>
      <c r="AR222" s="40"/>
      <c r="AS222" s="40"/>
      <c r="AT222" s="40"/>
      <c r="AU222" s="40"/>
      <c r="AV222" s="40"/>
      <c r="AW222" s="40"/>
      <c r="AX222" s="40"/>
      <c r="AY222" s="40"/>
      <c r="AZ222" s="40"/>
      <c r="BA222" s="5"/>
    </row>
    <row r="223" spans="1:53" ht="15" thickBot="1" x14ac:dyDescent="0.4">
      <c r="A223" s="30" t="s">
        <v>358</v>
      </c>
      <c r="B223" s="30" t="s">
        <v>359</v>
      </c>
      <c r="C223" s="30" t="s">
        <v>359</v>
      </c>
      <c r="D223" s="30" t="s">
        <v>359</v>
      </c>
      <c r="E223" s="30" t="s">
        <v>359</v>
      </c>
      <c r="F223" s="30" t="s">
        <v>359</v>
      </c>
      <c r="G223" s="30" t="s">
        <v>359</v>
      </c>
      <c r="H223" s="30" t="s">
        <v>359</v>
      </c>
      <c r="I223" s="263" t="s">
        <v>359</v>
      </c>
      <c r="J223" s="264" t="s">
        <v>1018</v>
      </c>
      <c r="K223" s="5" t="s">
        <v>854</v>
      </c>
      <c r="L223" s="5"/>
      <c r="M223" s="5" t="s">
        <v>445</v>
      </c>
      <c r="N223" s="5"/>
      <c r="O223" s="267"/>
      <c r="P223" s="410">
        <v>8060</v>
      </c>
      <c r="Q223" s="110"/>
      <c r="R223" s="110"/>
      <c r="S223" s="110"/>
      <c r="T223" s="110"/>
      <c r="U223" s="110"/>
      <c r="V223" s="121">
        <f t="shared" si="4"/>
        <v>8060</v>
      </c>
      <c r="W223" s="40"/>
      <c r="X223" s="40" t="s">
        <v>358</v>
      </c>
      <c r="Y223" s="40"/>
      <c r="Z223" s="40"/>
      <c r="AA223" s="40"/>
      <c r="AB223" s="40"/>
      <c r="AC223" s="40"/>
      <c r="AD223" s="40"/>
      <c r="AE223" s="40"/>
      <c r="AF223" s="40"/>
      <c r="AG223" s="40"/>
      <c r="AH223" s="40"/>
      <c r="AI223" s="40"/>
      <c r="AJ223" s="40"/>
      <c r="AK223" s="40"/>
      <c r="AL223" s="40"/>
      <c r="AM223" s="40"/>
      <c r="AN223" s="40"/>
      <c r="AO223" s="40"/>
      <c r="AP223" s="40"/>
      <c r="AQ223" s="40"/>
      <c r="AR223" s="40"/>
      <c r="AS223" s="40"/>
      <c r="AT223" s="40"/>
      <c r="AU223" s="40"/>
      <c r="AV223" s="40"/>
      <c r="AW223" s="40"/>
      <c r="AX223" s="40"/>
      <c r="AY223" s="40"/>
      <c r="AZ223" s="40"/>
      <c r="BA223" s="5"/>
    </row>
    <row r="224" spans="1:53" ht="15" thickBot="1" x14ac:dyDescent="0.4">
      <c r="A224" s="30" t="s">
        <v>358</v>
      </c>
      <c r="B224" s="30" t="s">
        <v>359</v>
      </c>
      <c r="C224" s="30" t="s">
        <v>359</v>
      </c>
      <c r="D224" s="30" t="s">
        <v>359</v>
      </c>
      <c r="E224" s="30" t="s">
        <v>359</v>
      </c>
      <c r="F224" s="30" t="s">
        <v>359</v>
      </c>
      <c r="G224" s="30" t="s">
        <v>359</v>
      </c>
      <c r="H224" s="30" t="s">
        <v>359</v>
      </c>
      <c r="I224" s="263" t="s">
        <v>359</v>
      </c>
      <c r="J224" s="264" t="s">
        <v>1018</v>
      </c>
      <c r="K224" s="5" t="s">
        <v>855</v>
      </c>
      <c r="L224" s="5"/>
      <c r="M224" s="5" t="s">
        <v>445</v>
      </c>
      <c r="N224" s="5"/>
      <c r="O224" s="267"/>
      <c r="P224" s="410">
        <v>858</v>
      </c>
      <c r="Q224" s="110"/>
      <c r="R224" s="110"/>
      <c r="S224" s="110"/>
      <c r="T224" s="110"/>
      <c r="U224" s="110"/>
      <c r="V224" s="121">
        <f t="shared" si="4"/>
        <v>858</v>
      </c>
      <c r="W224" s="40"/>
      <c r="X224" s="40" t="s">
        <v>358</v>
      </c>
      <c r="Y224" s="40"/>
      <c r="Z224" s="40"/>
      <c r="AA224" s="40"/>
      <c r="AB224" s="40"/>
      <c r="AC224" s="40"/>
      <c r="AD224" s="40"/>
      <c r="AE224" s="40"/>
      <c r="AF224" s="40"/>
      <c r="AG224" s="40"/>
      <c r="AH224" s="40"/>
      <c r="AI224" s="40"/>
      <c r="AJ224" s="40"/>
      <c r="AK224" s="40"/>
      <c r="AL224" s="40"/>
      <c r="AM224" s="40"/>
      <c r="AN224" s="40"/>
      <c r="AO224" s="40"/>
      <c r="AP224" s="40"/>
      <c r="AQ224" s="40"/>
      <c r="AR224" s="40"/>
      <c r="AS224" s="40"/>
      <c r="AT224" s="40"/>
      <c r="AU224" s="40"/>
      <c r="AV224" s="40"/>
      <c r="AW224" s="40"/>
      <c r="AX224" s="40"/>
      <c r="AY224" s="40"/>
      <c r="AZ224" s="40"/>
      <c r="BA224" s="5"/>
    </row>
    <row r="225" spans="1:53" ht="15" thickBot="1" x14ac:dyDescent="0.4">
      <c r="A225" s="30" t="s">
        <v>358</v>
      </c>
      <c r="B225" s="30" t="s">
        <v>359</v>
      </c>
      <c r="C225" s="30" t="s">
        <v>359</v>
      </c>
      <c r="D225" s="30" t="s">
        <v>359</v>
      </c>
      <c r="E225" s="30" t="s">
        <v>359</v>
      </c>
      <c r="F225" s="30" t="s">
        <v>359</v>
      </c>
      <c r="G225" s="30" t="s">
        <v>359</v>
      </c>
      <c r="H225" s="30" t="s">
        <v>359</v>
      </c>
      <c r="I225" s="263" t="s">
        <v>359</v>
      </c>
      <c r="J225" s="264" t="s">
        <v>1018</v>
      </c>
      <c r="K225" s="5" t="s">
        <v>856</v>
      </c>
      <c r="L225" s="5"/>
      <c r="M225" s="5" t="s">
        <v>445</v>
      </c>
      <c r="N225" s="5"/>
      <c r="O225" s="267"/>
      <c r="P225" s="410">
        <v>1650</v>
      </c>
      <c r="Q225" s="110"/>
      <c r="R225" s="110"/>
      <c r="S225" s="110"/>
      <c r="T225" s="110"/>
      <c r="U225" s="110"/>
      <c r="V225" s="121">
        <f t="shared" si="4"/>
        <v>1650</v>
      </c>
      <c r="W225" s="40"/>
      <c r="X225" s="40" t="s">
        <v>358</v>
      </c>
      <c r="Y225" s="40"/>
      <c r="Z225" s="40"/>
      <c r="AA225" s="40"/>
      <c r="AB225" s="40"/>
      <c r="AC225" s="40"/>
      <c r="AD225" s="40"/>
      <c r="AE225" s="40"/>
      <c r="AF225" s="40"/>
      <c r="AG225" s="40"/>
      <c r="AH225" s="40"/>
      <c r="AI225" s="40"/>
      <c r="AJ225" s="40"/>
      <c r="AK225" s="40"/>
      <c r="AL225" s="40"/>
      <c r="AM225" s="40"/>
      <c r="AN225" s="40"/>
      <c r="AO225" s="40"/>
      <c r="AP225" s="40"/>
      <c r="AQ225" s="40"/>
      <c r="AR225" s="40"/>
      <c r="AS225" s="40"/>
      <c r="AT225" s="40"/>
      <c r="AU225" s="40"/>
      <c r="AV225" s="40"/>
      <c r="AW225" s="40"/>
      <c r="AX225" s="40"/>
      <c r="AY225" s="40"/>
      <c r="AZ225" s="40"/>
      <c r="BA225" s="5"/>
    </row>
    <row r="226" spans="1:53" ht="15" thickBot="1" x14ac:dyDescent="0.4">
      <c r="A226" s="30" t="s">
        <v>358</v>
      </c>
      <c r="B226" s="30" t="s">
        <v>359</v>
      </c>
      <c r="C226" s="30" t="s">
        <v>359</v>
      </c>
      <c r="D226" s="30" t="s">
        <v>359</v>
      </c>
      <c r="E226" s="30" t="s">
        <v>359</v>
      </c>
      <c r="F226" s="30" t="s">
        <v>359</v>
      </c>
      <c r="G226" s="30" t="s">
        <v>359</v>
      </c>
      <c r="H226" s="30" t="s">
        <v>359</v>
      </c>
      <c r="I226" s="263" t="s">
        <v>359</v>
      </c>
      <c r="J226" s="264" t="s">
        <v>1018</v>
      </c>
      <c r="K226" s="5" t="s">
        <v>857</v>
      </c>
      <c r="L226" s="5"/>
      <c r="M226" s="5" t="s">
        <v>445</v>
      </c>
      <c r="N226" s="5"/>
      <c r="O226" s="267"/>
      <c r="P226" s="410">
        <v>6630</v>
      </c>
      <c r="Q226" s="110"/>
      <c r="R226" s="110"/>
      <c r="S226" s="110"/>
      <c r="T226" s="110"/>
      <c r="U226" s="110"/>
      <c r="V226" s="121">
        <f t="shared" si="4"/>
        <v>6630</v>
      </c>
      <c r="W226" s="40"/>
      <c r="X226" s="40" t="s">
        <v>358</v>
      </c>
      <c r="Y226" s="40"/>
      <c r="Z226" s="40"/>
      <c r="AA226" s="40"/>
      <c r="AB226" s="40"/>
      <c r="AC226" s="40"/>
      <c r="AD226" s="40"/>
      <c r="AE226" s="40"/>
      <c r="AF226" s="40"/>
      <c r="AG226" s="40"/>
      <c r="AH226" s="40"/>
      <c r="AI226" s="40"/>
      <c r="AJ226" s="40"/>
      <c r="AK226" s="40"/>
      <c r="AL226" s="40"/>
      <c r="AM226" s="40"/>
      <c r="AN226" s="40"/>
      <c r="AO226" s="40"/>
      <c r="AP226" s="40"/>
      <c r="AQ226" s="40"/>
      <c r="AR226" s="40"/>
      <c r="AS226" s="40"/>
      <c r="AT226" s="40"/>
      <c r="AU226" s="40"/>
      <c r="AV226" s="40"/>
      <c r="AW226" s="40"/>
      <c r="AX226" s="40"/>
      <c r="AY226" s="40"/>
      <c r="AZ226" s="40"/>
      <c r="BA226" s="5"/>
    </row>
    <row r="227" spans="1:53" ht="15" thickBot="1" x14ac:dyDescent="0.4">
      <c r="A227" s="30" t="s">
        <v>358</v>
      </c>
      <c r="B227" s="30" t="s">
        <v>359</v>
      </c>
      <c r="C227" s="30" t="s">
        <v>359</v>
      </c>
      <c r="D227" s="30" t="s">
        <v>359</v>
      </c>
      <c r="E227" s="30" t="s">
        <v>359</v>
      </c>
      <c r="F227" s="30" t="s">
        <v>359</v>
      </c>
      <c r="G227" s="30" t="s">
        <v>359</v>
      </c>
      <c r="H227" s="30" t="s">
        <v>359</v>
      </c>
      <c r="I227" s="263" t="s">
        <v>359</v>
      </c>
      <c r="J227" s="264" t="s">
        <v>1018</v>
      </c>
      <c r="K227" s="5" t="s">
        <v>858</v>
      </c>
      <c r="L227" s="5"/>
      <c r="M227" s="5" t="s">
        <v>445</v>
      </c>
      <c r="N227" s="5"/>
      <c r="O227" s="267"/>
      <c r="P227" s="410">
        <v>11100</v>
      </c>
      <c r="Q227" s="110"/>
      <c r="R227" s="110"/>
      <c r="S227" s="110"/>
      <c r="T227" s="110"/>
      <c r="U227" s="110"/>
      <c r="V227" s="121">
        <f t="shared" si="4"/>
        <v>11100</v>
      </c>
      <c r="W227" s="40"/>
      <c r="X227" s="40" t="s">
        <v>358</v>
      </c>
      <c r="Y227" s="40"/>
      <c r="Z227" s="40"/>
      <c r="AA227" s="40"/>
      <c r="AB227" s="40"/>
      <c r="AC227" s="40"/>
      <c r="AD227" s="40"/>
      <c r="AE227" s="40"/>
      <c r="AF227" s="40"/>
      <c r="AG227" s="40"/>
      <c r="AH227" s="40"/>
      <c r="AI227" s="40"/>
      <c r="AJ227" s="40"/>
      <c r="AK227" s="40"/>
      <c r="AL227" s="40"/>
      <c r="AM227" s="40"/>
      <c r="AN227" s="40"/>
      <c r="AO227" s="40"/>
      <c r="AP227" s="40"/>
      <c r="AQ227" s="40"/>
      <c r="AR227" s="40"/>
      <c r="AS227" s="40"/>
      <c r="AT227" s="40"/>
      <c r="AU227" s="40"/>
      <c r="AV227" s="40"/>
      <c r="AW227" s="40"/>
      <c r="AX227" s="40"/>
      <c r="AY227" s="40"/>
      <c r="AZ227" s="40"/>
      <c r="BA227" s="5"/>
    </row>
    <row r="228" spans="1:53" ht="15" thickBot="1" x14ac:dyDescent="0.4">
      <c r="A228" s="30" t="s">
        <v>358</v>
      </c>
      <c r="B228" s="30" t="s">
        <v>359</v>
      </c>
      <c r="C228" s="30" t="s">
        <v>359</v>
      </c>
      <c r="D228" s="30" t="s">
        <v>359</v>
      </c>
      <c r="E228" s="30" t="s">
        <v>359</v>
      </c>
      <c r="F228" s="30" t="s">
        <v>359</v>
      </c>
      <c r="G228" s="30" t="s">
        <v>359</v>
      </c>
      <c r="H228" s="30" t="s">
        <v>359</v>
      </c>
      <c r="I228" s="263" t="s">
        <v>359</v>
      </c>
      <c r="J228" s="264" t="s">
        <v>1018</v>
      </c>
      <c r="K228" s="5" t="s">
        <v>859</v>
      </c>
      <c r="L228" s="5"/>
      <c r="M228" s="5" t="s">
        <v>445</v>
      </c>
      <c r="N228" s="5"/>
      <c r="O228" s="267"/>
      <c r="P228" s="410">
        <v>8900</v>
      </c>
      <c r="Q228" s="110"/>
      <c r="R228" s="110"/>
      <c r="S228" s="110"/>
      <c r="T228" s="110"/>
      <c r="U228" s="110"/>
      <c r="V228" s="121">
        <f t="shared" si="4"/>
        <v>8900</v>
      </c>
      <c r="W228" s="40"/>
      <c r="X228" s="40" t="s">
        <v>358</v>
      </c>
      <c r="Y228" s="40"/>
      <c r="Z228" s="40"/>
      <c r="AA228" s="40"/>
      <c r="AB228" s="40"/>
      <c r="AC228" s="40"/>
      <c r="AD228" s="40"/>
      <c r="AE228" s="40"/>
      <c r="AF228" s="40"/>
      <c r="AG228" s="40"/>
      <c r="AH228" s="40"/>
      <c r="AI228" s="40"/>
      <c r="AJ228" s="40"/>
      <c r="AK228" s="40"/>
      <c r="AL228" s="40"/>
      <c r="AM228" s="40"/>
      <c r="AN228" s="40"/>
      <c r="AO228" s="40"/>
      <c r="AP228" s="40"/>
      <c r="AQ228" s="40"/>
      <c r="AR228" s="40"/>
      <c r="AS228" s="40"/>
      <c r="AT228" s="40"/>
      <c r="AU228" s="40"/>
      <c r="AV228" s="40"/>
      <c r="AW228" s="40"/>
      <c r="AX228" s="40"/>
      <c r="AY228" s="40"/>
      <c r="AZ228" s="40"/>
      <c r="BA228" s="5"/>
    </row>
    <row r="229" spans="1:53" ht="26.5" thickBot="1" x14ac:dyDescent="0.4">
      <c r="A229" s="30" t="s">
        <v>358</v>
      </c>
      <c r="B229" s="30" t="s">
        <v>359</v>
      </c>
      <c r="C229" s="30" t="s">
        <v>359</v>
      </c>
      <c r="D229" s="30" t="s">
        <v>359</v>
      </c>
      <c r="E229" s="30" t="s">
        <v>359</v>
      </c>
      <c r="F229" s="30" t="s">
        <v>359</v>
      </c>
      <c r="G229" s="30" t="s">
        <v>359</v>
      </c>
      <c r="H229" s="30" t="s">
        <v>359</v>
      </c>
      <c r="I229" s="263" t="s">
        <v>359</v>
      </c>
      <c r="J229" s="264" t="s">
        <v>1018</v>
      </c>
      <c r="K229" s="5" t="s">
        <v>860</v>
      </c>
      <c r="L229" s="5"/>
      <c r="M229" s="5" t="s">
        <v>445</v>
      </c>
      <c r="N229" s="5"/>
      <c r="O229" s="267"/>
      <c r="P229" s="410">
        <v>9540</v>
      </c>
      <c r="Q229" s="110"/>
      <c r="R229" s="110"/>
      <c r="S229" s="110"/>
      <c r="T229" s="110"/>
      <c r="U229" s="110"/>
      <c r="V229" s="121">
        <f t="shared" si="4"/>
        <v>9540</v>
      </c>
      <c r="W229" s="40"/>
      <c r="X229" s="40" t="s">
        <v>358</v>
      </c>
      <c r="Y229" s="40"/>
      <c r="Z229" s="40"/>
      <c r="AA229" s="40"/>
      <c r="AB229" s="40"/>
      <c r="AC229" s="40"/>
      <c r="AD229" s="40"/>
      <c r="AE229" s="40"/>
      <c r="AF229" s="40"/>
      <c r="AG229" s="40"/>
      <c r="AH229" s="40"/>
      <c r="AI229" s="40"/>
      <c r="AJ229" s="40"/>
      <c r="AK229" s="40"/>
      <c r="AL229" s="40"/>
      <c r="AM229" s="40"/>
      <c r="AN229" s="40"/>
      <c r="AO229" s="40"/>
      <c r="AP229" s="40"/>
      <c r="AQ229" s="40"/>
      <c r="AR229" s="40"/>
      <c r="AS229" s="40"/>
      <c r="AT229" s="40"/>
      <c r="AU229" s="40"/>
      <c r="AV229" s="40"/>
      <c r="AW229" s="40"/>
      <c r="AX229" s="40"/>
      <c r="AY229" s="40"/>
      <c r="AZ229" s="40"/>
      <c r="BA229" s="5"/>
    </row>
    <row r="230" spans="1:53" ht="26.5" thickBot="1" x14ac:dyDescent="0.4">
      <c r="A230" s="30" t="s">
        <v>358</v>
      </c>
      <c r="B230" s="30" t="s">
        <v>359</v>
      </c>
      <c r="C230" s="30" t="s">
        <v>359</v>
      </c>
      <c r="D230" s="30" t="s">
        <v>359</v>
      </c>
      <c r="E230" s="30" t="s">
        <v>359</v>
      </c>
      <c r="F230" s="30" t="s">
        <v>359</v>
      </c>
      <c r="G230" s="30" t="s">
        <v>359</v>
      </c>
      <c r="H230" s="30" t="s">
        <v>359</v>
      </c>
      <c r="I230" s="263" t="s">
        <v>359</v>
      </c>
      <c r="J230" s="264" t="s">
        <v>1018</v>
      </c>
      <c r="K230" s="5" t="s">
        <v>861</v>
      </c>
      <c r="L230" s="5"/>
      <c r="M230" s="5" t="s">
        <v>445</v>
      </c>
      <c r="N230" s="5"/>
      <c r="O230" s="267"/>
      <c r="P230" s="410">
        <v>9200</v>
      </c>
      <c r="Q230" s="110"/>
      <c r="R230" s="110"/>
      <c r="S230" s="110"/>
      <c r="T230" s="110"/>
      <c r="U230" s="110"/>
      <c r="V230" s="121">
        <f t="shared" si="4"/>
        <v>9200</v>
      </c>
      <c r="W230" s="40"/>
      <c r="X230" s="40" t="s">
        <v>358</v>
      </c>
      <c r="Y230" s="40"/>
      <c r="Z230" s="40"/>
      <c r="AA230" s="40"/>
      <c r="AB230" s="40"/>
      <c r="AC230" s="40"/>
      <c r="AD230" s="40"/>
      <c r="AE230" s="40"/>
      <c r="AF230" s="40"/>
      <c r="AG230" s="40"/>
      <c r="AH230" s="40"/>
      <c r="AI230" s="40"/>
      <c r="AJ230" s="40"/>
      <c r="AK230" s="40"/>
      <c r="AL230" s="40"/>
      <c r="AM230" s="40"/>
      <c r="AN230" s="40"/>
      <c r="AO230" s="40"/>
      <c r="AP230" s="40"/>
      <c r="AQ230" s="40"/>
      <c r="AR230" s="40"/>
      <c r="AS230" s="40"/>
      <c r="AT230" s="40"/>
      <c r="AU230" s="40"/>
      <c r="AV230" s="40"/>
      <c r="AW230" s="40"/>
      <c r="AX230" s="40"/>
      <c r="AY230" s="40"/>
      <c r="AZ230" s="40"/>
      <c r="BA230" s="5"/>
    </row>
    <row r="231" spans="1:53" ht="26.5" thickBot="1" x14ac:dyDescent="0.4">
      <c r="A231" s="30" t="s">
        <v>358</v>
      </c>
      <c r="B231" s="30" t="s">
        <v>359</v>
      </c>
      <c r="C231" s="30" t="s">
        <v>359</v>
      </c>
      <c r="D231" s="30" t="s">
        <v>359</v>
      </c>
      <c r="E231" s="30" t="s">
        <v>359</v>
      </c>
      <c r="F231" s="30" t="s">
        <v>359</v>
      </c>
      <c r="G231" s="30" t="s">
        <v>359</v>
      </c>
      <c r="H231" s="30" t="s">
        <v>359</v>
      </c>
      <c r="I231" s="263" t="s">
        <v>359</v>
      </c>
      <c r="J231" s="264" t="s">
        <v>1018</v>
      </c>
      <c r="K231" s="5" t="s">
        <v>862</v>
      </c>
      <c r="L231" s="5"/>
      <c r="M231" s="5" t="s">
        <v>445</v>
      </c>
      <c r="N231" s="5"/>
      <c r="O231" s="267"/>
      <c r="P231" s="410">
        <v>8550</v>
      </c>
      <c r="Q231" s="110"/>
      <c r="R231" s="110"/>
      <c r="S231" s="110"/>
      <c r="T231" s="110"/>
      <c r="U231" s="110"/>
      <c r="V231" s="121">
        <f t="shared" si="4"/>
        <v>8550</v>
      </c>
      <c r="W231" s="40"/>
      <c r="X231" s="40" t="s">
        <v>358</v>
      </c>
      <c r="Y231" s="40"/>
      <c r="Z231" s="40"/>
      <c r="AA231" s="40"/>
      <c r="AB231" s="40"/>
      <c r="AC231" s="40"/>
      <c r="AD231" s="40"/>
      <c r="AE231" s="40"/>
      <c r="AF231" s="40"/>
      <c r="AG231" s="40"/>
      <c r="AH231" s="40"/>
      <c r="AI231" s="40"/>
      <c r="AJ231" s="40"/>
      <c r="AK231" s="40"/>
      <c r="AL231" s="40"/>
      <c r="AM231" s="40"/>
      <c r="AN231" s="40"/>
      <c r="AO231" s="40"/>
      <c r="AP231" s="40"/>
      <c r="AQ231" s="40"/>
      <c r="AR231" s="40"/>
      <c r="AS231" s="40"/>
      <c r="AT231" s="40"/>
      <c r="AU231" s="40"/>
      <c r="AV231" s="40"/>
      <c r="AW231" s="40"/>
      <c r="AX231" s="40"/>
      <c r="AY231" s="40"/>
      <c r="AZ231" s="40"/>
      <c r="BA231" s="5"/>
    </row>
    <row r="232" spans="1:53" ht="26.5" thickBot="1" x14ac:dyDescent="0.4">
      <c r="A232" s="30" t="s">
        <v>358</v>
      </c>
      <c r="B232" s="30" t="s">
        <v>359</v>
      </c>
      <c r="C232" s="30" t="s">
        <v>359</v>
      </c>
      <c r="D232" s="30" t="s">
        <v>359</v>
      </c>
      <c r="E232" s="30" t="s">
        <v>359</v>
      </c>
      <c r="F232" s="30" t="s">
        <v>359</v>
      </c>
      <c r="G232" s="30" t="s">
        <v>359</v>
      </c>
      <c r="H232" s="30" t="s">
        <v>359</v>
      </c>
      <c r="I232" s="263" t="s">
        <v>359</v>
      </c>
      <c r="J232" s="264" t="s">
        <v>1018</v>
      </c>
      <c r="K232" s="5" t="s">
        <v>863</v>
      </c>
      <c r="L232" s="5"/>
      <c r="M232" s="5" t="s">
        <v>445</v>
      </c>
      <c r="N232" s="5"/>
      <c r="O232" s="267"/>
      <c r="P232" s="410">
        <v>7910</v>
      </c>
      <c r="Q232" s="110"/>
      <c r="R232" s="110"/>
      <c r="S232" s="110"/>
      <c r="T232" s="110"/>
      <c r="U232" s="110"/>
      <c r="V232" s="121">
        <f t="shared" si="4"/>
        <v>7910</v>
      </c>
      <c r="W232" s="40"/>
      <c r="X232" s="40" t="s">
        <v>358</v>
      </c>
      <c r="Y232" s="40"/>
      <c r="Z232" s="40"/>
      <c r="AA232" s="40"/>
      <c r="AB232" s="40"/>
      <c r="AC232" s="40"/>
      <c r="AD232" s="40"/>
      <c r="AE232" s="40"/>
      <c r="AF232" s="40"/>
      <c r="AG232" s="40"/>
      <c r="AH232" s="40"/>
      <c r="AI232" s="40"/>
      <c r="AJ232" s="40"/>
      <c r="AK232" s="40"/>
      <c r="AL232" s="40"/>
      <c r="AM232" s="40"/>
      <c r="AN232" s="40"/>
      <c r="AO232" s="40"/>
      <c r="AP232" s="40"/>
      <c r="AQ232" s="40"/>
      <c r="AR232" s="40"/>
      <c r="AS232" s="40"/>
      <c r="AT232" s="40"/>
      <c r="AU232" s="40"/>
      <c r="AV232" s="40"/>
      <c r="AW232" s="40"/>
      <c r="AX232" s="40"/>
      <c r="AY232" s="40"/>
      <c r="AZ232" s="40"/>
      <c r="BA232" s="5"/>
    </row>
    <row r="233" spans="1:53" ht="15" thickBot="1" x14ac:dyDescent="0.4">
      <c r="A233" s="30" t="s">
        <v>358</v>
      </c>
      <c r="B233" s="30" t="s">
        <v>359</v>
      </c>
      <c r="C233" s="30" t="s">
        <v>359</v>
      </c>
      <c r="D233" s="30" t="s">
        <v>359</v>
      </c>
      <c r="E233" s="30" t="s">
        <v>359</v>
      </c>
      <c r="F233" s="30" t="s">
        <v>359</v>
      </c>
      <c r="G233" s="30" t="s">
        <v>359</v>
      </c>
      <c r="H233" s="30" t="s">
        <v>359</v>
      </c>
      <c r="I233" s="263" t="s">
        <v>359</v>
      </c>
      <c r="J233" s="264" t="s">
        <v>1018</v>
      </c>
      <c r="K233" s="5" t="s">
        <v>864</v>
      </c>
      <c r="L233" s="5"/>
      <c r="M233" s="5" t="s">
        <v>445</v>
      </c>
      <c r="N233" s="5"/>
      <c r="O233" s="267"/>
      <c r="P233" s="410">
        <v>7190</v>
      </c>
      <c r="Q233" s="110"/>
      <c r="R233" s="110"/>
      <c r="S233" s="110"/>
      <c r="T233" s="110"/>
      <c r="U233" s="110"/>
      <c r="V233" s="121">
        <f t="shared" si="4"/>
        <v>7190</v>
      </c>
      <c r="W233" s="40"/>
      <c r="X233" s="40" t="s">
        <v>358</v>
      </c>
      <c r="Y233" s="40"/>
      <c r="Z233" s="40"/>
      <c r="AA233" s="40"/>
      <c r="AB233" s="40"/>
      <c r="AC233" s="40"/>
      <c r="AD233" s="40"/>
      <c r="AE233" s="40"/>
      <c r="AF233" s="40"/>
      <c r="AG233" s="40"/>
      <c r="AH233" s="40"/>
      <c r="AI233" s="40"/>
      <c r="AJ233" s="40"/>
      <c r="AK233" s="40"/>
      <c r="AL233" s="40"/>
      <c r="AM233" s="40"/>
      <c r="AN233" s="40"/>
      <c r="AO233" s="40"/>
      <c r="AP233" s="40"/>
      <c r="AQ233" s="40"/>
      <c r="AR233" s="40"/>
      <c r="AS233" s="40"/>
      <c r="AT233" s="40"/>
      <c r="AU233" s="40"/>
      <c r="AV233" s="40"/>
      <c r="AW233" s="40"/>
      <c r="AX233" s="40"/>
      <c r="AY233" s="40"/>
      <c r="AZ233" s="40"/>
      <c r="BA233" s="5"/>
    </row>
    <row r="234" spans="1:53" ht="15" thickBot="1" x14ac:dyDescent="0.4">
      <c r="A234" s="30" t="s">
        <v>358</v>
      </c>
      <c r="B234" s="30" t="s">
        <v>359</v>
      </c>
      <c r="C234" s="30" t="s">
        <v>359</v>
      </c>
      <c r="D234" s="30" t="s">
        <v>359</v>
      </c>
      <c r="E234" s="30" t="s">
        <v>359</v>
      </c>
      <c r="F234" s="30" t="s">
        <v>359</v>
      </c>
      <c r="G234" s="30" t="s">
        <v>359</v>
      </c>
      <c r="H234" s="30" t="s">
        <v>359</v>
      </c>
      <c r="I234" s="263" t="s">
        <v>359</v>
      </c>
      <c r="J234" s="264" t="s">
        <v>1018</v>
      </c>
      <c r="K234" s="5" t="s">
        <v>865</v>
      </c>
      <c r="L234" s="5"/>
      <c r="M234" s="5" t="s">
        <v>445</v>
      </c>
      <c r="N234" s="5"/>
      <c r="O234" s="267"/>
      <c r="P234" s="410">
        <v>9200</v>
      </c>
      <c r="Q234" s="110"/>
      <c r="R234" s="110"/>
      <c r="S234" s="110"/>
      <c r="T234" s="110"/>
      <c r="U234" s="110"/>
      <c r="V234" s="121">
        <f t="shared" si="4"/>
        <v>9200</v>
      </c>
      <c r="W234" s="40"/>
      <c r="X234" s="40" t="s">
        <v>358</v>
      </c>
      <c r="Y234" s="40"/>
      <c r="Z234" s="40"/>
      <c r="AA234" s="40"/>
      <c r="AB234" s="40"/>
      <c r="AC234" s="40"/>
      <c r="AD234" s="40"/>
      <c r="AE234" s="40"/>
      <c r="AF234" s="40"/>
      <c r="AG234" s="40"/>
      <c r="AH234" s="40"/>
      <c r="AI234" s="40"/>
      <c r="AJ234" s="40"/>
      <c r="AK234" s="40"/>
      <c r="AL234" s="40"/>
      <c r="AM234" s="40"/>
      <c r="AN234" s="40"/>
      <c r="AO234" s="40"/>
      <c r="AP234" s="40"/>
      <c r="AQ234" s="40"/>
      <c r="AR234" s="40"/>
      <c r="AS234" s="40"/>
      <c r="AT234" s="40"/>
      <c r="AU234" s="40"/>
      <c r="AV234" s="40"/>
      <c r="AW234" s="40"/>
      <c r="AX234" s="40"/>
      <c r="AY234" s="40"/>
      <c r="AZ234" s="40"/>
      <c r="BA234" s="5"/>
    </row>
    <row r="235" spans="1:53" ht="15" thickBot="1" x14ac:dyDescent="0.4">
      <c r="A235" s="30" t="s">
        <v>358</v>
      </c>
      <c r="B235" s="30" t="s">
        <v>359</v>
      </c>
      <c r="C235" s="30" t="s">
        <v>359</v>
      </c>
      <c r="D235" s="30" t="s">
        <v>359</v>
      </c>
      <c r="E235" s="30" t="s">
        <v>359</v>
      </c>
      <c r="F235" s="30" t="s">
        <v>359</v>
      </c>
      <c r="G235" s="30" t="s">
        <v>359</v>
      </c>
      <c r="H235" s="30" t="s">
        <v>359</v>
      </c>
      <c r="I235" s="263" t="s">
        <v>359</v>
      </c>
      <c r="J235" s="264" t="s">
        <v>1018</v>
      </c>
      <c r="K235" s="5" t="s">
        <v>866</v>
      </c>
      <c r="L235" s="5"/>
      <c r="M235" s="5" t="s">
        <v>445</v>
      </c>
      <c r="N235" s="5"/>
      <c r="O235" s="267"/>
      <c r="P235" s="410">
        <v>23500</v>
      </c>
      <c r="Q235" s="110"/>
      <c r="R235" s="110"/>
      <c r="S235" s="110"/>
      <c r="T235" s="110"/>
      <c r="U235" s="110"/>
      <c r="V235" s="121">
        <f t="shared" si="4"/>
        <v>23500</v>
      </c>
      <c r="W235" s="40"/>
      <c r="X235" s="40" t="s">
        <v>358</v>
      </c>
      <c r="Y235" s="40"/>
      <c r="Z235" s="40"/>
      <c r="AA235" s="40"/>
      <c r="AB235" s="40"/>
      <c r="AC235" s="40"/>
      <c r="AD235" s="40"/>
      <c r="AE235" s="40"/>
      <c r="AF235" s="40"/>
      <c r="AG235" s="40"/>
      <c r="AH235" s="40"/>
      <c r="AI235" s="40"/>
      <c r="AJ235" s="40"/>
      <c r="AK235" s="40"/>
      <c r="AL235" s="40"/>
      <c r="AM235" s="40"/>
      <c r="AN235" s="40"/>
      <c r="AO235" s="40"/>
      <c r="AP235" s="40"/>
      <c r="AQ235" s="40"/>
      <c r="AR235" s="40"/>
      <c r="AS235" s="40"/>
      <c r="AT235" s="40"/>
      <c r="AU235" s="40"/>
      <c r="AV235" s="40"/>
      <c r="AW235" s="40"/>
      <c r="AX235" s="40"/>
      <c r="AY235" s="40"/>
      <c r="AZ235" s="40"/>
      <c r="BA235" s="5"/>
    </row>
    <row r="236" spans="1:53" ht="15" thickBot="1" x14ac:dyDescent="0.4">
      <c r="A236" s="30" t="s">
        <v>358</v>
      </c>
      <c r="B236" s="30" t="s">
        <v>359</v>
      </c>
      <c r="C236" s="30" t="s">
        <v>359</v>
      </c>
      <c r="D236" s="30" t="s">
        <v>359</v>
      </c>
      <c r="E236" s="30" t="s">
        <v>359</v>
      </c>
      <c r="F236" s="30" t="s">
        <v>359</v>
      </c>
      <c r="G236" s="30" t="s">
        <v>359</v>
      </c>
      <c r="H236" s="30" t="s">
        <v>359</v>
      </c>
      <c r="I236" s="263" t="s">
        <v>359</v>
      </c>
      <c r="J236" s="264" t="s">
        <v>1018</v>
      </c>
      <c r="K236" s="5" t="s">
        <v>867</v>
      </c>
      <c r="L236" s="5"/>
      <c r="M236" s="5" t="s">
        <v>445</v>
      </c>
      <c r="N236" s="5"/>
      <c r="O236" s="267"/>
      <c r="P236" s="410">
        <v>16</v>
      </c>
      <c r="Q236" s="110"/>
      <c r="R236" s="110"/>
      <c r="S236" s="110"/>
      <c r="T236" s="110"/>
      <c r="U236" s="110"/>
      <c r="V236" s="121">
        <f t="shared" si="4"/>
        <v>16</v>
      </c>
      <c r="W236" s="40"/>
      <c r="X236" s="40" t="s">
        <v>358</v>
      </c>
      <c r="Y236" s="40"/>
      <c r="Z236" s="40"/>
      <c r="AA236" s="40"/>
      <c r="AB236" s="40"/>
      <c r="AC236" s="40"/>
      <c r="AD236" s="40"/>
      <c r="AE236" s="40"/>
      <c r="AF236" s="40"/>
      <c r="AG236" s="40"/>
      <c r="AH236" s="40"/>
      <c r="AI236" s="40"/>
      <c r="AJ236" s="40"/>
      <c r="AK236" s="40"/>
      <c r="AL236" s="40"/>
      <c r="AM236" s="40"/>
      <c r="AN236" s="40"/>
      <c r="AO236" s="40"/>
      <c r="AP236" s="40"/>
      <c r="AQ236" s="40"/>
      <c r="AR236" s="40"/>
      <c r="AS236" s="40"/>
      <c r="AT236" s="40"/>
      <c r="AU236" s="40"/>
      <c r="AV236" s="40"/>
      <c r="AW236" s="40"/>
      <c r="AX236" s="40"/>
      <c r="AY236" s="40"/>
      <c r="AZ236" s="40"/>
      <c r="BA236" s="5"/>
    </row>
    <row r="237" spans="1:53" ht="15" thickBot="1" x14ac:dyDescent="0.4">
      <c r="A237" s="30" t="s">
        <v>358</v>
      </c>
      <c r="B237" s="30" t="s">
        <v>359</v>
      </c>
      <c r="C237" s="30" t="s">
        <v>359</v>
      </c>
      <c r="D237" s="30" t="s">
        <v>359</v>
      </c>
      <c r="E237" s="30" t="s">
        <v>359</v>
      </c>
      <c r="F237" s="30" t="s">
        <v>359</v>
      </c>
      <c r="G237" s="30" t="s">
        <v>359</v>
      </c>
      <c r="H237" s="30" t="s">
        <v>359</v>
      </c>
      <c r="I237" s="263" t="s">
        <v>359</v>
      </c>
      <c r="J237" s="264" t="s">
        <v>1018</v>
      </c>
      <c r="K237" s="5" t="s">
        <v>868</v>
      </c>
      <c r="L237" s="5"/>
      <c r="M237" s="5" t="s">
        <v>445</v>
      </c>
      <c r="N237" s="5"/>
      <c r="O237" s="267"/>
      <c r="P237" s="410">
        <v>4</v>
      </c>
      <c r="Q237" s="110"/>
      <c r="R237" s="110"/>
      <c r="S237" s="110"/>
      <c r="T237" s="110"/>
      <c r="U237" s="110"/>
      <c r="V237" s="121">
        <f t="shared" si="4"/>
        <v>4</v>
      </c>
      <c r="W237" s="40"/>
      <c r="X237" s="40" t="s">
        <v>358</v>
      </c>
      <c r="Y237" s="40"/>
      <c r="Z237" s="40"/>
      <c r="AA237" s="40"/>
      <c r="AB237" s="40"/>
      <c r="AC237" s="40"/>
      <c r="AD237" s="40"/>
      <c r="AE237" s="40"/>
      <c r="AF237" s="40"/>
      <c r="AG237" s="40"/>
      <c r="AH237" s="40"/>
      <c r="AI237" s="40"/>
      <c r="AJ237" s="40"/>
      <c r="AK237" s="40"/>
      <c r="AL237" s="40"/>
      <c r="AM237" s="40"/>
      <c r="AN237" s="40"/>
      <c r="AO237" s="40"/>
      <c r="AP237" s="40"/>
      <c r="AQ237" s="40"/>
      <c r="AR237" s="40"/>
      <c r="AS237" s="40"/>
      <c r="AT237" s="40"/>
      <c r="AU237" s="40"/>
      <c r="AV237" s="40"/>
      <c r="AW237" s="40"/>
      <c r="AX237" s="40"/>
      <c r="AY237" s="40"/>
      <c r="AZ237" s="40"/>
      <c r="BA237" s="5"/>
    </row>
    <row r="238" spans="1:53" ht="15" thickBot="1" x14ac:dyDescent="0.4">
      <c r="A238" s="30" t="s">
        <v>358</v>
      </c>
      <c r="B238" s="30" t="s">
        <v>359</v>
      </c>
      <c r="C238" s="30" t="s">
        <v>359</v>
      </c>
      <c r="D238" s="30" t="s">
        <v>359</v>
      </c>
      <c r="E238" s="30" t="s">
        <v>359</v>
      </c>
      <c r="F238" s="30" t="s">
        <v>359</v>
      </c>
      <c r="G238" s="30" t="s">
        <v>359</v>
      </c>
      <c r="H238" s="30" t="s">
        <v>359</v>
      </c>
      <c r="I238" s="263" t="s">
        <v>359</v>
      </c>
      <c r="J238" s="264" t="s">
        <v>1018</v>
      </c>
      <c r="K238" s="5" t="s">
        <v>869</v>
      </c>
      <c r="L238" s="5"/>
      <c r="M238" s="5" t="s">
        <v>445</v>
      </c>
      <c r="N238" s="5"/>
      <c r="O238" s="267"/>
      <c r="P238" s="410">
        <v>1210</v>
      </c>
      <c r="Q238" s="110"/>
      <c r="R238" s="110"/>
      <c r="S238" s="110"/>
      <c r="T238" s="110"/>
      <c r="U238" s="110"/>
      <c r="V238" s="121">
        <f t="shared" si="4"/>
        <v>1210</v>
      </c>
      <c r="W238" s="40"/>
      <c r="X238" s="40" t="s">
        <v>358</v>
      </c>
      <c r="Y238" s="40"/>
      <c r="Z238" s="40"/>
      <c r="AA238" s="40"/>
      <c r="AB238" s="40"/>
      <c r="AC238" s="40"/>
      <c r="AD238" s="40"/>
      <c r="AE238" s="40"/>
      <c r="AF238" s="40"/>
      <c r="AG238" s="40"/>
      <c r="AH238" s="40"/>
      <c r="AI238" s="40"/>
      <c r="AJ238" s="40"/>
      <c r="AK238" s="40"/>
      <c r="AL238" s="40"/>
      <c r="AM238" s="40"/>
      <c r="AN238" s="40"/>
      <c r="AO238" s="40"/>
      <c r="AP238" s="40"/>
      <c r="AQ238" s="40"/>
      <c r="AR238" s="40"/>
      <c r="AS238" s="40"/>
      <c r="AT238" s="40"/>
      <c r="AU238" s="40"/>
      <c r="AV238" s="40"/>
      <c r="AW238" s="40"/>
      <c r="AX238" s="40"/>
      <c r="AY238" s="40"/>
      <c r="AZ238" s="40"/>
      <c r="BA238" s="5"/>
    </row>
    <row r="239" spans="1:53" ht="15" thickBot="1" x14ac:dyDescent="0.4">
      <c r="A239" s="30" t="s">
        <v>358</v>
      </c>
      <c r="B239" s="30" t="s">
        <v>359</v>
      </c>
      <c r="C239" s="30" t="s">
        <v>359</v>
      </c>
      <c r="D239" s="30" t="s">
        <v>359</v>
      </c>
      <c r="E239" s="30" t="s">
        <v>359</v>
      </c>
      <c r="F239" s="30" t="s">
        <v>359</v>
      </c>
      <c r="G239" s="30" t="s">
        <v>359</v>
      </c>
      <c r="H239" s="30" t="s">
        <v>359</v>
      </c>
      <c r="I239" s="263" t="s">
        <v>359</v>
      </c>
      <c r="J239" s="264" t="s">
        <v>1018</v>
      </c>
      <c r="K239" s="5" t="s">
        <v>870</v>
      </c>
      <c r="L239" s="5"/>
      <c r="M239" s="5" t="s">
        <v>445</v>
      </c>
      <c r="N239" s="5"/>
      <c r="O239" s="267"/>
      <c r="P239" s="410">
        <v>1330</v>
      </c>
      <c r="Q239" s="110"/>
      <c r="R239" s="110"/>
      <c r="S239" s="110"/>
      <c r="T239" s="110"/>
      <c r="U239" s="110"/>
      <c r="V239" s="121">
        <f t="shared" si="4"/>
        <v>1330</v>
      </c>
      <c r="W239" s="40"/>
      <c r="X239" s="40" t="s">
        <v>358</v>
      </c>
      <c r="Y239" s="40"/>
      <c r="Z239" s="40"/>
      <c r="AA239" s="40"/>
      <c r="AB239" s="40"/>
      <c r="AC239" s="40"/>
      <c r="AD239" s="40"/>
      <c r="AE239" s="40"/>
      <c r="AF239" s="40"/>
      <c r="AG239" s="40"/>
      <c r="AH239" s="40"/>
      <c r="AI239" s="40"/>
      <c r="AJ239" s="40"/>
      <c r="AK239" s="40"/>
      <c r="AL239" s="40"/>
      <c r="AM239" s="40"/>
      <c r="AN239" s="40"/>
      <c r="AO239" s="40"/>
      <c r="AP239" s="40"/>
      <c r="AQ239" s="40"/>
      <c r="AR239" s="40"/>
      <c r="AS239" s="40"/>
      <c r="AT239" s="40"/>
      <c r="AU239" s="40"/>
      <c r="AV239" s="40"/>
      <c r="AW239" s="40"/>
      <c r="AX239" s="40"/>
      <c r="AY239" s="40"/>
      <c r="AZ239" s="40"/>
      <c r="BA239" s="5"/>
    </row>
    <row r="240" spans="1:53" ht="15" thickBot="1" x14ac:dyDescent="0.4">
      <c r="A240" s="30" t="s">
        <v>358</v>
      </c>
      <c r="B240" s="30" t="s">
        <v>359</v>
      </c>
      <c r="C240" s="30" t="s">
        <v>359</v>
      </c>
      <c r="D240" s="30" t="s">
        <v>359</v>
      </c>
      <c r="E240" s="30" t="s">
        <v>359</v>
      </c>
      <c r="F240" s="30" t="s">
        <v>359</v>
      </c>
      <c r="G240" s="30" t="s">
        <v>359</v>
      </c>
      <c r="H240" s="30" t="s">
        <v>359</v>
      </c>
      <c r="I240" s="263" t="s">
        <v>359</v>
      </c>
      <c r="J240" s="264" t="s">
        <v>1018</v>
      </c>
      <c r="K240" s="5" t="s">
        <v>871</v>
      </c>
      <c r="L240" s="5"/>
      <c r="M240" s="5" t="s">
        <v>445</v>
      </c>
      <c r="N240" s="5"/>
      <c r="O240" s="267"/>
      <c r="P240" s="410">
        <v>716</v>
      </c>
      <c r="Q240" s="110"/>
      <c r="R240" s="110"/>
      <c r="S240" s="110"/>
      <c r="T240" s="110"/>
      <c r="U240" s="110"/>
      <c r="V240" s="121">
        <f t="shared" si="4"/>
        <v>716</v>
      </c>
      <c r="W240" s="40"/>
      <c r="X240" s="40" t="s">
        <v>358</v>
      </c>
      <c r="Y240" s="40"/>
      <c r="Z240" s="40"/>
      <c r="AA240" s="40"/>
      <c r="AB240" s="40"/>
      <c r="AC240" s="40"/>
      <c r="AD240" s="40"/>
      <c r="AE240" s="40"/>
      <c r="AF240" s="40"/>
      <c r="AG240" s="40"/>
      <c r="AH240" s="40"/>
      <c r="AI240" s="40"/>
      <c r="AJ240" s="40"/>
      <c r="AK240" s="40"/>
      <c r="AL240" s="40"/>
      <c r="AM240" s="40"/>
      <c r="AN240" s="40"/>
      <c r="AO240" s="40"/>
      <c r="AP240" s="40"/>
      <c r="AQ240" s="40"/>
      <c r="AR240" s="40"/>
      <c r="AS240" s="40"/>
      <c r="AT240" s="40"/>
      <c r="AU240" s="40"/>
      <c r="AV240" s="40"/>
      <c r="AW240" s="40"/>
      <c r="AX240" s="40"/>
      <c r="AY240" s="40"/>
      <c r="AZ240" s="40"/>
      <c r="BA240" s="5"/>
    </row>
    <row r="241" spans="1:53" ht="15" thickBot="1" x14ac:dyDescent="0.4">
      <c r="A241" s="30" t="s">
        <v>358</v>
      </c>
      <c r="B241" s="30" t="s">
        <v>359</v>
      </c>
      <c r="C241" s="30" t="s">
        <v>359</v>
      </c>
      <c r="D241" s="30" t="s">
        <v>359</v>
      </c>
      <c r="E241" s="30" t="s">
        <v>359</v>
      </c>
      <c r="F241" s="30" t="s">
        <v>359</v>
      </c>
      <c r="G241" s="30" t="s">
        <v>359</v>
      </c>
      <c r="H241" s="30" t="s">
        <v>359</v>
      </c>
      <c r="I241" s="263" t="s">
        <v>359</v>
      </c>
      <c r="J241" s="264" t="s">
        <v>1018</v>
      </c>
      <c r="K241" s="5" t="s">
        <v>872</v>
      </c>
      <c r="L241" s="5"/>
      <c r="M241" s="5" t="s">
        <v>445</v>
      </c>
      <c r="N241" s="5"/>
      <c r="O241" s="267"/>
      <c r="P241" s="410">
        <v>804</v>
      </c>
      <c r="Q241" s="110"/>
      <c r="R241" s="110"/>
      <c r="S241" s="110"/>
      <c r="T241" s="110"/>
      <c r="U241" s="110"/>
      <c r="V241" s="121">
        <f t="shared" si="4"/>
        <v>804</v>
      </c>
      <c r="W241" s="40"/>
      <c r="X241" s="40" t="s">
        <v>358</v>
      </c>
      <c r="Y241" s="40"/>
      <c r="Z241" s="40"/>
      <c r="AA241" s="40"/>
      <c r="AB241" s="40"/>
      <c r="AC241" s="40"/>
      <c r="AD241" s="40"/>
      <c r="AE241" s="40"/>
      <c r="AF241" s="40"/>
      <c r="AG241" s="40"/>
      <c r="AH241" s="40"/>
      <c r="AI241" s="40"/>
      <c r="AJ241" s="40"/>
      <c r="AK241" s="40"/>
      <c r="AL241" s="40"/>
      <c r="AM241" s="40"/>
      <c r="AN241" s="40"/>
      <c r="AO241" s="40"/>
      <c r="AP241" s="40"/>
      <c r="AQ241" s="40"/>
      <c r="AR241" s="40"/>
      <c r="AS241" s="40"/>
      <c r="AT241" s="40"/>
      <c r="AU241" s="40"/>
      <c r="AV241" s="40"/>
      <c r="AW241" s="40"/>
      <c r="AX241" s="40"/>
      <c r="AY241" s="40"/>
      <c r="AZ241" s="40"/>
      <c r="BA241" s="5"/>
    </row>
    <row r="242" spans="1:53" ht="15" thickBot="1" x14ac:dyDescent="0.4">
      <c r="A242" s="30" t="s">
        <v>358</v>
      </c>
      <c r="B242" s="30" t="s">
        <v>359</v>
      </c>
      <c r="C242" s="30" t="s">
        <v>359</v>
      </c>
      <c r="D242" s="30" t="s">
        <v>359</v>
      </c>
      <c r="E242" s="30" t="s">
        <v>359</v>
      </c>
      <c r="F242" s="30" t="s">
        <v>359</v>
      </c>
      <c r="G242" s="30" t="s">
        <v>359</v>
      </c>
      <c r="H242" s="30" t="s">
        <v>359</v>
      </c>
      <c r="I242" s="263" t="s">
        <v>359</v>
      </c>
      <c r="J242" s="264" t="s">
        <v>1018</v>
      </c>
      <c r="K242" s="5" t="s">
        <v>873</v>
      </c>
      <c r="L242" s="5"/>
      <c r="M242" s="5" t="s">
        <v>445</v>
      </c>
      <c r="N242" s="5"/>
      <c r="O242" s="267"/>
      <c r="P242" s="411">
        <v>16100</v>
      </c>
      <c r="Q242" s="110"/>
      <c r="R242" s="110"/>
      <c r="S242" s="110"/>
      <c r="T242" s="110"/>
      <c r="U242" s="110"/>
      <c r="V242" s="121">
        <f t="shared" si="4"/>
        <v>16100</v>
      </c>
      <c r="W242" s="40"/>
      <c r="X242" s="40" t="s">
        <v>358</v>
      </c>
      <c r="Y242" s="40"/>
      <c r="Z242" s="40"/>
      <c r="AA242" s="40"/>
      <c r="AB242" s="40"/>
      <c r="AC242" s="40"/>
      <c r="AD242" s="40"/>
      <c r="AE242" s="40"/>
      <c r="AF242" s="40"/>
      <c r="AG242" s="40"/>
      <c r="AH242" s="40"/>
      <c r="AI242" s="40"/>
      <c r="AJ242" s="40"/>
      <c r="AK242" s="40"/>
      <c r="AL242" s="40"/>
      <c r="AM242" s="40"/>
      <c r="AN242" s="40"/>
      <c r="AO242" s="40"/>
      <c r="AP242" s="40"/>
      <c r="AQ242" s="40"/>
      <c r="AR242" s="40"/>
      <c r="AS242" s="40"/>
      <c r="AT242" s="40"/>
      <c r="AU242" s="40"/>
      <c r="AV242" s="40"/>
      <c r="AW242" s="40"/>
      <c r="AX242" s="40"/>
      <c r="AY242" s="40"/>
      <c r="AZ242" s="40"/>
      <c r="BA242" s="5"/>
    </row>
    <row r="243" spans="1:53" ht="15" thickBot="1" x14ac:dyDescent="0.4">
      <c r="A243" s="30" t="s">
        <v>358</v>
      </c>
      <c r="B243" s="30" t="s">
        <v>359</v>
      </c>
      <c r="C243" s="30" t="s">
        <v>359</v>
      </c>
      <c r="D243" s="30" t="s">
        <v>359</v>
      </c>
      <c r="E243" s="30" t="s">
        <v>359</v>
      </c>
      <c r="F243" s="30" t="s">
        <v>359</v>
      </c>
      <c r="G243" s="30" t="s">
        <v>359</v>
      </c>
      <c r="H243" s="30" t="s">
        <v>359</v>
      </c>
      <c r="I243" s="263" t="s">
        <v>359</v>
      </c>
      <c r="J243" s="264" t="s">
        <v>1018</v>
      </c>
      <c r="K243" s="5" t="s">
        <v>874</v>
      </c>
      <c r="L243" s="5"/>
      <c r="M243" s="5" t="s">
        <v>445</v>
      </c>
      <c r="N243" s="5"/>
      <c r="O243" s="5"/>
      <c r="P243" s="412">
        <v>1130</v>
      </c>
      <c r="Q243" s="110"/>
      <c r="R243" s="110"/>
      <c r="S243" s="110"/>
      <c r="T243" s="110"/>
      <c r="U243" s="110"/>
      <c r="V243" s="121">
        <f t="shared" si="4"/>
        <v>1130</v>
      </c>
      <c r="W243" s="40"/>
      <c r="X243" s="40" t="s">
        <v>358</v>
      </c>
      <c r="Y243" s="40"/>
      <c r="Z243" s="40"/>
      <c r="AA243" s="40"/>
      <c r="AB243" s="40"/>
      <c r="AC243" s="40"/>
      <c r="AD243" s="40"/>
      <c r="AE243" s="40"/>
      <c r="AF243" s="40"/>
      <c r="AG243" s="40"/>
      <c r="AH243" s="40"/>
      <c r="AI243" s="40"/>
      <c r="AJ243" s="40"/>
      <c r="AK243" s="40"/>
      <c r="AL243" s="40"/>
      <c r="AM243" s="40"/>
      <c r="AN243" s="40"/>
      <c r="AO243" s="40"/>
      <c r="AP243" s="40"/>
      <c r="AQ243" s="40"/>
      <c r="AR243" s="40"/>
      <c r="AS243" s="40"/>
      <c r="AT243" s="40"/>
      <c r="AU243" s="40"/>
      <c r="AV243" s="40"/>
      <c r="AW243" s="40"/>
      <c r="AX243" s="40"/>
      <c r="AY243" s="40"/>
      <c r="AZ243" s="40"/>
      <c r="BA243" s="5"/>
    </row>
    <row r="244" spans="1:53" ht="15" thickBot="1" x14ac:dyDescent="0.4">
      <c r="A244" s="30" t="s">
        <v>358</v>
      </c>
      <c r="B244" s="30" t="s">
        <v>359</v>
      </c>
      <c r="C244" s="30" t="s">
        <v>359</v>
      </c>
      <c r="D244" s="30" t="s">
        <v>359</v>
      </c>
      <c r="E244" s="30" t="s">
        <v>359</v>
      </c>
      <c r="F244" s="30" t="s">
        <v>359</v>
      </c>
      <c r="G244" s="30" t="s">
        <v>359</v>
      </c>
      <c r="H244" s="30" t="s">
        <v>359</v>
      </c>
      <c r="I244" s="263" t="s">
        <v>359</v>
      </c>
      <c r="J244" s="264" t="s">
        <v>1018</v>
      </c>
      <c r="K244" s="5" t="s">
        <v>875</v>
      </c>
      <c r="L244" s="5"/>
      <c r="M244" s="5" t="s">
        <v>445</v>
      </c>
      <c r="N244" s="5"/>
      <c r="O244" s="5"/>
      <c r="P244" s="412">
        <v>1236</v>
      </c>
      <c r="Q244" s="110"/>
      <c r="R244" s="110"/>
      <c r="S244" s="110"/>
      <c r="T244" s="110"/>
      <c r="U244" s="110"/>
      <c r="V244" s="121">
        <f t="shared" si="4"/>
        <v>1236</v>
      </c>
      <c r="W244" s="40"/>
      <c r="X244" s="40" t="s">
        <v>358</v>
      </c>
      <c r="Y244" s="40"/>
      <c r="Z244" s="40"/>
      <c r="AA244" s="40"/>
      <c r="AB244" s="40"/>
      <c r="AC244" s="40"/>
      <c r="AD244" s="40"/>
      <c r="AE244" s="40"/>
      <c r="AF244" s="40"/>
      <c r="AG244" s="40"/>
      <c r="AH244" s="40"/>
      <c r="AI244" s="40"/>
      <c r="AJ244" s="40"/>
      <c r="AK244" s="40"/>
      <c r="AL244" s="40"/>
      <c r="AM244" s="40"/>
      <c r="AN244" s="40"/>
      <c r="AO244" s="40"/>
      <c r="AP244" s="40"/>
      <c r="AQ244" s="40"/>
      <c r="AR244" s="40"/>
      <c r="AS244" s="40"/>
      <c r="AT244" s="40"/>
      <c r="AU244" s="40"/>
      <c r="AV244" s="40"/>
      <c r="AW244" s="40"/>
      <c r="AX244" s="40"/>
      <c r="AY244" s="40"/>
      <c r="AZ244" s="40"/>
      <c r="BA244" s="5"/>
    </row>
    <row r="245" spans="1:53" ht="15" thickBot="1" x14ac:dyDescent="0.4">
      <c r="A245" s="30" t="s">
        <v>358</v>
      </c>
      <c r="B245" s="30" t="s">
        <v>359</v>
      </c>
      <c r="C245" s="30" t="s">
        <v>359</v>
      </c>
      <c r="D245" s="30" t="s">
        <v>359</v>
      </c>
      <c r="E245" s="30" t="s">
        <v>359</v>
      </c>
      <c r="F245" s="30" t="s">
        <v>359</v>
      </c>
      <c r="G245" s="30" t="s">
        <v>359</v>
      </c>
      <c r="H245" s="30" t="s">
        <v>359</v>
      </c>
      <c r="I245" s="263" t="s">
        <v>359</v>
      </c>
      <c r="J245" s="264" t="s">
        <v>1018</v>
      </c>
      <c r="K245" s="5" t="s">
        <v>876</v>
      </c>
      <c r="L245" s="5"/>
      <c r="M245" s="5" t="s">
        <v>445</v>
      </c>
      <c r="N245" s="5"/>
      <c r="O245" s="5"/>
      <c r="P245" s="412">
        <v>876</v>
      </c>
      <c r="Q245" s="110"/>
      <c r="R245" s="110"/>
      <c r="S245" s="110"/>
      <c r="T245" s="110"/>
      <c r="U245" s="110"/>
      <c r="V245" s="121">
        <f t="shared" si="4"/>
        <v>876</v>
      </c>
      <c r="W245" s="40"/>
      <c r="X245" s="40" t="s">
        <v>358</v>
      </c>
      <c r="Y245" s="40"/>
      <c r="Z245" s="40"/>
      <c r="AA245" s="40"/>
      <c r="AB245" s="40"/>
      <c r="AC245" s="40"/>
      <c r="AD245" s="40"/>
      <c r="AE245" s="40"/>
      <c r="AF245" s="40"/>
      <c r="AG245" s="40"/>
      <c r="AH245" s="40"/>
      <c r="AI245" s="40"/>
      <c r="AJ245" s="40"/>
      <c r="AK245" s="40"/>
      <c r="AL245" s="40"/>
      <c r="AM245" s="40"/>
      <c r="AN245" s="40"/>
      <c r="AO245" s="40"/>
      <c r="AP245" s="40"/>
      <c r="AQ245" s="40"/>
      <c r="AR245" s="40"/>
      <c r="AS245" s="40"/>
      <c r="AT245" s="40"/>
      <c r="AU245" s="40"/>
      <c r="AV245" s="40"/>
      <c r="AW245" s="40"/>
      <c r="AX245" s="40"/>
      <c r="AY245" s="40"/>
      <c r="AZ245" s="40"/>
      <c r="BA245" s="5"/>
    </row>
    <row r="246" spans="1:53" ht="15" thickBot="1" x14ac:dyDescent="0.4">
      <c r="A246" s="30" t="s">
        <v>358</v>
      </c>
      <c r="B246" s="30" t="s">
        <v>359</v>
      </c>
      <c r="C246" s="30" t="s">
        <v>359</v>
      </c>
      <c r="D246" s="30" t="s">
        <v>359</v>
      </c>
      <c r="E246" s="30" t="s">
        <v>359</v>
      </c>
      <c r="F246" s="30" t="s">
        <v>359</v>
      </c>
      <c r="G246" s="30" t="s">
        <v>359</v>
      </c>
      <c r="H246" s="30" t="s">
        <v>359</v>
      </c>
      <c r="I246" s="263" t="s">
        <v>359</v>
      </c>
      <c r="J246" s="264" t="s">
        <v>1018</v>
      </c>
      <c r="K246" s="5" t="s">
        <v>877</v>
      </c>
      <c r="L246" s="5"/>
      <c r="M246" s="5" t="s">
        <v>445</v>
      </c>
      <c r="N246" s="5"/>
      <c r="O246" s="5"/>
      <c r="P246" s="412">
        <v>2571</v>
      </c>
      <c r="Q246" s="110"/>
      <c r="R246" s="110"/>
      <c r="S246" s="110"/>
      <c r="T246" s="110"/>
      <c r="U246" s="110"/>
      <c r="V246" s="121">
        <f t="shared" si="4"/>
        <v>2571</v>
      </c>
      <c r="W246" s="40"/>
      <c r="X246" s="40" t="s">
        <v>358</v>
      </c>
      <c r="Y246" s="40"/>
      <c r="Z246" s="40"/>
      <c r="AA246" s="40"/>
      <c r="AB246" s="40"/>
      <c r="AC246" s="40"/>
      <c r="AD246" s="40"/>
      <c r="AE246" s="40"/>
      <c r="AF246" s="40"/>
      <c r="AG246" s="40"/>
      <c r="AH246" s="40"/>
      <c r="AI246" s="40"/>
      <c r="AJ246" s="40"/>
      <c r="AK246" s="40"/>
      <c r="AL246" s="40"/>
      <c r="AM246" s="40"/>
      <c r="AN246" s="40"/>
      <c r="AO246" s="40"/>
      <c r="AP246" s="40"/>
      <c r="AQ246" s="40"/>
      <c r="AR246" s="40"/>
      <c r="AS246" s="40"/>
      <c r="AT246" s="40"/>
      <c r="AU246" s="40"/>
      <c r="AV246" s="40"/>
      <c r="AW246" s="40"/>
      <c r="AX246" s="40"/>
      <c r="AY246" s="40"/>
      <c r="AZ246" s="40"/>
      <c r="BA246" s="5"/>
    </row>
    <row r="247" spans="1:53" ht="15" thickBot="1" x14ac:dyDescent="0.4">
      <c r="A247" s="30" t="s">
        <v>358</v>
      </c>
      <c r="B247" s="30" t="s">
        <v>359</v>
      </c>
      <c r="C247" s="30" t="s">
        <v>359</v>
      </c>
      <c r="D247" s="30" t="s">
        <v>359</v>
      </c>
      <c r="E247" s="30" t="s">
        <v>359</v>
      </c>
      <c r="F247" s="30" t="s">
        <v>359</v>
      </c>
      <c r="G247" s="30" t="s">
        <v>359</v>
      </c>
      <c r="H247" s="30" t="s">
        <v>359</v>
      </c>
      <c r="I247" s="263" t="s">
        <v>359</v>
      </c>
      <c r="J247" s="264" t="s">
        <v>1018</v>
      </c>
      <c r="K247" s="5" t="s">
        <v>878</v>
      </c>
      <c r="L247" s="5"/>
      <c r="M247" s="5" t="s">
        <v>445</v>
      </c>
      <c r="N247" s="5"/>
      <c r="O247" s="5"/>
      <c r="P247" s="412">
        <v>2261</v>
      </c>
      <c r="Q247" s="110"/>
      <c r="R247" s="110"/>
      <c r="S247" s="110"/>
      <c r="T247" s="110"/>
      <c r="U247" s="110"/>
      <c r="V247" s="121">
        <f t="shared" si="4"/>
        <v>2261</v>
      </c>
      <c r="W247" s="40"/>
      <c r="X247" s="40" t="s">
        <v>358</v>
      </c>
      <c r="Y247" s="40"/>
      <c r="Z247" s="40"/>
      <c r="AA247" s="40"/>
      <c r="AB247" s="40"/>
      <c r="AC247" s="40"/>
      <c r="AD247" s="40"/>
      <c r="AE247" s="40"/>
      <c r="AF247" s="40"/>
      <c r="AG247" s="40"/>
      <c r="AH247" s="40"/>
      <c r="AI247" s="40"/>
      <c r="AJ247" s="40"/>
      <c r="AK247" s="40"/>
      <c r="AL247" s="40"/>
      <c r="AM247" s="40"/>
      <c r="AN247" s="40"/>
      <c r="AO247" s="40"/>
      <c r="AP247" s="40"/>
      <c r="AQ247" s="40"/>
      <c r="AR247" s="40"/>
      <c r="AS247" s="40"/>
      <c r="AT247" s="40"/>
      <c r="AU247" s="40"/>
      <c r="AV247" s="40"/>
      <c r="AW247" s="40"/>
      <c r="AX247" s="40"/>
      <c r="AY247" s="40"/>
      <c r="AZ247" s="40"/>
      <c r="BA247" s="5"/>
    </row>
    <row r="248" spans="1:53" ht="15" thickBot="1" x14ac:dyDescent="0.4">
      <c r="A248" s="30" t="s">
        <v>358</v>
      </c>
      <c r="B248" s="30" t="s">
        <v>359</v>
      </c>
      <c r="C248" s="30" t="s">
        <v>359</v>
      </c>
      <c r="D248" s="30" t="s">
        <v>359</v>
      </c>
      <c r="E248" s="30" t="s">
        <v>359</v>
      </c>
      <c r="F248" s="30" t="s">
        <v>359</v>
      </c>
      <c r="G248" s="30" t="s">
        <v>359</v>
      </c>
      <c r="H248" s="30" t="s">
        <v>359</v>
      </c>
      <c r="I248" s="263" t="s">
        <v>359</v>
      </c>
      <c r="J248" s="264" t="s">
        <v>1018</v>
      </c>
      <c r="K248" s="5" t="s">
        <v>879</v>
      </c>
      <c r="L248" s="5"/>
      <c r="M248" s="5" t="s">
        <v>445</v>
      </c>
      <c r="N248" s="5"/>
      <c r="O248" s="5"/>
      <c r="P248" s="412">
        <v>3100</v>
      </c>
      <c r="Q248" s="110"/>
      <c r="R248" s="110"/>
      <c r="S248" s="110"/>
      <c r="T248" s="110"/>
      <c r="U248" s="110"/>
      <c r="V248" s="121">
        <f t="shared" si="4"/>
        <v>3100</v>
      </c>
      <c r="W248" s="40"/>
      <c r="X248" s="40" t="s">
        <v>358</v>
      </c>
      <c r="Y248" s="40"/>
      <c r="Z248" s="40"/>
      <c r="AA248" s="40"/>
      <c r="AB248" s="40"/>
      <c r="AC248" s="40"/>
      <c r="AD248" s="40"/>
      <c r="AE248" s="40"/>
      <c r="AF248" s="40"/>
      <c r="AG248" s="40"/>
      <c r="AH248" s="40"/>
      <c r="AI248" s="40"/>
      <c r="AJ248" s="40"/>
      <c r="AK248" s="40"/>
      <c r="AL248" s="40"/>
      <c r="AM248" s="40"/>
      <c r="AN248" s="40"/>
      <c r="AO248" s="40"/>
      <c r="AP248" s="40"/>
      <c r="AQ248" s="40"/>
      <c r="AR248" s="40"/>
      <c r="AS248" s="40"/>
      <c r="AT248" s="40"/>
      <c r="AU248" s="40"/>
      <c r="AV248" s="40"/>
      <c r="AW248" s="40"/>
      <c r="AX248" s="40"/>
      <c r="AY248" s="40"/>
      <c r="AZ248" s="40"/>
      <c r="BA248" s="5"/>
    </row>
    <row r="249" spans="1:53" ht="15" thickBot="1" x14ac:dyDescent="0.4">
      <c r="A249" s="30" t="s">
        <v>358</v>
      </c>
      <c r="B249" s="30" t="s">
        <v>359</v>
      </c>
      <c r="C249" s="30" t="s">
        <v>359</v>
      </c>
      <c r="D249" s="30" t="s">
        <v>359</v>
      </c>
      <c r="E249" s="30" t="s">
        <v>359</v>
      </c>
      <c r="F249" s="30" t="s">
        <v>359</v>
      </c>
      <c r="G249" s="30" t="s">
        <v>359</v>
      </c>
      <c r="H249" s="30" t="s">
        <v>359</v>
      </c>
      <c r="I249" s="263" t="s">
        <v>359</v>
      </c>
      <c r="J249" s="264" t="s">
        <v>1018</v>
      </c>
      <c r="K249" s="5" t="s">
        <v>880</v>
      </c>
      <c r="L249" s="5"/>
      <c r="M249" s="5" t="s">
        <v>445</v>
      </c>
      <c r="N249" s="5"/>
      <c r="O249" s="5"/>
      <c r="P249" s="412">
        <v>4457</v>
      </c>
      <c r="Q249" s="110"/>
      <c r="R249" s="110"/>
      <c r="S249" s="110"/>
      <c r="T249" s="110"/>
      <c r="U249" s="110"/>
      <c r="V249" s="121">
        <f t="shared" si="4"/>
        <v>4457</v>
      </c>
      <c r="W249" s="40"/>
      <c r="X249" s="40" t="s">
        <v>358</v>
      </c>
      <c r="Y249" s="40"/>
      <c r="Z249" s="40"/>
      <c r="AA249" s="40"/>
      <c r="AB249" s="40"/>
      <c r="AC249" s="40"/>
      <c r="AD249" s="40"/>
      <c r="AE249" s="40"/>
      <c r="AF249" s="40"/>
      <c r="AG249" s="40"/>
      <c r="AH249" s="40"/>
      <c r="AI249" s="40"/>
      <c r="AJ249" s="40"/>
      <c r="AK249" s="40"/>
      <c r="AL249" s="40"/>
      <c r="AM249" s="40"/>
      <c r="AN249" s="40"/>
      <c r="AO249" s="40"/>
      <c r="AP249" s="40"/>
      <c r="AQ249" s="40"/>
      <c r="AR249" s="40"/>
      <c r="AS249" s="40"/>
      <c r="AT249" s="40"/>
      <c r="AU249" s="40"/>
      <c r="AV249" s="40"/>
      <c r="AW249" s="40"/>
      <c r="AX249" s="40"/>
      <c r="AY249" s="40"/>
      <c r="AZ249" s="40"/>
      <c r="BA249" s="5"/>
    </row>
    <row r="250" spans="1:53" ht="15" thickBot="1" x14ac:dyDescent="0.4">
      <c r="A250" s="30" t="s">
        <v>358</v>
      </c>
      <c r="B250" s="30" t="s">
        <v>359</v>
      </c>
      <c r="C250" s="30" t="s">
        <v>359</v>
      </c>
      <c r="D250" s="30" t="s">
        <v>359</v>
      </c>
      <c r="E250" s="30" t="s">
        <v>359</v>
      </c>
      <c r="F250" s="30" t="s">
        <v>359</v>
      </c>
      <c r="G250" s="30" t="s">
        <v>359</v>
      </c>
      <c r="H250" s="30" t="s">
        <v>359</v>
      </c>
      <c r="I250" s="263" t="s">
        <v>359</v>
      </c>
      <c r="J250" s="264" t="s">
        <v>1018</v>
      </c>
      <c r="K250" s="5" t="s">
        <v>881</v>
      </c>
      <c r="L250" s="5"/>
      <c r="M250" s="5" t="s">
        <v>445</v>
      </c>
      <c r="N250" s="5"/>
      <c r="O250" s="5"/>
      <c r="P250" s="412">
        <v>3943</v>
      </c>
      <c r="Q250" s="110"/>
      <c r="R250" s="110"/>
      <c r="S250" s="110"/>
      <c r="T250" s="110"/>
      <c r="U250" s="110"/>
      <c r="V250" s="121">
        <f t="shared" si="4"/>
        <v>3943</v>
      </c>
      <c r="W250" s="40"/>
      <c r="X250" s="40" t="s">
        <v>358</v>
      </c>
      <c r="Y250" s="40"/>
      <c r="Z250" s="40"/>
      <c r="AA250" s="40"/>
      <c r="AB250" s="40"/>
      <c r="AC250" s="40"/>
      <c r="AD250" s="40"/>
      <c r="AE250" s="40"/>
      <c r="AF250" s="40"/>
      <c r="AG250" s="40"/>
      <c r="AH250" s="40"/>
      <c r="AI250" s="40"/>
      <c r="AJ250" s="40"/>
      <c r="AK250" s="40"/>
      <c r="AL250" s="40"/>
      <c r="AM250" s="40"/>
      <c r="AN250" s="40"/>
      <c r="AO250" s="40"/>
      <c r="AP250" s="40"/>
      <c r="AQ250" s="40"/>
      <c r="AR250" s="40"/>
      <c r="AS250" s="40"/>
      <c r="AT250" s="40"/>
      <c r="AU250" s="40"/>
      <c r="AV250" s="40"/>
      <c r="AW250" s="40"/>
      <c r="AX250" s="40"/>
      <c r="AY250" s="40"/>
      <c r="AZ250" s="40"/>
      <c r="BA250" s="5"/>
    </row>
    <row r="251" spans="1:53" ht="15" thickBot="1" x14ac:dyDescent="0.4">
      <c r="A251" s="30" t="s">
        <v>358</v>
      </c>
      <c r="B251" s="30" t="s">
        <v>359</v>
      </c>
      <c r="C251" s="30" t="s">
        <v>359</v>
      </c>
      <c r="D251" s="30" t="s">
        <v>359</v>
      </c>
      <c r="E251" s="30" t="s">
        <v>359</v>
      </c>
      <c r="F251" s="30" t="s">
        <v>359</v>
      </c>
      <c r="G251" s="30" t="s">
        <v>359</v>
      </c>
      <c r="H251" s="30" t="s">
        <v>359</v>
      </c>
      <c r="I251" s="263" t="s">
        <v>359</v>
      </c>
      <c r="J251" s="264" t="s">
        <v>1018</v>
      </c>
      <c r="K251" s="5" t="s">
        <v>882</v>
      </c>
      <c r="L251" s="5"/>
      <c r="M251" s="5" t="s">
        <v>445</v>
      </c>
      <c r="N251" s="5"/>
      <c r="O251" s="5"/>
      <c r="P251" s="412">
        <v>4821</v>
      </c>
      <c r="Q251" s="110"/>
      <c r="R251" s="110"/>
      <c r="S251" s="110"/>
      <c r="T251" s="110"/>
      <c r="U251" s="110"/>
      <c r="V251" s="121">
        <f t="shared" si="4"/>
        <v>4821</v>
      </c>
      <c r="W251" s="40"/>
      <c r="X251" s="40" t="s">
        <v>358</v>
      </c>
      <c r="Y251" s="40"/>
      <c r="Z251" s="40"/>
      <c r="AA251" s="40"/>
      <c r="AB251" s="40"/>
      <c r="AC251" s="40"/>
      <c r="AD251" s="40"/>
      <c r="AE251" s="40"/>
      <c r="AF251" s="40"/>
      <c r="AG251" s="40"/>
      <c r="AH251" s="40"/>
      <c r="AI251" s="40"/>
      <c r="AJ251" s="40"/>
      <c r="AK251" s="40"/>
      <c r="AL251" s="40"/>
      <c r="AM251" s="40"/>
      <c r="AN251" s="40"/>
      <c r="AO251" s="40"/>
      <c r="AP251" s="40"/>
      <c r="AQ251" s="40"/>
      <c r="AR251" s="40"/>
      <c r="AS251" s="40"/>
      <c r="AT251" s="40"/>
      <c r="AU251" s="40"/>
      <c r="AV251" s="40"/>
      <c r="AW251" s="40"/>
      <c r="AX251" s="40"/>
      <c r="AY251" s="40"/>
      <c r="AZ251" s="40"/>
      <c r="BA251" s="5"/>
    </row>
    <row r="252" spans="1:53" ht="15" thickBot="1" x14ac:dyDescent="0.4">
      <c r="A252" s="30" t="s">
        <v>358</v>
      </c>
      <c r="B252" s="30" t="s">
        <v>359</v>
      </c>
      <c r="C252" s="30" t="s">
        <v>359</v>
      </c>
      <c r="D252" s="30" t="s">
        <v>359</v>
      </c>
      <c r="E252" s="30" t="s">
        <v>359</v>
      </c>
      <c r="F252" s="30" t="s">
        <v>359</v>
      </c>
      <c r="G252" s="30" t="s">
        <v>359</v>
      </c>
      <c r="H252" s="30" t="s">
        <v>359</v>
      </c>
      <c r="I252" s="263" t="s">
        <v>359</v>
      </c>
      <c r="J252" s="264" t="s">
        <v>1018</v>
      </c>
      <c r="K252" s="5" t="s">
        <v>883</v>
      </c>
      <c r="L252" s="5"/>
      <c r="M252" s="5" t="s">
        <v>445</v>
      </c>
      <c r="N252" s="5"/>
      <c r="O252" s="5"/>
      <c r="P252" s="412">
        <v>1780</v>
      </c>
      <c r="Q252" s="110"/>
      <c r="R252" s="110"/>
      <c r="S252" s="110"/>
      <c r="T252" s="110"/>
      <c r="U252" s="110"/>
      <c r="V252" s="121">
        <f t="shared" si="4"/>
        <v>1780</v>
      </c>
      <c r="W252" s="40"/>
      <c r="X252" s="40" t="s">
        <v>358</v>
      </c>
      <c r="Y252" s="40"/>
      <c r="Z252" s="40"/>
      <c r="AA252" s="40"/>
      <c r="AB252" s="40"/>
      <c r="AC252" s="40"/>
      <c r="AD252" s="40"/>
      <c r="AE252" s="40"/>
      <c r="AF252" s="40"/>
      <c r="AG252" s="40"/>
      <c r="AH252" s="40"/>
      <c r="AI252" s="40"/>
      <c r="AJ252" s="40"/>
      <c r="AK252" s="40"/>
      <c r="AL252" s="40"/>
      <c r="AM252" s="40"/>
      <c r="AN252" s="40"/>
      <c r="AO252" s="40"/>
      <c r="AP252" s="40"/>
      <c r="AQ252" s="40"/>
      <c r="AR252" s="40"/>
      <c r="AS252" s="40"/>
      <c r="AT252" s="40"/>
      <c r="AU252" s="40"/>
      <c r="AV252" s="40"/>
      <c r="AW252" s="40"/>
      <c r="AX252" s="40"/>
      <c r="AY252" s="40"/>
      <c r="AZ252" s="40"/>
      <c r="BA252" s="5"/>
    </row>
    <row r="253" spans="1:53" ht="15" thickBot="1" x14ac:dyDescent="0.4">
      <c r="A253" s="30" t="s">
        <v>358</v>
      </c>
      <c r="B253" s="30" t="s">
        <v>359</v>
      </c>
      <c r="C253" s="30" t="s">
        <v>359</v>
      </c>
      <c r="D253" s="30" t="s">
        <v>359</v>
      </c>
      <c r="E253" s="30" t="s">
        <v>359</v>
      </c>
      <c r="F253" s="30" t="s">
        <v>359</v>
      </c>
      <c r="G253" s="30" t="s">
        <v>359</v>
      </c>
      <c r="H253" s="30" t="s">
        <v>359</v>
      </c>
      <c r="I253" s="263" t="s">
        <v>359</v>
      </c>
      <c r="J253" s="264" t="s">
        <v>1018</v>
      </c>
      <c r="K253" s="5" t="s">
        <v>884</v>
      </c>
      <c r="L253" s="5"/>
      <c r="M253" s="5" t="s">
        <v>445</v>
      </c>
      <c r="N253" s="5"/>
      <c r="O253" s="5"/>
      <c r="P253" s="412">
        <v>1923</v>
      </c>
      <c r="Q253" s="110"/>
      <c r="R253" s="110"/>
      <c r="S253" s="110"/>
      <c r="T253" s="110"/>
      <c r="U253" s="110"/>
      <c r="V253" s="121">
        <f t="shared" si="4"/>
        <v>1923</v>
      </c>
      <c r="W253" s="40"/>
      <c r="X253" s="40" t="s">
        <v>358</v>
      </c>
      <c r="Y253" s="40"/>
      <c r="Z253" s="40"/>
      <c r="AA253" s="40"/>
      <c r="AB253" s="40"/>
      <c r="AC253" s="40"/>
      <c r="AD253" s="40"/>
      <c r="AE253" s="40"/>
      <c r="AF253" s="40"/>
      <c r="AG253" s="40"/>
      <c r="AH253" s="40"/>
      <c r="AI253" s="40"/>
      <c r="AJ253" s="40"/>
      <c r="AK253" s="40"/>
      <c r="AL253" s="40"/>
      <c r="AM253" s="40"/>
      <c r="AN253" s="40"/>
      <c r="AO253" s="40"/>
      <c r="AP253" s="40"/>
      <c r="AQ253" s="40"/>
      <c r="AR253" s="40"/>
      <c r="AS253" s="40"/>
      <c r="AT253" s="40"/>
      <c r="AU253" s="40"/>
      <c r="AV253" s="40"/>
      <c r="AW253" s="40"/>
      <c r="AX253" s="40"/>
      <c r="AY253" s="40"/>
      <c r="AZ253" s="40"/>
      <c r="BA253" s="5"/>
    </row>
    <row r="254" spans="1:53" ht="25" customHeight="1" thickBot="1" x14ac:dyDescent="0.4">
      <c r="A254" s="30" t="s">
        <v>358</v>
      </c>
      <c r="B254" s="30" t="s">
        <v>359</v>
      </c>
      <c r="C254" s="30" t="s">
        <v>359</v>
      </c>
      <c r="D254" s="30" t="s">
        <v>359</v>
      </c>
      <c r="E254" s="30" t="s">
        <v>359</v>
      </c>
      <c r="F254" s="30" t="s">
        <v>359</v>
      </c>
      <c r="G254" s="30" t="s">
        <v>359</v>
      </c>
      <c r="H254" s="30" t="s">
        <v>359</v>
      </c>
      <c r="I254" s="263" t="s">
        <v>359</v>
      </c>
      <c r="J254" s="264" t="s">
        <v>1018</v>
      </c>
      <c r="K254" s="5" t="s">
        <v>885</v>
      </c>
      <c r="L254" s="5"/>
      <c r="M254" s="5" t="s">
        <v>445</v>
      </c>
      <c r="N254" s="5"/>
      <c r="O254" s="5"/>
      <c r="P254" s="412">
        <v>2547</v>
      </c>
      <c r="Q254" s="110"/>
      <c r="R254" s="110"/>
      <c r="S254" s="110"/>
      <c r="T254" s="110"/>
      <c r="U254" s="110"/>
      <c r="V254" s="121">
        <f t="shared" si="4"/>
        <v>2547</v>
      </c>
      <c r="W254" s="40"/>
      <c r="X254" s="40" t="s">
        <v>358</v>
      </c>
      <c r="Y254" s="40"/>
      <c r="Z254" s="40"/>
      <c r="AA254" s="40"/>
      <c r="AB254" s="40"/>
      <c r="AC254" s="40"/>
      <c r="AD254" s="40"/>
      <c r="AE254" s="40"/>
      <c r="AF254" s="40"/>
      <c r="AG254" s="40"/>
      <c r="AH254" s="40"/>
      <c r="AI254" s="40"/>
      <c r="AJ254" s="40"/>
      <c r="AK254" s="40"/>
      <c r="AL254" s="40"/>
      <c r="AM254" s="40"/>
      <c r="AN254" s="40"/>
      <c r="AO254" s="40"/>
      <c r="AP254" s="40"/>
      <c r="AQ254" s="40"/>
      <c r="AR254" s="40"/>
      <c r="AS254" s="40"/>
      <c r="AT254" s="40"/>
      <c r="AU254" s="40"/>
      <c r="AV254" s="40"/>
      <c r="AW254" s="40"/>
      <c r="AX254" s="40"/>
      <c r="AY254" s="40"/>
      <c r="AZ254" s="40"/>
      <c r="BA254" s="5"/>
    </row>
    <row r="255" spans="1:53" ht="28.5" customHeight="1" thickBot="1" x14ac:dyDescent="0.4">
      <c r="A255" s="30" t="s">
        <v>358</v>
      </c>
      <c r="B255" s="30" t="s">
        <v>359</v>
      </c>
      <c r="C255" s="30" t="s">
        <v>359</v>
      </c>
      <c r="D255" s="30" t="s">
        <v>359</v>
      </c>
      <c r="E255" s="30" t="s">
        <v>359</v>
      </c>
      <c r="F255" s="30" t="s">
        <v>359</v>
      </c>
      <c r="G255" s="30" t="s">
        <v>359</v>
      </c>
      <c r="H255" s="30" t="s">
        <v>359</v>
      </c>
      <c r="I255" s="263" t="s">
        <v>359</v>
      </c>
      <c r="J255" s="264" t="s">
        <v>1018</v>
      </c>
      <c r="K255" s="5" t="s">
        <v>886</v>
      </c>
      <c r="L255" s="5"/>
      <c r="M255" s="5" t="s">
        <v>445</v>
      </c>
      <c r="N255" s="5"/>
      <c r="O255" s="5"/>
      <c r="P255" s="412">
        <v>1624</v>
      </c>
      <c r="Q255" s="110"/>
      <c r="R255" s="110"/>
      <c r="S255" s="110"/>
      <c r="T255" s="110"/>
      <c r="U255" s="110"/>
      <c r="V255" s="121">
        <f t="shared" si="4"/>
        <v>1624</v>
      </c>
      <c r="W255" s="40"/>
      <c r="X255" s="40" t="s">
        <v>358</v>
      </c>
      <c r="Y255" s="40"/>
      <c r="Z255" s="40"/>
      <c r="AA255" s="40"/>
      <c r="AB255" s="40"/>
      <c r="AC255" s="40"/>
      <c r="AD255" s="40"/>
      <c r="AE255" s="40"/>
      <c r="AF255" s="40"/>
      <c r="AG255" s="40"/>
      <c r="AH255" s="40"/>
      <c r="AI255" s="40"/>
      <c r="AJ255" s="40"/>
      <c r="AK255" s="40"/>
      <c r="AL255" s="40"/>
      <c r="AM255" s="40"/>
      <c r="AN255" s="40"/>
      <c r="AO255" s="40"/>
      <c r="AP255" s="40"/>
      <c r="AQ255" s="40"/>
      <c r="AR255" s="40"/>
      <c r="AS255" s="40"/>
      <c r="AT255" s="40"/>
      <c r="AU255" s="40"/>
      <c r="AV255" s="40"/>
      <c r="AW255" s="40"/>
      <c r="AX255" s="40"/>
      <c r="AY255" s="40"/>
      <c r="AZ255" s="40"/>
      <c r="BA255" s="5"/>
    </row>
    <row r="256" spans="1:53" ht="27" customHeight="1" thickBot="1" x14ac:dyDescent="0.4">
      <c r="A256" s="30" t="s">
        <v>358</v>
      </c>
      <c r="B256" s="30" t="s">
        <v>359</v>
      </c>
      <c r="C256" s="30" t="s">
        <v>359</v>
      </c>
      <c r="D256" s="30" t="s">
        <v>359</v>
      </c>
      <c r="E256" s="30" t="s">
        <v>359</v>
      </c>
      <c r="F256" s="30" t="s">
        <v>359</v>
      </c>
      <c r="G256" s="30" t="s">
        <v>359</v>
      </c>
      <c r="H256" s="30" t="s">
        <v>359</v>
      </c>
      <c r="I256" s="263" t="s">
        <v>359</v>
      </c>
      <c r="J256" s="264" t="s">
        <v>1018</v>
      </c>
      <c r="K256" s="5" t="s">
        <v>887</v>
      </c>
      <c r="L256" s="5"/>
      <c r="M256" s="5" t="s">
        <v>445</v>
      </c>
      <c r="N256" s="5"/>
      <c r="O256" s="5"/>
      <c r="P256" s="412">
        <v>1487</v>
      </c>
      <c r="Q256" s="110"/>
      <c r="R256" s="110"/>
      <c r="S256" s="110"/>
      <c r="T256" s="110"/>
      <c r="U256" s="110"/>
      <c r="V256" s="121">
        <f t="shared" si="4"/>
        <v>1487</v>
      </c>
      <c r="W256" s="40"/>
      <c r="X256" s="40" t="s">
        <v>358</v>
      </c>
      <c r="Y256" s="40"/>
      <c r="Z256" s="40"/>
      <c r="AA256" s="40"/>
      <c r="AB256" s="40"/>
      <c r="AC256" s="40"/>
      <c r="AD256" s="40"/>
      <c r="AE256" s="40"/>
      <c r="AF256" s="40"/>
      <c r="AG256" s="40"/>
      <c r="AH256" s="40"/>
      <c r="AI256" s="40"/>
      <c r="AJ256" s="40"/>
      <c r="AK256" s="40"/>
      <c r="AL256" s="40"/>
      <c r="AM256" s="40"/>
      <c r="AN256" s="40"/>
      <c r="AO256" s="40"/>
      <c r="AP256" s="40"/>
      <c r="AQ256" s="40"/>
      <c r="AR256" s="40"/>
      <c r="AS256" s="40"/>
      <c r="AT256" s="40"/>
      <c r="AU256" s="40"/>
      <c r="AV256" s="40"/>
      <c r="AW256" s="40"/>
      <c r="AX256" s="40"/>
      <c r="AY256" s="40"/>
      <c r="AZ256" s="40"/>
      <c r="BA256" s="5"/>
    </row>
    <row r="257" spans="1:53" ht="15" thickBot="1" x14ac:dyDescent="0.4">
      <c r="A257" s="30" t="s">
        <v>358</v>
      </c>
      <c r="B257" s="30" t="s">
        <v>359</v>
      </c>
      <c r="C257" s="30" t="s">
        <v>359</v>
      </c>
      <c r="D257" s="30" t="s">
        <v>359</v>
      </c>
      <c r="E257" s="30" t="s">
        <v>359</v>
      </c>
      <c r="F257" s="30" t="s">
        <v>359</v>
      </c>
      <c r="G257" s="30" t="s">
        <v>359</v>
      </c>
      <c r="H257" s="30" t="s">
        <v>359</v>
      </c>
      <c r="I257" s="263" t="s">
        <v>359</v>
      </c>
      <c r="J257" s="264" t="s">
        <v>1018</v>
      </c>
      <c r="K257" s="5" t="s">
        <v>888</v>
      </c>
      <c r="L257" s="5"/>
      <c r="M257" s="5" t="s">
        <v>445</v>
      </c>
      <c r="N257" s="5"/>
      <c r="O257" s="5"/>
      <c r="P257" s="412">
        <v>1425</v>
      </c>
      <c r="Q257" s="110"/>
      <c r="R257" s="110"/>
      <c r="S257" s="110"/>
      <c r="T257" s="110"/>
      <c r="U257" s="110"/>
      <c r="V257" s="121">
        <f t="shared" si="4"/>
        <v>1425</v>
      </c>
      <c r="W257" s="40"/>
      <c r="X257" s="40" t="s">
        <v>358</v>
      </c>
      <c r="Y257" s="40"/>
      <c r="Z257" s="40"/>
      <c r="AA257" s="40"/>
      <c r="AB257" s="40"/>
      <c r="AC257" s="40"/>
      <c r="AD257" s="40"/>
      <c r="AE257" s="40"/>
      <c r="AF257" s="40"/>
      <c r="AG257" s="40"/>
      <c r="AH257" s="40"/>
      <c r="AI257" s="40"/>
      <c r="AJ257" s="40"/>
      <c r="AK257" s="40"/>
      <c r="AL257" s="40"/>
      <c r="AM257" s="40"/>
      <c r="AN257" s="40"/>
      <c r="AO257" s="40"/>
      <c r="AP257" s="40"/>
      <c r="AQ257" s="40"/>
      <c r="AR257" s="40"/>
      <c r="AS257" s="40"/>
      <c r="AT257" s="40"/>
      <c r="AU257" s="40"/>
      <c r="AV257" s="40"/>
      <c r="AW257" s="40"/>
      <c r="AX257" s="40"/>
      <c r="AY257" s="40"/>
      <c r="AZ257" s="40"/>
      <c r="BA257" s="5"/>
    </row>
    <row r="258" spans="1:53" ht="15" thickBot="1" x14ac:dyDescent="0.4">
      <c r="A258" s="30" t="s">
        <v>358</v>
      </c>
      <c r="B258" s="30" t="s">
        <v>359</v>
      </c>
      <c r="C258" s="30" t="s">
        <v>359</v>
      </c>
      <c r="D258" s="30" t="s">
        <v>359</v>
      </c>
      <c r="E258" s="30" t="s">
        <v>359</v>
      </c>
      <c r="F258" s="30" t="s">
        <v>359</v>
      </c>
      <c r="G258" s="30" t="s">
        <v>359</v>
      </c>
      <c r="H258" s="30" t="s">
        <v>359</v>
      </c>
      <c r="I258" s="263" t="s">
        <v>359</v>
      </c>
      <c r="J258" s="264" t="s">
        <v>1018</v>
      </c>
      <c r="K258" s="5" t="s">
        <v>889</v>
      </c>
      <c r="L258" s="5"/>
      <c r="M258" s="5" t="s">
        <v>445</v>
      </c>
      <c r="N258" s="5"/>
      <c r="O258" s="5"/>
      <c r="P258" s="412">
        <v>1674</v>
      </c>
      <c r="Q258" s="110"/>
      <c r="R258" s="110"/>
      <c r="S258" s="110"/>
      <c r="T258" s="110"/>
      <c r="U258" s="110"/>
      <c r="V258" s="121">
        <f t="shared" si="4"/>
        <v>1674</v>
      </c>
      <c r="W258" s="40"/>
      <c r="X258" s="40" t="s">
        <v>358</v>
      </c>
      <c r="Y258" s="40"/>
      <c r="Z258" s="40"/>
      <c r="AA258" s="40"/>
      <c r="AB258" s="40"/>
      <c r="AC258" s="40"/>
      <c r="AD258" s="40"/>
      <c r="AE258" s="40"/>
      <c r="AF258" s="40"/>
      <c r="AG258" s="40"/>
      <c r="AH258" s="40"/>
      <c r="AI258" s="40"/>
      <c r="AJ258" s="40"/>
      <c r="AK258" s="40"/>
      <c r="AL258" s="40"/>
      <c r="AM258" s="40"/>
      <c r="AN258" s="40"/>
      <c r="AO258" s="40"/>
      <c r="AP258" s="40"/>
      <c r="AQ258" s="40"/>
      <c r="AR258" s="40"/>
      <c r="AS258" s="40"/>
      <c r="AT258" s="40"/>
      <c r="AU258" s="40"/>
      <c r="AV258" s="40"/>
      <c r="AW258" s="40"/>
      <c r="AX258" s="40"/>
      <c r="AY258" s="40"/>
      <c r="AZ258" s="40"/>
      <c r="BA258" s="5"/>
    </row>
    <row r="259" spans="1:53" ht="15" thickBot="1" x14ac:dyDescent="0.4">
      <c r="A259" s="30" t="s">
        <v>358</v>
      </c>
      <c r="B259" s="30" t="s">
        <v>359</v>
      </c>
      <c r="C259" s="30" t="s">
        <v>359</v>
      </c>
      <c r="D259" s="30" t="s">
        <v>359</v>
      </c>
      <c r="E259" s="30" t="s">
        <v>359</v>
      </c>
      <c r="F259" s="30" t="s">
        <v>359</v>
      </c>
      <c r="G259" s="30" t="s">
        <v>359</v>
      </c>
      <c r="H259" s="30" t="s">
        <v>359</v>
      </c>
      <c r="I259" s="263" t="s">
        <v>359</v>
      </c>
      <c r="J259" s="264" t="s">
        <v>1018</v>
      </c>
      <c r="K259" s="5" t="s">
        <v>890</v>
      </c>
      <c r="L259" s="5"/>
      <c r="M259" s="5" t="s">
        <v>445</v>
      </c>
      <c r="N259" s="5"/>
      <c r="O259" s="5"/>
      <c r="P259" s="412">
        <v>3257</v>
      </c>
      <c r="Q259" s="110"/>
      <c r="R259" s="110"/>
      <c r="S259" s="110"/>
      <c r="T259" s="110"/>
      <c r="U259" s="110"/>
      <c r="V259" s="121">
        <f t="shared" si="4"/>
        <v>3257</v>
      </c>
      <c r="W259" s="40"/>
      <c r="X259" s="40" t="s">
        <v>358</v>
      </c>
      <c r="Y259" s="40"/>
      <c r="Z259" s="40"/>
      <c r="AA259" s="40"/>
      <c r="AB259" s="40"/>
      <c r="AC259" s="40"/>
      <c r="AD259" s="40"/>
      <c r="AE259" s="40"/>
      <c r="AF259" s="40"/>
      <c r="AG259" s="40"/>
      <c r="AH259" s="40"/>
      <c r="AI259" s="40"/>
      <c r="AJ259" s="40"/>
      <c r="AK259" s="40"/>
      <c r="AL259" s="40"/>
      <c r="AM259" s="40"/>
      <c r="AN259" s="40"/>
      <c r="AO259" s="40"/>
      <c r="AP259" s="40"/>
      <c r="AQ259" s="40"/>
      <c r="AR259" s="40"/>
      <c r="AS259" s="40"/>
      <c r="AT259" s="40"/>
      <c r="AU259" s="40"/>
      <c r="AV259" s="40"/>
      <c r="AW259" s="40"/>
      <c r="AX259" s="40"/>
      <c r="AY259" s="40"/>
      <c r="AZ259" s="40"/>
      <c r="BA259" s="5"/>
    </row>
    <row r="260" spans="1:53" ht="15" thickBot="1" x14ac:dyDescent="0.4">
      <c r="A260" s="30" t="s">
        <v>358</v>
      </c>
      <c r="B260" s="30" t="s">
        <v>359</v>
      </c>
      <c r="C260" s="30" t="s">
        <v>359</v>
      </c>
      <c r="D260" s="30" t="s">
        <v>359</v>
      </c>
      <c r="E260" s="30" t="s">
        <v>359</v>
      </c>
      <c r="F260" s="30" t="s">
        <v>359</v>
      </c>
      <c r="G260" s="30" t="s">
        <v>359</v>
      </c>
      <c r="H260" s="30" t="s">
        <v>359</v>
      </c>
      <c r="I260" s="263" t="s">
        <v>359</v>
      </c>
      <c r="J260" s="264" t="s">
        <v>1018</v>
      </c>
      <c r="K260" s="5" t="s">
        <v>891</v>
      </c>
      <c r="L260" s="5"/>
      <c r="M260" s="5" t="s">
        <v>445</v>
      </c>
      <c r="N260" s="5"/>
      <c r="O260" s="5"/>
      <c r="P260" s="412">
        <v>1485</v>
      </c>
      <c r="Q260" s="110"/>
      <c r="R260" s="110"/>
      <c r="S260" s="110"/>
      <c r="T260" s="110"/>
      <c r="U260" s="110"/>
      <c r="V260" s="121">
        <f t="shared" si="4"/>
        <v>1485</v>
      </c>
      <c r="W260" s="40"/>
      <c r="X260" s="40" t="s">
        <v>358</v>
      </c>
      <c r="Y260" s="40"/>
      <c r="Z260" s="40"/>
      <c r="AA260" s="40"/>
      <c r="AB260" s="40"/>
      <c r="AC260" s="40"/>
      <c r="AD260" s="40"/>
      <c r="AE260" s="40"/>
      <c r="AF260" s="40"/>
      <c r="AG260" s="40"/>
      <c r="AH260" s="40"/>
      <c r="AI260" s="40"/>
      <c r="AJ260" s="40"/>
      <c r="AK260" s="40"/>
      <c r="AL260" s="40"/>
      <c r="AM260" s="40"/>
      <c r="AN260" s="40"/>
      <c r="AO260" s="40"/>
      <c r="AP260" s="40"/>
      <c r="AQ260" s="40"/>
      <c r="AR260" s="40"/>
      <c r="AS260" s="40"/>
      <c r="AT260" s="40"/>
      <c r="AU260" s="40"/>
      <c r="AV260" s="40"/>
      <c r="AW260" s="40"/>
      <c r="AX260" s="40"/>
      <c r="AY260" s="40"/>
      <c r="AZ260" s="40"/>
      <c r="BA260" s="5"/>
    </row>
    <row r="261" spans="1:53" ht="15" thickBot="1" x14ac:dyDescent="0.4">
      <c r="A261" s="30" t="s">
        <v>358</v>
      </c>
      <c r="B261" s="30" t="s">
        <v>359</v>
      </c>
      <c r="C261" s="30" t="s">
        <v>359</v>
      </c>
      <c r="D261" s="30" t="s">
        <v>359</v>
      </c>
      <c r="E261" s="30" t="s">
        <v>359</v>
      </c>
      <c r="F261" s="30" t="s">
        <v>359</v>
      </c>
      <c r="G261" s="30" t="s">
        <v>359</v>
      </c>
      <c r="H261" s="30" t="s">
        <v>359</v>
      </c>
      <c r="I261" s="263" t="s">
        <v>359</v>
      </c>
      <c r="J261" s="264" t="s">
        <v>1018</v>
      </c>
      <c r="K261" s="5" t="s">
        <v>892</v>
      </c>
      <c r="L261" s="5"/>
      <c r="M261" s="5" t="s">
        <v>445</v>
      </c>
      <c r="N261" s="5"/>
      <c r="O261" s="5"/>
      <c r="P261" s="412">
        <v>1474</v>
      </c>
      <c r="Q261" s="110"/>
      <c r="R261" s="110"/>
      <c r="S261" s="110"/>
      <c r="T261" s="110"/>
      <c r="U261" s="110"/>
      <c r="V261" s="121">
        <f t="shared" si="4"/>
        <v>1474</v>
      </c>
      <c r="W261" s="40"/>
      <c r="X261" s="40" t="s">
        <v>358</v>
      </c>
      <c r="Y261" s="40"/>
      <c r="Z261" s="40"/>
      <c r="AA261" s="40"/>
      <c r="AB261" s="40"/>
      <c r="AC261" s="40"/>
      <c r="AD261" s="40"/>
      <c r="AE261" s="40"/>
      <c r="AF261" s="40"/>
      <c r="AG261" s="40"/>
      <c r="AH261" s="40"/>
      <c r="AI261" s="40"/>
      <c r="AJ261" s="40"/>
      <c r="AK261" s="40"/>
      <c r="AL261" s="40"/>
      <c r="AM261" s="40"/>
      <c r="AN261" s="40"/>
      <c r="AO261" s="40"/>
      <c r="AP261" s="40"/>
      <c r="AQ261" s="40"/>
      <c r="AR261" s="40"/>
      <c r="AS261" s="40"/>
      <c r="AT261" s="40"/>
      <c r="AU261" s="40"/>
      <c r="AV261" s="40"/>
      <c r="AW261" s="40"/>
      <c r="AX261" s="40"/>
      <c r="AY261" s="40"/>
      <c r="AZ261" s="40"/>
      <c r="BA261" s="5"/>
    </row>
    <row r="262" spans="1:53" ht="15" thickBot="1" x14ac:dyDescent="0.4">
      <c r="A262" s="30" t="s">
        <v>358</v>
      </c>
      <c r="B262" s="30" t="s">
        <v>359</v>
      </c>
      <c r="C262" s="30" t="s">
        <v>359</v>
      </c>
      <c r="D262" s="30" t="s">
        <v>359</v>
      </c>
      <c r="E262" s="30" t="s">
        <v>359</v>
      </c>
      <c r="F262" s="30" t="s">
        <v>359</v>
      </c>
      <c r="G262" s="30" t="s">
        <v>359</v>
      </c>
      <c r="H262" s="30" t="s">
        <v>359</v>
      </c>
      <c r="I262" s="263" t="s">
        <v>359</v>
      </c>
      <c r="J262" s="264" t="s">
        <v>1018</v>
      </c>
      <c r="K262" s="5" t="s">
        <v>893</v>
      </c>
      <c r="L262" s="5"/>
      <c r="M262" s="5" t="s">
        <v>445</v>
      </c>
      <c r="N262" s="5"/>
      <c r="O262" s="5"/>
      <c r="P262" s="412">
        <v>1924</v>
      </c>
      <c r="Q262" s="110"/>
      <c r="R262" s="110"/>
      <c r="S262" s="110"/>
      <c r="T262" s="110"/>
      <c r="U262" s="110"/>
      <c r="V262" s="121">
        <f t="shared" si="4"/>
        <v>1924</v>
      </c>
      <c r="W262" s="40"/>
      <c r="X262" s="40" t="s">
        <v>358</v>
      </c>
      <c r="Y262" s="40"/>
      <c r="Z262" s="40"/>
      <c r="AA262" s="40"/>
      <c r="AB262" s="40"/>
      <c r="AC262" s="40"/>
      <c r="AD262" s="40"/>
      <c r="AE262" s="40"/>
      <c r="AF262" s="40"/>
      <c r="AG262" s="40"/>
      <c r="AH262" s="40"/>
      <c r="AI262" s="40"/>
      <c r="AJ262" s="40"/>
      <c r="AK262" s="40"/>
      <c r="AL262" s="40"/>
      <c r="AM262" s="40"/>
      <c r="AN262" s="40"/>
      <c r="AO262" s="40"/>
      <c r="AP262" s="40"/>
      <c r="AQ262" s="40"/>
      <c r="AR262" s="40"/>
      <c r="AS262" s="40"/>
      <c r="AT262" s="40"/>
      <c r="AU262" s="40"/>
      <c r="AV262" s="40"/>
      <c r="AW262" s="40"/>
      <c r="AX262" s="40"/>
      <c r="AY262" s="40"/>
      <c r="AZ262" s="40"/>
      <c r="BA262" s="5"/>
    </row>
    <row r="263" spans="1:53" ht="15" thickBot="1" x14ac:dyDescent="0.4">
      <c r="A263" s="30" t="s">
        <v>358</v>
      </c>
      <c r="B263" s="30" t="s">
        <v>359</v>
      </c>
      <c r="C263" s="30" t="s">
        <v>359</v>
      </c>
      <c r="D263" s="30" t="s">
        <v>359</v>
      </c>
      <c r="E263" s="30" t="s">
        <v>359</v>
      </c>
      <c r="F263" s="30" t="s">
        <v>359</v>
      </c>
      <c r="G263" s="30" t="s">
        <v>359</v>
      </c>
      <c r="H263" s="30" t="s">
        <v>359</v>
      </c>
      <c r="I263" s="263" t="s">
        <v>359</v>
      </c>
      <c r="J263" s="264" t="s">
        <v>1018</v>
      </c>
      <c r="K263" s="5" t="s">
        <v>894</v>
      </c>
      <c r="L263" s="5"/>
      <c r="M263" s="5" t="s">
        <v>445</v>
      </c>
      <c r="N263" s="5"/>
      <c r="O263" s="5"/>
      <c r="P263" s="412">
        <v>2048</v>
      </c>
      <c r="Q263" s="110"/>
      <c r="R263" s="110"/>
      <c r="S263" s="110"/>
      <c r="T263" s="110"/>
      <c r="U263" s="110"/>
      <c r="V263" s="121">
        <f t="shared" si="4"/>
        <v>2048</v>
      </c>
      <c r="W263" s="40"/>
      <c r="X263" s="40" t="s">
        <v>358</v>
      </c>
      <c r="Y263" s="40"/>
      <c r="Z263" s="40"/>
      <c r="AA263" s="40"/>
      <c r="AB263" s="40"/>
      <c r="AC263" s="40"/>
      <c r="AD263" s="40"/>
      <c r="AE263" s="40"/>
      <c r="AF263" s="40"/>
      <c r="AG263" s="40"/>
      <c r="AH263" s="40"/>
      <c r="AI263" s="40"/>
      <c r="AJ263" s="40"/>
      <c r="AK263" s="40"/>
      <c r="AL263" s="40"/>
      <c r="AM263" s="40"/>
      <c r="AN263" s="40"/>
      <c r="AO263" s="40"/>
      <c r="AP263" s="40"/>
      <c r="AQ263" s="40"/>
      <c r="AR263" s="40"/>
      <c r="AS263" s="40"/>
      <c r="AT263" s="40"/>
      <c r="AU263" s="40"/>
      <c r="AV263" s="40"/>
      <c r="AW263" s="40"/>
      <c r="AX263" s="40"/>
      <c r="AY263" s="40"/>
      <c r="AZ263" s="40"/>
      <c r="BA263" s="5"/>
    </row>
    <row r="264" spans="1:53" ht="15" thickBot="1" x14ac:dyDescent="0.4">
      <c r="A264" s="30" t="s">
        <v>358</v>
      </c>
      <c r="B264" s="30" t="s">
        <v>359</v>
      </c>
      <c r="C264" s="30" t="s">
        <v>359</v>
      </c>
      <c r="D264" s="30" t="s">
        <v>359</v>
      </c>
      <c r="E264" s="30" t="s">
        <v>359</v>
      </c>
      <c r="F264" s="30" t="s">
        <v>359</v>
      </c>
      <c r="G264" s="30" t="s">
        <v>359</v>
      </c>
      <c r="H264" s="30" t="s">
        <v>359</v>
      </c>
      <c r="I264" s="263" t="s">
        <v>359</v>
      </c>
      <c r="J264" s="264" t="s">
        <v>1018</v>
      </c>
      <c r="K264" s="5" t="s">
        <v>895</v>
      </c>
      <c r="L264" s="5"/>
      <c r="M264" s="5" t="s">
        <v>445</v>
      </c>
      <c r="N264" s="5"/>
      <c r="O264" s="5"/>
      <c r="P264" s="412">
        <v>1555</v>
      </c>
      <c r="Q264" s="110"/>
      <c r="R264" s="110"/>
      <c r="S264" s="110"/>
      <c r="T264" s="110"/>
      <c r="U264" s="110"/>
      <c r="V264" s="121">
        <f t="shared" si="4"/>
        <v>1555</v>
      </c>
      <c r="W264" s="40"/>
      <c r="X264" s="40" t="s">
        <v>358</v>
      </c>
      <c r="Y264" s="40"/>
      <c r="Z264" s="40"/>
      <c r="AA264" s="40"/>
      <c r="AB264" s="40"/>
      <c r="AC264" s="40"/>
      <c r="AD264" s="40"/>
      <c r="AE264" s="40"/>
      <c r="AF264" s="40"/>
      <c r="AG264" s="40"/>
      <c r="AH264" s="40"/>
      <c r="AI264" s="40"/>
      <c r="AJ264" s="40"/>
      <c r="AK264" s="40"/>
      <c r="AL264" s="40"/>
      <c r="AM264" s="40"/>
      <c r="AN264" s="40"/>
      <c r="AO264" s="40"/>
      <c r="AP264" s="40"/>
      <c r="AQ264" s="40"/>
      <c r="AR264" s="40"/>
      <c r="AS264" s="40"/>
      <c r="AT264" s="40"/>
      <c r="AU264" s="40"/>
      <c r="AV264" s="40"/>
      <c r="AW264" s="40"/>
      <c r="AX264" s="40"/>
      <c r="AY264" s="40"/>
      <c r="AZ264" s="40"/>
      <c r="BA264" s="5"/>
    </row>
    <row r="265" spans="1:53" ht="15" thickBot="1" x14ac:dyDescent="0.4">
      <c r="A265" s="30" t="s">
        <v>358</v>
      </c>
      <c r="B265" s="30" t="s">
        <v>359</v>
      </c>
      <c r="C265" s="30" t="s">
        <v>359</v>
      </c>
      <c r="D265" s="30" t="s">
        <v>359</v>
      </c>
      <c r="E265" s="30" t="s">
        <v>359</v>
      </c>
      <c r="F265" s="30" t="s">
        <v>359</v>
      </c>
      <c r="G265" s="30" t="s">
        <v>359</v>
      </c>
      <c r="H265" s="30" t="s">
        <v>359</v>
      </c>
      <c r="I265" s="263" t="s">
        <v>359</v>
      </c>
      <c r="J265" s="264" t="s">
        <v>1018</v>
      </c>
      <c r="K265" s="5" t="s">
        <v>896</v>
      </c>
      <c r="L265" s="5"/>
      <c r="M265" s="5" t="s">
        <v>445</v>
      </c>
      <c r="N265" s="5"/>
      <c r="O265" s="5"/>
      <c r="P265" s="412">
        <v>1659</v>
      </c>
      <c r="Q265" s="110"/>
      <c r="R265" s="110"/>
      <c r="S265" s="110"/>
      <c r="T265" s="110"/>
      <c r="U265" s="110"/>
      <c r="V265" s="121">
        <f t="shared" si="4"/>
        <v>1659</v>
      </c>
      <c r="W265" s="40"/>
      <c r="X265" s="40" t="s">
        <v>358</v>
      </c>
      <c r="Y265" s="40"/>
      <c r="Z265" s="40"/>
      <c r="AA265" s="40"/>
      <c r="AB265" s="40"/>
      <c r="AC265" s="40"/>
      <c r="AD265" s="40"/>
      <c r="AE265" s="40"/>
      <c r="AF265" s="40"/>
      <c r="AG265" s="40"/>
      <c r="AH265" s="40"/>
      <c r="AI265" s="40"/>
      <c r="AJ265" s="40"/>
      <c r="AK265" s="40"/>
      <c r="AL265" s="40"/>
      <c r="AM265" s="40"/>
      <c r="AN265" s="40"/>
      <c r="AO265" s="40"/>
      <c r="AP265" s="40"/>
      <c r="AQ265" s="40"/>
      <c r="AR265" s="40"/>
      <c r="AS265" s="40"/>
      <c r="AT265" s="40"/>
      <c r="AU265" s="40"/>
      <c r="AV265" s="40"/>
      <c r="AW265" s="40"/>
      <c r="AX265" s="40"/>
      <c r="AY265" s="40"/>
      <c r="AZ265" s="40"/>
      <c r="BA265" s="5"/>
    </row>
    <row r="266" spans="1:53" ht="15" thickBot="1" x14ac:dyDescent="0.4">
      <c r="A266" s="30" t="s">
        <v>358</v>
      </c>
      <c r="B266" s="30" t="s">
        <v>359</v>
      </c>
      <c r="C266" s="30" t="s">
        <v>359</v>
      </c>
      <c r="D266" s="30" t="s">
        <v>359</v>
      </c>
      <c r="E266" s="30" t="s">
        <v>359</v>
      </c>
      <c r="F266" s="30" t="s">
        <v>359</v>
      </c>
      <c r="G266" s="30" t="s">
        <v>359</v>
      </c>
      <c r="H266" s="30" t="s">
        <v>359</v>
      </c>
      <c r="I266" s="263" t="s">
        <v>359</v>
      </c>
      <c r="J266" s="264" t="s">
        <v>1018</v>
      </c>
      <c r="K266" s="5" t="s">
        <v>897</v>
      </c>
      <c r="L266" s="5"/>
      <c r="M266" s="5" t="s">
        <v>445</v>
      </c>
      <c r="N266" s="5"/>
      <c r="O266" s="5"/>
      <c r="P266" s="412">
        <v>2172</v>
      </c>
      <c r="Q266" s="110"/>
      <c r="R266" s="110"/>
      <c r="S266" s="110"/>
      <c r="T266" s="110"/>
      <c r="U266" s="110"/>
      <c r="V266" s="121">
        <f t="shared" si="4"/>
        <v>2172</v>
      </c>
      <c r="W266" s="40"/>
      <c r="X266" s="40" t="s">
        <v>358</v>
      </c>
      <c r="Y266" s="40"/>
      <c r="Z266" s="40"/>
      <c r="AA266" s="40"/>
      <c r="AB266" s="40"/>
      <c r="AC266" s="40"/>
      <c r="AD266" s="40"/>
      <c r="AE266" s="40"/>
      <c r="AF266" s="40"/>
      <c r="AG266" s="40"/>
      <c r="AH266" s="40"/>
      <c r="AI266" s="40"/>
      <c r="AJ266" s="40"/>
      <c r="AK266" s="40"/>
      <c r="AL266" s="40"/>
      <c r="AM266" s="40"/>
      <c r="AN266" s="40"/>
      <c r="AO266" s="40"/>
      <c r="AP266" s="40"/>
      <c r="AQ266" s="40"/>
      <c r="AR266" s="40"/>
      <c r="AS266" s="40"/>
      <c r="AT266" s="40"/>
      <c r="AU266" s="40"/>
      <c r="AV266" s="40"/>
      <c r="AW266" s="40"/>
      <c r="AX266" s="40"/>
      <c r="AY266" s="40"/>
      <c r="AZ266" s="40"/>
      <c r="BA266" s="5"/>
    </row>
    <row r="267" spans="1:53" ht="15" thickBot="1" x14ac:dyDescent="0.4">
      <c r="A267" s="30" t="s">
        <v>358</v>
      </c>
      <c r="B267" s="30" t="s">
        <v>359</v>
      </c>
      <c r="C267" s="30" t="s">
        <v>359</v>
      </c>
      <c r="D267" s="30" t="s">
        <v>359</v>
      </c>
      <c r="E267" s="30" t="s">
        <v>359</v>
      </c>
      <c r="F267" s="30" t="s">
        <v>359</v>
      </c>
      <c r="G267" s="30" t="s">
        <v>359</v>
      </c>
      <c r="H267" s="30" t="s">
        <v>359</v>
      </c>
      <c r="I267" s="263" t="s">
        <v>359</v>
      </c>
      <c r="J267" s="264" t="s">
        <v>1018</v>
      </c>
      <c r="K267" s="5" t="s">
        <v>898</v>
      </c>
      <c r="L267" s="5"/>
      <c r="M267" s="5" t="s">
        <v>445</v>
      </c>
      <c r="N267" s="5"/>
      <c r="O267" s="5"/>
      <c r="P267" s="412">
        <v>1945</v>
      </c>
      <c r="Q267" s="110"/>
      <c r="R267" s="110"/>
      <c r="S267" s="110"/>
      <c r="T267" s="110"/>
      <c r="U267" s="110"/>
      <c r="V267" s="121">
        <f t="shared" si="4"/>
        <v>1945</v>
      </c>
      <c r="W267" s="40"/>
      <c r="X267" s="40" t="s">
        <v>358</v>
      </c>
      <c r="Y267" s="40"/>
      <c r="Z267" s="40"/>
      <c r="AA267" s="40"/>
      <c r="AB267" s="40"/>
      <c r="AC267" s="40"/>
      <c r="AD267" s="40"/>
      <c r="AE267" s="40"/>
      <c r="AF267" s="40"/>
      <c r="AG267" s="40"/>
      <c r="AH267" s="40"/>
      <c r="AI267" s="40"/>
      <c r="AJ267" s="40"/>
      <c r="AK267" s="40"/>
      <c r="AL267" s="40"/>
      <c r="AM267" s="40"/>
      <c r="AN267" s="40"/>
      <c r="AO267" s="40"/>
      <c r="AP267" s="40"/>
      <c r="AQ267" s="40"/>
      <c r="AR267" s="40"/>
      <c r="AS267" s="40"/>
      <c r="AT267" s="40"/>
      <c r="AU267" s="40"/>
      <c r="AV267" s="40"/>
      <c r="AW267" s="40"/>
      <c r="AX267" s="40"/>
      <c r="AY267" s="40"/>
      <c r="AZ267" s="40"/>
      <c r="BA267" s="5"/>
    </row>
    <row r="268" spans="1:53" ht="15" thickBot="1" x14ac:dyDescent="0.4">
      <c r="A268" s="30" t="s">
        <v>358</v>
      </c>
      <c r="B268" s="30" t="s">
        <v>359</v>
      </c>
      <c r="C268" s="30" t="s">
        <v>359</v>
      </c>
      <c r="D268" s="30" t="s">
        <v>359</v>
      </c>
      <c r="E268" s="30" t="s">
        <v>359</v>
      </c>
      <c r="F268" s="30" t="s">
        <v>359</v>
      </c>
      <c r="G268" s="30" t="s">
        <v>359</v>
      </c>
      <c r="H268" s="30" t="s">
        <v>359</v>
      </c>
      <c r="I268" s="263" t="s">
        <v>359</v>
      </c>
      <c r="J268" s="264" t="s">
        <v>1018</v>
      </c>
      <c r="K268" s="5" t="s">
        <v>899</v>
      </c>
      <c r="L268" s="5"/>
      <c r="M268" s="5" t="s">
        <v>445</v>
      </c>
      <c r="N268" s="5"/>
      <c r="O268" s="5"/>
      <c r="P268" s="412">
        <v>1375</v>
      </c>
      <c r="Q268" s="110"/>
      <c r="R268" s="110"/>
      <c r="S268" s="110"/>
      <c r="T268" s="110"/>
      <c r="U268" s="110"/>
      <c r="V268" s="121">
        <f t="shared" si="4"/>
        <v>1375</v>
      </c>
      <c r="W268" s="40"/>
      <c r="X268" s="40" t="s">
        <v>358</v>
      </c>
      <c r="Y268" s="40"/>
      <c r="Z268" s="40"/>
      <c r="AA268" s="40"/>
      <c r="AB268" s="40"/>
      <c r="AC268" s="40"/>
      <c r="AD268" s="40"/>
      <c r="AE268" s="40"/>
      <c r="AF268" s="40"/>
      <c r="AG268" s="40"/>
      <c r="AH268" s="40"/>
      <c r="AI268" s="40"/>
      <c r="AJ268" s="40"/>
      <c r="AK268" s="40"/>
      <c r="AL268" s="40"/>
      <c r="AM268" s="40"/>
      <c r="AN268" s="40"/>
      <c r="AO268" s="40"/>
      <c r="AP268" s="40"/>
      <c r="AQ268" s="40"/>
      <c r="AR268" s="40"/>
      <c r="AS268" s="40"/>
      <c r="AT268" s="40"/>
      <c r="AU268" s="40"/>
      <c r="AV268" s="40"/>
      <c r="AW268" s="40"/>
      <c r="AX268" s="40"/>
      <c r="AY268" s="40"/>
      <c r="AZ268" s="40"/>
      <c r="BA268" s="5"/>
    </row>
    <row r="269" spans="1:53" ht="15" thickBot="1" x14ac:dyDescent="0.4">
      <c r="A269" s="30" t="s">
        <v>358</v>
      </c>
      <c r="B269" s="30" t="s">
        <v>359</v>
      </c>
      <c r="C269" s="30" t="s">
        <v>359</v>
      </c>
      <c r="D269" s="30" t="s">
        <v>359</v>
      </c>
      <c r="E269" s="30" t="s">
        <v>359</v>
      </c>
      <c r="F269" s="30" t="s">
        <v>359</v>
      </c>
      <c r="G269" s="30" t="s">
        <v>359</v>
      </c>
      <c r="H269" s="30" t="s">
        <v>359</v>
      </c>
      <c r="I269" s="263" t="s">
        <v>359</v>
      </c>
      <c r="J269" s="264" t="s">
        <v>1018</v>
      </c>
      <c r="K269" s="5" t="s">
        <v>900</v>
      </c>
      <c r="L269" s="5"/>
      <c r="M269" s="5" t="s">
        <v>445</v>
      </c>
      <c r="N269" s="5"/>
      <c r="O269" s="5"/>
      <c r="P269" s="412">
        <v>1274</v>
      </c>
      <c r="Q269" s="110"/>
      <c r="R269" s="110"/>
      <c r="S269" s="110"/>
      <c r="T269" s="110"/>
      <c r="U269" s="110"/>
      <c r="V269" s="121">
        <f t="shared" si="4"/>
        <v>1274</v>
      </c>
      <c r="W269" s="40"/>
      <c r="X269" s="40" t="s">
        <v>358</v>
      </c>
      <c r="Y269" s="40"/>
      <c r="Z269" s="40"/>
      <c r="AA269" s="40"/>
      <c r="AB269" s="40"/>
      <c r="AC269" s="40"/>
      <c r="AD269" s="40"/>
      <c r="AE269" s="40"/>
      <c r="AF269" s="40"/>
      <c r="AG269" s="40"/>
      <c r="AH269" s="40"/>
      <c r="AI269" s="40"/>
      <c r="AJ269" s="40"/>
      <c r="AK269" s="40"/>
      <c r="AL269" s="40"/>
      <c r="AM269" s="40"/>
      <c r="AN269" s="40"/>
      <c r="AO269" s="40"/>
      <c r="AP269" s="40"/>
      <c r="AQ269" s="40"/>
      <c r="AR269" s="40"/>
      <c r="AS269" s="40"/>
      <c r="AT269" s="40"/>
      <c r="AU269" s="40"/>
      <c r="AV269" s="40"/>
      <c r="AW269" s="40"/>
      <c r="AX269" s="40"/>
      <c r="AY269" s="40"/>
      <c r="AZ269" s="40"/>
      <c r="BA269" s="5"/>
    </row>
    <row r="270" spans="1:53" ht="15" thickBot="1" x14ac:dyDescent="0.4">
      <c r="A270" s="30" t="s">
        <v>358</v>
      </c>
      <c r="B270" s="30" t="s">
        <v>359</v>
      </c>
      <c r="C270" s="30" t="s">
        <v>359</v>
      </c>
      <c r="D270" s="30" t="s">
        <v>359</v>
      </c>
      <c r="E270" s="30" t="s">
        <v>359</v>
      </c>
      <c r="F270" s="30" t="s">
        <v>359</v>
      </c>
      <c r="G270" s="30" t="s">
        <v>359</v>
      </c>
      <c r="H270" s="30" t="s">
        <v>359</v>
      </c>
      <c r="I270" s="263" t="s">
        <v>359</v>
      </c>
      <c r="J270" s="264" t="s">
        <v>1018</v>
      </c>
      <c r="K270" s="5" t="s">
        <v>901</v>
      </c>
      <c r="L270" s="5"/>
      <c r="M270" s="5" t="s">
        <v>445</v>
      </c>
      <c r="N270" s="5"/>
      <c r="O270" s="5"/>
      <c r="P270" s="412">
        <v>1468</v>
      </c>
      <c r="Q270" s="110"/>
      <c r="R270" s="110"/>
      <c r="S270" s="110"/>
      <c r="T270" s="110"/>
      <c r="U270" s="110"/>
      <c r="V270" s="121">
        <f t="shared" si="4"/>
        <v>1468</v>
      </c>
      <c r="W270" s="40"/>
      <c r="X270" s="40" t="s">
        <v>358</v>
      </c>
      <c r="Y270" s="40"/>
      <c r="Z270" s="40"/>
      <c r="AA270" s="40"/>
      <c r="AB270" s="40"/>
      <c r="AC270" s="40"/>
      <c r="AD270" s="40"/>
      <c r="AE270" s="40"/>
      <c r="AF270" s="40"/>
      <c r="AG270" s="40"/>
      <c r="AH270" s="40"/>
      <c r="AI270" s="40"/>
      <c r="AJ270" s="40"/>
      <c r="AK270" s="40"/>
      <c r="AL270" s="40"/>
      <c r="AM270" s="40"/>
      <c r="AN270" s="40"/>
      <c r="AO270" s="40"/>
      <c r="AP270" s="40"/>
      <c r="AQ270" s="40"/>
      <c r="AR270" s="40"/>
      <c r="AS270" s="40"/>
      <c r="AT270" s="40"/>
      <c r="AU270" s="40"/>
      <c r="AV270" s="40"/>
      <c r="AW270" s="40"/>
      <c r="AX270" s="40"/>
      <c r="AY270" s="40"/>
      <c r="AZ270" s="40"/>
      <c r="BA270" s="5"/>
    </row>
    <row r="271" spans="1:53" ht="15" thickBot="1" x14ac:dyDescent="0.4">
      <c r="A271" s="30" t="s">
        <v>358</v>
      </c>
      <c r="B271" s="30" t="s">
        <v>359</v>
      </c>
      <c r="C271" s="30" t="s">
        <v>359</v>
      </c>
      <c r="D271" s="30" t="s">
        <v>359</v>
      </c>
      <c r="E271" s="30" t="s">
        <v>359</v>
      </c>
      <c r="F271" s="30" t="s">
        <v>359</v>
      </c>
      <c r="G271" s="30" t="s">
        <v>359</v>
      </c>
      <c r="H271" s="30" t="s">
        <v>359</v>
      </c>
      <c r="I271" s="263" t="s">
        <v>359</v>
      </c>
      <c r="J271" s="264" t="s">
        <v>1018</v>
      </c>
      <c r="K271" s="5" t="s">
        <v>902</v>
      </c>
      <c r="L271" s="5"/>
      <c r="M271" s="5" t="s">
        <v>445</v>
      </c>
      <c r="N271" s="5"/>
      <c r="O271" s="5"/>
      <c r="P271" s="412">
        <v>544</v>
      </c>
      <c r="Q271" s="110"/>
      <c r="R271" s="110"/>
      <c r="S271" s="110"/>
      <c r="T271" s="110"/>
      <c r="U271" s="110"/>
      <c r="V271" s="121">
        <f t="shared" si="4"/>
        <v>544</v>
      </c>
      <c r="W271" s="40"/>
      <c r="X271" s="40" t="s">
        <v>358</v>
      </c>
      <c r="Y271" s="40"/>
      <c r="Z271" s="40"/>
      <c r="AA271" s="40"/>
      <c r="AB271" s="40"/>
      <c r="AC271" s="40"/>
      <c r="AD271" s="40"/>
      <c r="AE271" s="40"/>
      <c r="AF271" s="40"/>
      <c r="AG271" s="40"/>
      <c r="AH271" s="40"/>
      <c r="AI271" s="40"/>
      <c r="AJ271" s="40"/>
      <c r="AK271" s="40"/>
      <c r="AL271" s="40"/>
      <c r="AM271" s="40"/>
      <c r="AN271" s="40"/>
      <c r="AO271" s="40"/>
      <c r="AP271" s="40"/>
      <c r="AQ271" s="40"/>
      <c r="AR271" s="40"/>
      <c r="AS271" s="40"/>
      <c r="AT271" s="40"/>
      <c r="AU271" s="40"/>
      <c r="AV271" s="40"/>
      <c r="AW271" s="40"/>
      <c r="AX271" s="40"/>
      <c r="AY271" s="40"/>
      <c r="AZ271" s="40"/>
      <c r="BA271" s="5"/>
    </row>
    <row r="272" spans="1:53" ht="15" thickBot="1" x14ac:dyDescent="0.4">
      <c r="A272" s="30" t="s">
        <v>358</v>
      </c>
      <c r="B272" s="30" t="s">
        <v>359</v>
      </c>
      <c r="C272" s="30" t="s">
        <v>359</v>
      </c>
      <c r="D272" s="30" t="s">
        <v>359</v>
      </c>
      <c r="E272" s="30" t="s">
        <v>359</v>
      </c>
      <c r="F272" s="30" t="s">
        <v>359</v>
      </c>
      <c r="G272" s="30" t="s">
        <v>359</v>
      </c>
      <c r="H272" s="30" t="s">
        <v>359</v>
      </c>
      <c r="I272" s="263" t="s">
        <v>359</v>
      </c>
      <c r="J272" s="264" t="s">
        <v>1018</v>
      </c>
      <c r="K272" s="5" t="s">
        <v>903</v>
      </c>
      <c r="L272" s="5"/>
      <c r="M272" s="5" t="s">
        <v>445</v>
      </c>
      <c r="N272" s="5"/>
      <c r="O272" s="5"/>
      <c r="P272" s="412">
        <v>975</v>
      </c>
      <c r="Q272" s="110"/>
      <c r="R272" s="110"/>
      <c r="S272" s="110"/>
      <c r="T272" s="110"/>
      <c r="U272" s="110"/>
      <c r="V272" s="121">
        <f t="shared" si="4"/>
        <v>975</v>
      </c>
      <c r="W272" s="40"/>
      <c r="X272" s="40" t="s">
        <v>358</v>
      </c>
      <c r="Y272" s="40"/>
      <c r="Z272" s="40"/>
      <c r="AA272" s="40"/>
      <c r="AB272" s="40"/>
      <c r="AC272" s="40"/>
      <c r="AD272" s="40"/>
      <c r="AE272" s="40"/>
      <c r="AF272" s="40"/>
      <c r="AG272" s="40"/>
      <c r="AH272" s="40"/>
      <c r="AI272" s="40"/>
      <c r="AJ272" s="40"/>
      <c r="AK272" s="40"/>
      <c r="AL272" s="40"/>
      <c r="AM272" s="40"/>
      <c r="AN272" s="40"/>
      <c r="AO272" s="40"/>
      <c r="AP272" s="40"/>
      <c r="AQ272" s="40"/>
      <c r="AR272" s="40"/>
      <c r="AS272" s="40"/>
      <c r="AT272" s="40"/>
      <c r="AU272" s="40"/>
      <c r="AV272" s="40"/>
      <c r="AW272" s="40"/>
      <c r="AX272" s="40"/>
      <c r="AY272" s="40"/>
      <c r="AZ272" s="40"/>
      <c r="BA272" s="5"/>
    </row>
    <row r="273" spans="1:53" ht="15" thickBot="1" x14ac:dyDescent="0.4">
      <c r="A273" s="30" t="s">
        <v>358</v>
      </c>
      <c r="B273" s="30" t="s">
        <v>359</v>
      </c>
      <c r="C273" s="30" t="s">
        <v>359</v>
      </c>
      <c r="D273" s="30" t="s">
        <v>359</v>
      </c>
      <c r="E273" s="30" t="s">
        <v>359</v>
      </c>
      <c r="F273" s="30" t="s">
        <v>359</v>
      </c>
      <c r="G273" s="30" t="s">
        <v>359</v>
      </c>
      <c r="H273" s="30" t="s">
        <v>359</v>
      </c>
      <c r="I273" s="263" t="s">
        <v>359</v>
      </c>
      <c r="J273" s="264" t="s">
        <v>1018</v>
      </c>
      <c r="K273" s="5" t="s">
        <v>904</v>
      </c>
      <c r="L273" s="5"/>
      <c r="M273" s="5" t="s">
        <v>445</v>
      </c>
      <c r="N273" s="5"/>
      <c r="O273" s="5"/>
      <c r="P273" s="412">
        <v>2127</v>
      </c>
      <c r="Q273" s="110"/>
      <c r="R273" s="110"/>
      <c r="S273" s="110"/>
      <c r="T273" s="110"/>
      <c r="U273" s="110"/>
      <c r="V273" s="121">
        <f t="shared" si="4"/>
        <v>2127</v>
      </c>
      <c r="W273" s="40"/>
      <c r="X273" s="40" t="s">
        <v>358</v>
      </c>
      <c r="Y273" s="40"/>
      <c r="Z273" s="40"/>
      <c r="AA273" s="40"/>
      <c r="AB273" s="40"/>
      <c r="AC273" s="40"/>
      <c r="AD273" s="40"/>
      <c r="AE273" s="40"/>
      <c r="AF273" s="40"/>
      <c r="AG273" s="40"/>
      <c r="AH273" s="40"/>
      <c r="AI273" s="40"/>
      <c r="AJ273" s="40"/>
      <c r="AK273" s="40"/>
      <c r="AL273" s="40"/>
      <c r="AM273" s="40"/>
      <c r="AN273" s="40"/>
      <c r="AO273" s="40"/>
      <c r="AP273" s="40"/>
      <c r="AQ273" s="40"/>
      <c r="AR273" s="40"/>
      <c r="AS273" s="40"/>
      <c r="AT273" s="40"/>
      <c r="AU273" s="40"/>
      <c r="AV273" s="40"/>
      <c r="AW273" s="40"/>
      <c r="AX273" s="40"/>
      <c r="AY273" s="40"/>
      <c r="AZ273" s="40"/>
      <c r="BA273" s="5"/>
    </row>
    <row r="274" spans="1:53" ht="15" thickBot="1" x14ac:dyDescent="0.4">
      <c r="A274" s="30" t="s">
        <v>358</v>
      </c>
      <c r="B274" s="30" t="s">
        <v>359</v>
      </c>
      <c r="C274" s="30" t="s">
        <v>359</v>
      </c>
      <c r="D274" s="30" t="s">
        <v>359</v>
      </c>
      <c r="E274" s="30" t="s">
        <v>359</v>
      </c>
      <c r="F274" s="30" t="s">
        <v>359</v>
      </c>
      <c r="G274" s="30" t="s">
        <v>359</v>
      </c>
      <c r="H274" s="30" t="s">
        <v>359</v>
      </c>
      <c r="I274" s="263" t="s">
        <v>359</v>
      </c>
      <c r="J274" s="264" t="s">
        <v>1018</v>
      </c>
      <c r="K274" s="5" t="s">
        <v>905</v>
      </c>
      <c r="L274" s="5"/>
      <c r="M274" s="5" t="s">
        <v>445</v>
      </c>
      <c r="N274" s="5"/>
      <c r="O274" s="5"/>
      <c r="P274" s="412">
        <v>2742</v>
      </c>
      <c r="Q274" s="110"/>
      <c r="R274" s="110"/>
      <c r="S274" s="110"/>
      <c r="T274" s="110"/>
      <c r="U274" s="110"/>
      <c r="V274" s="121">
        <f t="shared" si="4"/>
        <v>2742</v>
      </c>
      <c r="W274" s="40"/>
      <c r="X274" s="40" t="s">
        <v>358</v>
      </c>
      <c r="Y274" s="40"/>
      <c r="Z274" s="40"/>
      <c r="AA274" s="40"/>
      <c r="AB274" s="40"/>
      <c r="AC274" s="40"/>
      <c r="AD274" s="40"/>
      <c r="AE274" s="40"/>
      <c r="AF274" s="40"/>
      <c r="AG274" s="40"/>
      <c r="AH274" s="40"/>
      <c r="AI274" s="40"/>
      <c r="AJ274" s="40"/>
      <c r="AK274" s="40"/>
      <c r="AL274" s="40"/>
      <c r="AM274" s="40"/>
      <c r="AN274" s="40"/>
      <c r="AO274" s="40"/>
      <c r="AP274" s="40"/>
      <c r="AQ274" s="40"/>
      <c r="AR274" s="40"/>
      <c r="AS274" s="40"/>
      <c r="AT274" s="40"/>
      <c r="AU274" s="40"/>
      <c r="AV274" s="40"/>
      <c r="AW274" s="40"/>
      <c r="AX274" s="40"/>
      <c r="AY274" s="40"/>
      <c r="AZ274" s="40"/>
      <c r="BA274" s="5"/>
    </row>
    <row r="275" spans="1:53" ht="15" thickBot="1" x14ac:dyDescent="0.4">
      <c r="A275" s="30" t="s">
        <v>358</v>
      </c>
      <c r="B275" s="30" t="s">
        <v>359</v>
      </c>
      <c r="C275" s="30" t="s">
        <v>359</v>
      </c>
      <c r="D275" s="30" t="s">
        <v>359</v>
      </c>
      <c r="E275" s="30" t="s">
        <v>359</v>
      </c>
      <c r="F275" s="30" t="s">
        <v>359</v>
      </c>
      <c r="G275" s="30" t="s">
        <v>359</v>
      </c>
      <c r="H275" s="30" t="s">
        <v>359</v>
      </c>
      <c r="I275" s="263" t="s">
        <v>359</v>
      </c>
      <c r="J275" s="264" t="s">
        <v>1018</v>
      </c>
      <c r="K275" s="5" t="s">
        <v>906</v>
      </c>
      <c r="L275" s="5"/>
      <c r="M275" s="5" t="s">
        <v>445</v>
      </c>
      <c r="N275" s="5"/>
      <c r="O275" s="5"/>
      <c r="P275" s="412">
        <v>1643</v>
      </c>
      <c r="Q275" s="110"/>
      <c r="R275" s="110"/>
      <c r="S275" s="110"/>
      <c r="T275" s="110"/>
      <c r="U275" s="110"/>
      <c r="V275" s="121">
        <f t="shared" si="4"/>
        <v>1643</v>
      </c>
      <c r="W275" s="40"/>
      <c r="X275" s="40" t="s">
        <v>358</v>
      </c>
      <c r="Y275" s="40"/>
      <c r="Z275" s="40"/>
      <c r="AA275" s="40"/>
      <c r="AB275" s="40"/>
      <c r="AC275" s="40"/>
      <c r="AD275" s="40"/>
      <c r="AE275" s="40"/>
      <c r="AF275" s="40"/>
      <c r="AG275" s="40"/>
      <c r="AH275" s="40"/>
      <c r="AI275" s="40"/>
      <c r="AJ275" s="40"/>
      <c r="AK275" s="40"/>
      <c r="AL275" s="40"/>
      <c r="AM275" s="40"/>
      <c r="AN275" s="40"/>
      <c r="AO275" s="40"/>
      <c r="AP275" s="40"/>
      <c r="AQ275" s="40"/>
      <c r="AR275" s="40"/>
      <c r="AS275" s="40"/>
      <c r="AT275" s="40"/>
      <c r="AU275" s="40"/>
      <c r="AV275" s="40"/>
      <c r="AW275" s="40"/>
      <c r="AX275" s="40"/>
      <c r="AY275" s="40"/>
      <c r="AZ275" s="40"/>
      <c r="BA275" s="5"/>
    </row>
    <row r="276" spans="1:53" ht="15" thickBot="1" x14ac:dyDescent="0.4">
      <c r="A276" s="30" t="s">
        <v>358</v>
      </c>
      <c r="B276" s="30" t="s">
        <v>359</v>
      </c>
      <c r="C276" s="30" t="s">
        <v>359</v>
      </c>
      <c r="D276" s="30" t="s">
        <v>359</v>
      </c>
      <c r="E276" s="30" t="s">
        <v>359</v>
      </c>
      <c r="F276" s="30" t="s">
        <v>359</v>
      </c>
      <c r="G276" s="30" t="s">
        <v>359</v>
      </c>
      <c r="H276" s="30" t="s">
        <v>359</v>
      </c>
      <c r="I276" s="263" t="s">
        <v>359</v>
      </c>
      <c r="J276" s="264" t="s">
        <v>1018</v>
      </c>
      <c r="K276" s="5" t="s">
        <v>907</v>
      </c>
      <c r="L276" s="5"/>
      <c r="M276" s="5" t="s">
        <v>445</v>
      </c>
      <c r="N276" s="5"/>
      <c r="O276" s="5"/>
      <c r="P276" s="412">
        <v>1693</v>
      </c>
      <c r="Q276" s="110"/>
      <c r="R276" s="110"/>
      <c r="S276" s="110"/>
      <c r="T276" s="110"/>
      <c r="U276" s="110"/>
      <c r="V276" s="121">
        <f t="shared" si="4"/>
        <v>1693</v>
      </c>
      <c r="W276" s="40"/>
      <c r="X276" s="40" t="s">
        <v>358</v>
      </c>
      <c r="Y276" s="40"/>
      <c r="Z276" s="40"/>
      <c r="AA276" s="40"/>
      <c r="AB276" s="40"/>
      <c r="AC276" s="40"/>
      <c r="AD276" s="40"/>
      <c r="AE276" s="40"/>
      <c r="AF276" s="40"/>
      <c r="AG276" s="40"/>
      <c r="AH276" s="40"/>
      <c r="AI276" s="40"/>
      <c r="AJ276" s="40"/>
      <c r="AK276" s="40"/>
      <c r="AL276" s="40"/>
      <c r="AM276" s="40"/>
      <c r="AN276" s="40"/>
      <c r="AO276" s="40"/>
      <c r="AP276" s="40"/>
      <c r="AQ276" s="40"/>
      <c r="AR276" s="40"/>
      <c r="AS276" s="40"/>
      <c r="AT276" s="40"/>
      <c r="AU276" s="40"/>
      <c r="AV276" s="40"/>
      <c r="AW276" s="40"/>
      <c r="AX276" s="40"/>
      <c r="AY276" s="40"/>
      <c r="AZ276" s="40"/>
      <c r="BA276" s="5"/>
    </row>
    <row r="277" spans="1:53" ht="15" thickBot="1" x14ac:dyDescent="0.4">
      <c r="A277" s="30" t="s">
        <v>358</v>
      </c>
      <c r="B277" s="30" t="s">
        <v>359</v>
      </c>
      <c r="C277" s="30" t="s">
        <v>359</v>
      </c>
      <c r="D277" s="30" t="s">
        <v>359</v>
      </c>
      <c r="E277" s="30" t="s">
        <v>359</v>
      </c>
      <c r="F277" s="30" t="s">
        <v>359</v>
      </c>
      <c r="G277" s="30" t="s">
        <v>359</v>
      </c>
      <c r="H277" s="30" t="s">
        <v>359</v>
      </c>
      <c r="I277" s="263" t="s">
        <v>359</v>
      </c>
      <c r="J277" s="264" t="s">
        <v>1018</v>
      </c>
      <c r="K277" s="5" t="s">
        <v>908</v>
      </c>
      <c r="L277" s="5"/>
      <c r="M277" s="5" t="s">
        <v>445</v>
      </c>
      <c r="N277" s="5"/>
      <c r="O277" s="5"/>
      <c r="P277" s="412">
        <v>2688</v>
      </c>
      <c r="Q277" s="110"/>
      <c r="R277" s="110"/>
      <c r="S277" s="110"/>
      <c r="T277" s="110"/>
      <c r="U277" s="110"/>
      <c r="V277" s="121">
        <f t="shared" ref="V277:V340" si="5">ROUND(SUM(P277:U277),3)</f>
        <v>2688</v>
      </c>
      <c r="W277" s="40"/>
      <c r="X277" s="40" t="s">
        <v>358</v>
      </c>
      <c r="Y277" s="40"/>
      <c r="Z277" s="40"/>
      <c r="AA277" s="40"/>
      <c r="AB277" s="40"/>
      <c r="AC277" s="40"/>
      <c r="AD277" s="40"/>
      <c r="AE277" s="40"/>
      <c r="AF277" s="40"/>
      <c r="AG277" s="40"/>
      <c r="AH277" s="40"/>
      <c r="AI277" s="40"/>
      <c r="AJ277" s="40"/>
      <c r="AK277" s="40"/>
      <c r="AL277" s="40"/>
      <c r="AM277" s="40"/>
      <c r="AN277" s="40"/>
      <c r="AO277" s="40"/>
      <c r="AP277" s="40"/>
      <c r="AQ277" s="40"/>
      <c r="AR277" s="40"/>
      <c r="AS277" s="40"/>
      <c r="AT277" s="40"/>
      <c r="AU277" s="40"/>
      <c r="AV277" s="40"/>
      <c r="AW277" s="40"/>
      <c r="AX277" s="40"/>
      <c r="AY277" s="40"/>
      <c r="AZ277" s="40"/>
      <c r="BA277" s="5"/>
    </row>
    <row r="278" spans="1:53" ht="15" thickBot="1" x14ac:dyDescent="0.4">
      <c r="A278" s="30" t="s">
        <v>358</v>
      </c>
      <c r="B278" s="30" t="s">
        <v>359</v>
      </c>
      <c r="C278" s="30" t="s">
        <v>359</v>
      </c>
      <c r="D278" s="30" t="s">
        <v>359</v>
      </c>
      <c r="E278" s="30" t="s">
        <v>359</v>
      </c>
      <c r="F278" s="30" t="s">
        <v>359</v>
      </c>
      <c r="G278" s="30" t="s">
        <v>359</v>
      </c>
      <c r="H278" s="30" t="s">
        <v>359</v>
      </c>
      <c r="I278" s="263" t="s">
        <v>359</v>
      </c>
      <c r="J278" s="264" t="s">
        <v>1018</v>
      </c>
      <c r="K278" s="5" t="s">
        <v>909</v>
      </c>
      <c r="L278" s="5"/>
      <c r="M278" s="5" t="s">
        <v>445</v>
      </c>
      <c r="N278" s="5"/>
      <c r="O278" s="5"/>
      <c r="P278" s="412">
        <v>2161</v>
      </c>
      <c r="Q278" s="110"/>
      <c r="R278" s="110"/>
      <c r="S278" s="110"/>
      <c r="T278" s="110"/>
      <c r="U278" s="110"/>
      <c r="V278" s="121">
        <f t="shared" si="5"/>
        <v>2161</v>
      </c>
      <c r="W278" s="40"/>
      <c r="X278" s="40" t="s">
        <v>358</v>
      </c>
      <c r="Y278" s="40"/>
      <c r="Z278" s="40"/>
      <c r="AA278" s="40"/>
      <c r="AB278" s="40"/>
      <c r="AC278" s="40"/>
      <c r="AD278" s="40"/>
      <c r="AE278" s="40"/>
      <c r="AF278" s="40"/>
      <c r="AG278" s="40"/>
      <c r="AH278" s="40"/>
      <c r="AI278" s="40"/>
      <c r="AJ278" s="40"/>
      <c r="AK278" s="40"/>
      <c r="AL278" s="40"/>
      <c r="AM278" s="40"/>
      <c r="AN278" s="40"/>
      <c r="AO278" s="40"/>
      <c r="AP278" s="40"/>
      <c r="AQ278" s="40"/>
      <c r="AR278" s="40"/>
      <c r="AS278" s="40"/>
      <c r="AT278" s="40"/>
      <c r="AU278" s="40"/>
      <c r="AV278" s="40"/>
      <c r="AW278" s="40"/>
      <c r="AX278" s="40"/>
      <c r="AY278" s="40"/>
      <c r="AZ278" s="40"/>
      <c r="BA278" s="5"/>
    </row>
    <row r="279" spans="1:53" ht="15" thickBot="1" x14ac:dyDescent="0.4">
      <c r="A279" s="30" t="s">
        <v>358</v>
      </c>
      <c r="B279" s="30" t="s">
        <v>359</v>
      </c>
      <c r="C279" s="30" t="s">
        <v>359</v>
      </c>
      <c r="D279" s="30" t="s">
        <v>359</v>
      </c>
      <c r="E279" s="30" t="s">
        <v>359</v>
      </c>
      <c r="F279" s="30" t="s">
        <v>359</v>
      </c>
      <c r="G279" s="30" t="s">
        <v>359</v>
      </c>
      <c r="H279" s="30" t="s">
        <v>359</v>
      </c>
      <c r="I279" s="263" t="s">
        <v>359</v>
      </c>
      <c r="J279" s="264" t="s">
        <v>1018</v>
      </c>
      <c r="K279" s="5" t="s">
        <v>910</v>
      </c>
      <c r="L279" s="5"/>
      <c r="M279" s="5" t="s">
        <v>445</v>
      </c>
      <c r="N279" s="5"/>
      <c r="O279" s="5"/>
      <c r="P279" s="412">
        <v>1382</v>
      </c>
      <c r="Q279" s="110"/>
      <c r="R279" s="110"/>
      <c r="S279" s="110"/>
      <c r="T279" s="110"/>
      <c r="U279" s="110"/>
      <c r="V279" s="121">
        <f t="shared" si="5"/>
        <v>1382</v>
      </c>
      <c r="W279" s="40"/>
      <c r="X279" s="40" t="s">
        <v>358</v>
      </c>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0"/>
      <c r="AY279" s="40"/>
      <c r="AZ279" s="40"/>
      <c r="BA279" s="5"/>
    </row>
    <row r="280" spans="1:53" ht="15" thickBot="1" x14ac:dyDescent="0.4">
      <c r="A280" s="30" t="s">
        <v>358</v>
      </c>
      <c r="B280" s="30" t="s">
        <v>359</v>
      </c>
      <c r="C280" s="30" t="s">
        <v>359</v>
      </c>
      <c r="D280" s="30" t="s">
        <v>359</v>
      </c>
      <c r="E280" s="30" t="s">
        <v>359</v>
      </c>
      <c r="F280" s="30" t="s">
        <v>359</v>
      </c>
      <c r="G280" s="30" t="s">
        <v>359</v>
      </c>
      <c r="H280" s="30" t="s">
        <v>359</v>
      </c>
      <c r="I280" s="263" t="s">
        <v>359</v>
      </c>
      <c r="J280" s="264" t="s">
        <v>1018</v>
      </c>
      <c r="K280" s="5" t="s">
        <v>911</v>
      </c>
      <c r="L280" s="5"/>
      <c r="M280" s="5" t="s">
        <v>445</v>
      </c>
      <c r="N280" s="5"/>
      <c r="O280" s="5"/>
      <c r="P280" s="412">
        <v>2385</v>
      </c>
      <c r="Q280" s="110"/>
      <c r="R280" s="110"/>
      <c r="S280" s="110"/>
      <c r="T280" s="110"/>
      <c r="U280" s="110"/>
      <c r="V280" s="121">
        <f t="shared" si="5"/>
        <v>2385</v>
      </c>
      <c r="W280" s="40"/>
      <c r="X280" s="40" t="s">
        <v>358</v>
      </c>
      <c r="Y280" s="40"/>
      <c r="Z280" s="40"/>
      <c r="AA280" s="40"/>
      <c r="AB280" s="40"/>
      <c r="AC280" s="40"/>
      <c r="AD280" s="40"/>
      <c r="AE280" s="40"/>
      <c r="AF280" s="40"/>
      <c r="AG280" s="40"/>
      <c r="AH280" s="40"/>
      <c r="AI280" s="40"/>
      <c r="AJ280" s="40"/>
      <c r="AK280" s="40"/>
      <c r="AL280" s="40"/>
      <c r="AM280" s="40"/>
      <c r="AN280" s="40"/>
      <c r="AO280" s="40"/>
      <c r="AP280" s="40"/>
      <c r="AQ280" s="40"/>
      <c r="AR280" s="40"/>
      <c r="AS280" s="40"/>
      <c r="AT280" s="40"/>
      <c r="AU280" s="40"/>
      <c r="AV280" s="40"/>
      <c r="AW280" s="40"/>
      <c r="AX280" s="40"/>
      <c r="AY280" s="40"/>
      <c r="AZ280" s="40"/>
      <c r="BA280" s="5"/>
    </row>
    <row r="281" spans="1:53" ht="15" thickBot="1" x14ac:dyDescent="0.4">
      <c r="A281" s="30" t="s">
        <v>358</v>
      </c>
      <c r="B281" s="30" t="s">
        <v>359</v>
      </c>
      <c r="C281" s="30" t="s">
        <v>359</v>
      </c>
      <c r="D281" s="30" t="s">
        <v>359</v>
      </c>
      <c r="E281" s="30" t="s">
        <v>359</v>
      </c>
      <c r="F281" s="30" t="s">
        <v>359</v>
      </c>
      <c r="G281" s="30" t="s">
        <v>359</v>
      </c>
      <c r="H281" s="30" t="s">
        <v>359</v>
      </c>
      <c r="I281" s="263" t="s">
        <v>359</v>
      </c>
      <c r="J281" s="264" t="s">
        <v>1018</v>
      </c>
      <c r="K281" s="5" t="s">
        <v>912</v>
      </c>
      <c r="L281" s="5"/>
      <c r="M281" s="5" t="s">
        <v>445</v>
      </c>
      <c r="N281" s="5"/>
      <c r="O281" s="5"/>
      <c r="P281" s="412">
        <v>2890</v>
      </c>
      <c r="Q281" s="110"/>
      <c r="R281" s="110"/>
      <c r="S281" s="110"/>
      <c r="T281" s="110"/>
      <c r="U281" s="110"/>
      <c r="V281" s="121">
        <f t="shared" si="5"/>
        <v>2890</v>
      </c>
      <c r="W281" s="40"/>
      <c r="X281" s="40" t="s">
        <v>358</v>
      </c>
      <c r="Y281" s="40"/>
      <c r="Z281" s="40"/>
      <c r="AA281" s="40"/>
      <c r="AB281" s="40"/>
      <c r="AC281" s="40"/>
      <c r="AD281" s="40"/>
      <c r="AE281" s="40"/>
      <c r="AF281" s="40"/>
      <c r="AG281" s="40"/>
      <c r="AH281" s="40"/>
      <c r="AI281" s="40"/>
      <c r="AJ281" s="40"/>
      <c r="AK281" s="40"/>
      <c r="AL281" s="40"/>
      <c r="AM281" s="40"/>
      <c r="AN281" s="40"/>
      <c r="AO281" s="40"/>
      <c r="AP281" s="40"/>
      <c r="AQ281" s="40"/>
      <c r="AR281" s="40"/>
      <c r="AS281" s="40"/>
      <c r="AT281" s="40"/>
      <c r="AU281" s="40"/>
      <c r="AV281" s="40"/>
      <c r="AW281" s="40"/>
      <c r="AX281" s="40"/>
      <c r="AY281" s="40"/>
      <c r="AZ281" s="40"/>
      <c r="BA281" s="5"/>
    </row>
    <row r="282" spans="1:53" ht="15" thickBot="1" x14ac:dyDescent="0.4">
      <c r="A282" s="30" t="s">
        <v>358</v>
      </c>
      <c r="B282" s="30" t="s">
        <v>359</v>
      </c>
      <c r="C282" s="30" t="s">
        <v>359</v>
      </c>
      <c r="D282" s="30" t="s">
        <v>359</v>
      </c>
      <c r="E282" s="30" t="s">
        <v>359</v>
      </c>
      <c r="F282" s="30" t="s">
        <v>359</v>
      </c>
      <c r="G282" s="30" t="s">
        <v>359</v>
      </c>
      <c r="H282" s="30" t="s">
        <v>359</v>
      </c>
      <c r="I282" s="263" t="s">
        <v>359</v>
      </c>
      <c r="J282" s="264" t="s">
        <v>1018</v>
      </c>
      <c r="K282" s="5" t="s">
        <v>913</v>
      </c>
      <c r="L282" s="5"/>
      <c r="M282" s="5" t="s">
        <v>445</v>
      </c>
      <c r="N282" s="5"/>
      <c r="O282" s="5"/>
      <c r="P282" s="412">
        <v>2847</v>
      </c>
      <c r="Q282" s="110"/>
      <c r="R282" s="110"/>
      <c r="S282" s="110"/>
      <c r="T282" s="110"/>
      <c r="U282" s="110"/>
      <c r="V282" s="121">
        <f t="shared" si="5"/>
        <v>2847</v>
      </c>
      <c r="W282" s="40"/>
      <c r="X282" s="40" t="s">
        <v>358</v>
      </c>
      <c r="Y282" s="40"/>
      <c r="Z282" s="40"/>
      <c r="AA282" s="40"/>
      <c r="AB282" s="40"/>
      <c r="AC282" s="40"/>
      <c r="AD282" s="40"/>
      <c r="AE282" s="40"/>
      <c r="AF282" s="40"/>
      <c r="AG282" s="40"/>
      <c r="AH282" s="40"/>
      <c r="AI282" s="40"/>
      <c r="AJ282" s="40"/>
      <c r="AK282" s="40"/>
      <c r="AL282" s="40"/>
      <c r="AM282" s="40"/>
      <c r="AN282" s="40"/>
      <c r="AO282" s="40"/>
      <c r="AP282" s="40"/>
      <c r="AQ282" s="40"/>
      <c r="AR282" s="40"/>
      <c r="AS282" s="40"/>
      <c r="AT282" s="40"/>
      <c r="AU282" s="40"/>
      <c r="AV282" s="40"/>
      <c r="AW282" s="40"/>
      <c r="AX282" s="40"/>
      <c r="AY282" s="40"/>
      <c r="AZ282" s="40"/>
      <c r="BA282" s="5"/>
    </row>
    <row r="283" spans="1:53" ht="15" thickBot="1" x14ac:dyDescent="0.4">
      <c r="A283" s="30" t="s">
        <v>358</v>
      </c>
      <c r="B283" s="30" t="s">
        <v>359</v>
      </c>
      <c r="C283" s="30" t="s">
        <v>359</v>
      </c>
      <c r="D283" s="30" t="s">
        <v>359</v>
      </c>
      <c r="E283" s="30" t="s">
        <v>359</v>
      </c>
      <c r="F283" s="30" t="s">
        <v>359</v>
      </c>
      <c r="G283" s="30" t="s">
        <v>359</v>
      </c>
      <c r="H283" s="30" t="s">
        <v>359</v>
      </c>
      <c r="I283" s="263" t="s">
        <v>359</v>
      </c>
      <c r="J283" s="264" t="s">
        <v>1018</v>
      </c>
      <c r="K283" s="5" t="s">
        <v>914</v>
      </c>
      <c r="L283" s="5"/>
      <c r="M283" s="5" t="s">
        <v>445</v>
      </c>
      <c r="N283" s="5"/>
      <c r="O283" s="5"/>
      <c r="P283" s="412">
        <v>2290</v>
      </c>
      <c r="Q283" s="110"/>
      <c r="R283" s="110"/>
      <c r="S283" s="110"/>
      <c r="T283" s="110"/>
      <c r="U283" s="110"/>
      <c r="V283" s="121">
        <f t="shared" si="5"/>
        <v>2290</v>
      </c>
      <c r="W283" s="40"/>
      <c r="X283" s="40" t="s">
        <v>358</v>
      </c>
      <c r="Y283" s="40"/>
      <c r="Z283" s="40"/>
      <c r="AA283" s="40"/>
      <c r="AB283" s="40"/>
      <c r="AC283" s="40"/>
      <c r="AD283" s="40"/>
      <c r="AE283" s="40"/>
      <c r="AF283" s="40"/>
      <c r="AG283" s="40"/>
      <c r="AH283" s="40"/>
      <c r="AI283" s="40"/>
      <c r="AJ283" s="40"/>
      <c r="AK283" s="40"/>
      <c r="AL283" s="40"/>
      <c r="AM283" s="40"/>
      <c r="AN283" s="40"/>
      <c r="AO283" s="40"/>
      <c r="AP283" s="40"/>
      <c r="AQ283" s="40"/>
      <c r="AR283" s="40"/>
      <c r="AS283" s="40"/>
      <c r="AT283" s="40"/>
      <c r="AU283" s="40"/>
      <c r="AV283" s="40"/>
      <c r="AW283" s="40"/>
      <c r="AX283" s="40"/>
      <c r="AY283" s="40"/>
      <c r="AZ283" s="40"/>
      <c r="BA283" s="5"/>
    </row>
    <row r="284" spans="1:53" ht="15" thickBot="1" x14ac:dyDescent="0.4">
      <c r="A284" s="30" t="s">
        <v>358</v>
      </c>
      <c r="B284" s="30" t="s">
        <v>359</v>
      </c>
      <c r="C284" s="30" t="s">
        <v>359</v>
      </c>
      <c r="D284" s="30" t="s">
        <v>359</v>
      </c>
      <c r="E284" s="30" t="s">
        <v>359</v>
      </c>
      <c r="F284" s="30" t="s">
        <v>359</v>
      </c>
      <c r="G284" s="30" t="s">
        <v>359</v>
      </c>
      <c r="H284" s="30" t="s">
        <v>359</v>
      </c>
      <c r="I284" s="263" t="s">
        <v>359</v>
      </c>
      <c r="J284" s="264" t="s">
        <v>1018</v>
      </c>
      <c r="K284" s="5" t="s">
        <v>915</v>
      </c>
      <c r="L284" s="5"/>
      <c r="M284" s="5" t="s">
        <v>445</v>
      </c>
      <c r="N284" s="5"/>
      <c r="O284" s="5"/>
      <c r="P284" s="412">
        <v>2794</v>
      </c>
      <c r="Q284" s="110"/>
      <c r="R284" s="110"/>
      <c r="S284" s="110"/>
      <c r="T284" s="110"/>
      <c r="U284" s="110"/>
      <c r="V284" s="121">
        <f t="shared" si="5"/>
        <v>2794</v>
      </c>
      <c r="W284" s="40"/>
      <c r="X284" s="40" t="s">
        <v>358</v>
      </c>
      <c r="Y284" s="40"/>
      <c r="Z284" s="40"/>
      <c r="AA284" s="40"/>
      <c r="AB284" s="40"/>
      <c r="AC284" s="40"/>
      <c r="AD284" s="40"/>
      <c r="AE284" s="40"/>
      <c r="AF284" s="40"/>
      <c r="AG284" s="40"/>
      <c r="AH284" s="40"/>
      <c r="AI284" s="40"/>
      <c r="AJ284" s="40"/>
      <c r="AK284" s="40"/>
      <c r="AL284" s="40"/>
      <c r="AM284" s="40"/>
      <c r="AN284" s="40"/>
      <c r="AO284" s="40"/>
      <c r="AP284" s="40"/>
      <c r="AQ284" s="40"/>
      <c r="AR284" s="40"/>
      <c r="AS284" s="40"/>
      <c r="AT284" s="40"/>
      <c r="AU284" s="40"/>
      <c r="AV284" s="40"/>
      <c r="AW284" s="40"/>
      <c r="AX284" s="40"/>
      <c r="AY284" s="40"/>
      <c r="AZ284" s="40"/>
      <c r="BA284" s="5"/>
    </row>
    <row r="285" spans="1:53" ht="15" thickBot="1" x14ac:dyDescent="0.4">
      <c r="A285" s="30" t="s">
        <v>358</v>
      </c>
      <c r="B285" s="30" t="s">
        <v>359</v>
      </c>
      <c r="C285" s="30" t="s">
        <v>359</v>
      </c>
      <c r="D285" s="30" t="s">
        <v>359</v>
      </c>
      <c r="E285" s="30" t="s">
        <v>359</v>
      </c>
      <c r="F285" s="30" t="s">
        <v>359</v>
      </c>
      <c r="G285" s="30" t="s">
        <v>359</v>
      </c>
      <c r="H285" s="30" t="s">
        <v>359</v>
      </c>
      <c r="I285" s="263" t="s">
        <v>359</v>
      </c>
      <c r="J285" s="264" t="s">
        <v>1018</v>
      </c>
      <c r="K285" s="5" t="s">
        <v>916</v>
      </c>
      <c r="L285" s="5"/>
      <c r="M285" s="5" t="s">
        <v>445</v>
      </c>
      <c r="N285" s="5"/>
      <c r="O285" s="5"/>
      <c r="P285" s="412">
        <v>2473</v>
      </c>
      <c r="Q285" s="110"/>
      <c r="R285" s="110"/>
      <c r="S285" s="110"/>
      <c r="T285" s="110"/>
      <c r="U285" s="110"/>
      <c r="V285" s="121">
        <f t="shared" si="5"/>
        <v>2473</v>
      </c>
      <c r="W285" s="40"/>
      <c r="X285" s="40" t="s">
        <v>358</v>
      </c>
      <c r="Y285" s="40"/>
      <c r="Z285" s="40"/>
      <c r="AA285" s="40"/>
      <c r="AB285" s="40"/>
      <c r="AC285" s="40"/>
      <c r="AD285" s="40"/>
      <c r="AE285" s="40"/>
      <c r="AF285" s="40"/>
      <c r="AG285" s="40"/>
      <c r="AH285" s="40"/>
      <c r="AI285" s="40"/>
      <c r="AJ285" s="40"/>
      <c r="AK285" s="40"/>
      <c r="AL285" s="40"/>
      <c r="AM285" s="40"/>
      <c r="AN285" s="40"/>
      <c r="AO285" s="40"/>
      <c r="AP285" s="40"/>
      <c r="AQ285" s="40"/>
      <c r="AR285" s="40"/>
      <c r="AS285" s="40"/>
      <c r="AT285" s="40"/>
      <c r="AU285" s="40"/>
      <c r="AV285" s="40"/>
      <c r="AW285" s="40"/>
      <c r="AX285" s="40"/>
      <c r="AY285" s="40"/>
      <c r="AZ285" s="40"/>
      <c r="BA285" s="5"/>
    </row>
    <row r="286" spans="1:53" ht="15" thickBot="1" x14ac:dyDescent="0.4">
      <c r="A286" s="30" t="s">
        <v>358</v>
      </c>
      <c r="B286" s="30" t="s">
        <v>359</v>
      </c>
      <c r="C286" s="30" t="s">
        <v>359</v>
      </c>
      <c r="D286" s="30" t="s">
        <v>359</v>
      </c>
      <c r="E286" s="30" t="s">
        <v>359</v>
      </c>
      <c r="F286" s="30" t="s">
        <v>359</v>
      </c>
      <c r="G286" s="30" t="s">
        <v>359</v>
      </c>
      <c r="H286" s="30" t="s">
        <v>359</v>
      </c>
      <c r="I286" s="263" t="s">
        <v>359</v>
      </c>
      <c r="J286" s="264" t="s">
        <v>1018</v>
      </c>
      <c r="K286" s="5" t="s">
        <v>917</v>
      </c>
      <c r="L286" s="5"/>
      <c r="M286" s="5" t="s">
        <v>445</v>
      </c>
      <c r="N286" s="5"/>
      <c r="O286" s="5"/>
      <c r="P286" s="412">
        <v>2350</v>
      </c>
      <c r="Q286" s="110"/>
      <c r="R286" s="110"/>
      <c r="S286" s="110"/>
      <c r="T286" s="110"/>
      <c r="U286" s="110"/>
      <c r="V286" s="121">
        <f t="shared" si="5"/>
        <v>2350</v>
      </c>
      <c r="W286" s="40"/>
      <c r="X286" s="40" t="s">
        <v>358</v>
      </c>
      <c r="Y286" s="40"/>
      <c r="Z286" s="40"/>
      <c r="AA286" s="40"/>
      <c r="AB286" s="40"/>
      <c r="AC286" s="40"/>
      <c r="AD286" s="40"/>
      <c r="AE286" s="40"/>
      <c r="AF286" s="40"/>
      <c r="AG286" s="40"/>
      <c r="AH286" s="40"/>
      <c r="AI286" s="40"/>
      <c r="AJ286" s="40"/>
      <c r="AK286" s="40"/>
      <c r="AL286" s="40"/>
      <c r="AM286" s="40"/>
      <c r="AN286" s="40"/>
      <c r="AO286" s="40"/>
      <c r="AP286" s="40"/>
      <c r="AQ286" s="40"/>
      <c r="AR286" s="40"/>
      <c r="AS286" s="40"/>
      <c r="AT286" s="40"/>
      <c r="AU286" s="40"/>
      <c r="AV286" s="40"/>
      <c r="AW286" s="40"/>
      <c r="AX286" s="40"/>
      <c r="AY286" s="40"/>
      <c r="AZ286" s="40"/>
      <c r="BA286" s="5"/>
    </row>
    <row r="287" spans="1:53" ht="15" thickBot="1" x14ac:dyDescent="0.4">
      <c r="A287" s="30" t="s">
        <v>358</v>
      </c>
      <c r="B287" s="30" t="s">
        <v>359</v>
      </c>
      <c r="C287" s="30" t="s">
        <v>359</v>
      </c>
      <c r="D287" s="30" t="s">
        <v>359</v>
      </c>
      <c r="E287" s="30" t="s">
        <v>359</v>
      </c>
      <c r="F287" s="30" t="s">
        <v>359</v>
      </c>
      <c r="G287" s="30" t="s">
        <v>359</v>
      </c>
      <c r="H287" s="30" t="s">
        <v>359</v>
      </c>
      <c r="I287" s="263" t="s">
        <v>359</v>
      </c>
      <c r="J287" s="264" t="s">
        <v>1018</v>
      </c>
      <c r="K287" s="5" t="s">
        <v>918</v>
      </c>
      <c r="L287" s="5"/>
      <c r="M287" s="5" t="s">
        <v>445</v>
      </c>
      <c r="N287" s="5"/>
      <c r="O287" s="5"/>
      <c r="P287" s="412">
        <v>2274</v>
      </c>
      <c r="Q287" s="110"/>
      <c r="R287" s="110"/>
      <c r="S287" s="110"/>
      <c r="T287" s="110"/>
      <c r="U287" s="110"/>
      <c r="V287" s="121">
        <f t="shared" si="5"/>
        <v>2274</v>
      </c>
      <c r="W287" s="40"/>
      <c r="X287" s="40" t="s">
        <v>358</v>
      </c>
      <c r="Y287" s="40"/>
      <c r="Z287" s="40"/>
      <c r="AA287" s="40"/>
      <c r="AB287" s="40"/>
      <c r="AC287" s="40"/>
      <c r="AD287" s="40"/>
      <c r="AE287" s="40"/>
      <c r="AF287" s="40"/>
      <c r="AG287" s="40"/>
      <c r="AH287" s="40"/>
      <c r="AI287" s="40"/>
      <c r="AJ287" s="40"/>
      <c r="AK287" s="40"/>
      <c r="AL287" s="40"/>
      <c r="AM287" s="40"/>
      <c r="AN287" s="40"/>
      <c r="AO287" s="40"/>
      <c r="AP287" s="40"/>
      <c r="AQ287" s="40"/>
      <c r="AR287" s="40"/>
      <c r="AS287" s="40"/>
      <c r="AT287" s="40"/>
      <c r="AU287" s="40"/>
      <c r="AV287" s="40"/>
      <c r="AW287" s="40"/>
      <c r="AX287" s="40"/>
      <c r="AY287" s="40"/>
      <c r="AZ287" s="40"/>
      <c r="BA287" s="5"/>
    </row>
    <row r="288" spans="1:53" ht="15" thickBot="1" x14ac:dyDescent="0.4">
      <c r="A288" s="30" t="s">
        <v>358</v>
      </c>
      <c r="B288" s="30" t="s">
        <v>359</v>
      </c>
      <c r="C288" s="30" t="s">
        <v>359</v>
      </c>
      <c r="D288" s="30" t="s">
        <v>359</v>
      </c>
      <c r="E288" s="30" t="s">
        <v>359</v>
      </c>
      <c r="F288" s="30" t="s">
        <v>359</v>
      </c>
      <c r="G288" s="30" t="s">
        <v>359</v>
      </c>
      <c r="H288" s="30" t="s">
        <v>359</v>
      </c>
      <c r="I288" s="263" t="s">
        <v>359</v>
      </c>
      <c r="J288" s="264" t="s">
        <v>1018</v>
      </c>
      <c r="K288" s="5" t="s">
        <v>919</v>
      </c>
      <c r="L288" s="5"/>
      <c r="M288" s="5" t="s">
        <v>445</v>
      </c>
      <c r="N288" s="5"/>
      <c r="O288" s="5"/>
      <c r="P288" s="412">
        <v>2212</v>
      </c>
      <c r="Q288" s="110"/>
      <c r="R288" s="110"/>
      <c r="S288" s="110"/>
      <c r="T288" s="110"/>
      <c r="U288" s="110"/>
      <c r="V288" s="121">
        <f t="shared" si="5"/>
        <v>2212</v>
      </c>
      <c r="W288" s="40"/>
      <c r="X288" s="40" t="s">
        <v>358</v>
      </c>
      <c r="Y288" s="40"/>
      <c r="Z288" s="40"/>
      <c r="AA288" s="40"/>
      <c r="AB288" s="40"/>
      <c r="AC288" s="40"/>
      <c r="AD288" s="40"/>
      <c r="AE288" s="40"/>
      <c r="AF288" s="40"/>
      <c r="AG288" s="40"/>
      <c r="AH288" s="40"/>
      <c r="AI288" s="40"/>
      <c r="AJ288" s="40"/>
      <c r="AK288" s="40"/>
      <c r="AL288" s="40"/>
      <c r="AM288" s="40"/>
      <c r="AN288" s="40"/>
      <c r="AO288" s="40"/>
      <c r="AP288" s="40"/>
      <c r="AQ288" s="40"/>
      <c r="AR288" s="40"/>
      <c r="AS288" s="40"/>
      <c r="AT288" s="40"/>
      <c r="AU288" s="40"/>
      <c r="AV288" s="40"/>
      <c r="AW288" s="40"/>
      <c r="AX288" s="40"/>
      <c r="AY288" s="40"/>
      <c r="AZ288" s="40"/>
      <c r="BA288" s="5"/>
    </row>
    <row r="289" spans="1:53" ht="15" thickBot="1" x14ac:dyDescent="0.4">
      <c r="A289" s="30" t="s">
        <v>358</v>
      </c>
      <c r="B289" s="30" t="s">
        <v>359</v>
      </c>
      <c r="C289" s="30" t="s">
        <v>359</v>
      </c>
      <c r="D289" s="30" t="s">
        <v>359</v>
      </c>
      <c r="E289" s="30" t="s">
        <v>359</v>
      </c>
      <c r="F289" s="30" t="s">
        <v>359</v>
      </c>
      <c r="G289" s="30" t="s">
        <v>359</v>
      </c>
      <c r="H289" s="30" t="s">
        <v>359</v>
      </c>
      <c r="I289" s="263" t="s">
        <v>359</v>
      </c>
      <c r="J289" s="264" t="s">
        <v>1018</v>
      </c>
      <c r="K289" s="5" t="s">
        <v>920</v>
      </c>
      <c r="L289" s="5"/>
      <c r="M289" s="5" t="s">
        <v>445</v>
      </c>
      <c r="N289" s="5"/>
      <c r="O289" s="5"/>
      <c r="P289" s="412">
        <v>1431</v>
      </c>
      <c r="Q289" s="110"/>
      <c r="R289" s="110"/>
      <c r="S289" s="110"/>
      <c r="T289" s="110"/>
      <c r="U289" s="110"/>
      <c r="V289" s="121">
        <f t="shared" si="5"/>
        <v>1431</v>
      </c>
      <c r="W289" s="40"/>
      <c r="X289" s="40" t="s">
        <v>358</v>
      </c>
      <c r="Y289" s="40"/>
      <c r="Z289" s="40"/>
      <c r="AA289" s="40"/>
      <c r="AB289" s="40"/>
      <c r="AC289" s="40"/>
      <c r="AD289" s="40"/>
      <c r="AE289" s="40"/>
      <c r="AF289" s="40"/>
      <c r="AG289" s="40"/>
      <c r="AH289" s="40"/>
      <c r="AI289" s="40"/>
      <c r="AJ289" s="40"/>
      <c r="AK289" s="40"/>
      <c r="AL289" s="40"/>
      <c r="AM289" s="40"/>
      <c r="AN289" s="40"/>
      <c r="AO289" s="40"/>
      <c r="AP289" s="40"/>
      <c r="AQ289" s="40"/>
      <c r="AR289" s="40"/>
      <c r="AS289" s="40"/>
      <c r="AT289" s="40"/>
      <c r="AU289" s="40"/>
      <c r="AV289" s="40"/>
      <c r="AW289" s="40"/>
      <c r="AX289" s="40"/>
      <c r="AY289" s="40"/>
      <c r="AZ289" s="40"/>
      <c r="BA289" s="5"/>
    </row>
    <row r="290" spans="1:53" ht="15" thickBot="1" x14ac:dyDescent="0.4">
      <c r="A290" s="30" t="s">
        <v>358</v>
      </c>
      <c r="B290" s="30" t="s">
        <v>359</v>
      </c>
      <c r="C290" s="30" t="s">
        <v>359</v>
      </c>
      <c r="D290" s="30" t="s">
        <v>359</v>
      </c>
      <c r="E290" s="30" t="s">
        <v>359</v>
      </c>
      <c r="F290" s="30" t="s">
        <v>359</v>
      </c>
      <c r="G290" s="30" t="s">
        <v>359</v>
      </c>
      <c r="H290" s="30" t="s">
        <v>359</v>
      </c>
      <c r="I290" s="263" t="s">
        <v>359</v>
      </c>
      <c r="J290" s="264" t="s">
        <v>1018</v>
      </c>
      <c r="K290" s="5" t="s">
        <v>921</v>
      </c>
      <c r="L290" s="5"/>
      <c r="M290" s="5" t="s">
        <v>445</v>
      </c>
      <c r="N290" s="5"/>
      <c r="O290" s="5"/>
      <c r="P290" s="412">
        <v>1371</v>
      </c>
      <c r="Q290" s="110"/>
      <c r="R290" s="110"/>
      <c r="S290" s="110"/>
      <c r="T290" s="110"/>
      <c r="U290" s="110"/>
      <c r="V290" s="121">
        <f t="shared" si="5"/>
        <v>1371</v>
      </c>
      <c r="W290" s="40"/>
      <c r="X290" s="40" t="s">
        <v>358</v>
      </c>
      <c r="Y290" s="40"/>
      <c r="Z290" s="40"/>
      <c r="AA290" s="40"/>
      <c r="AB290" s="40"/>
      <c r="AC290" s="40"/>
      <c r="AD290" s="40"/>
      <c r="AE290" s="40"/>
      <c r="AF290" s="40"/>
      <c r="AG290" s="40"/>
      <c r="AH290" s="40"/>
      <c r="AI290" s="40"/>
      <c r="AJ290" s="40"/>
      <c r="AK290" s="40"/>
      <c r="AL290" s="40"/>
      <c r="AM290" s="40"/>
      <c r="AN290" s="40"/>
      <c r="AO290" s="40"/>
      <c r="AP290" s="40"/>
      <c r="AQ290" s="40"/>
      <c r="AR290" s="40"/>
      <c r="AS290" s="40"/>
      <c r="AT290" s="40"/>
      <c r="AU290" s="40"/>
      <c r="AV290" s="40"/>
      <c r="AW290" s="40"/>
      <c r="AX290" s="40"/>
      <c r="AY290" s="40"/>
      <c r="AZ290" s="40"/>
      <c r="BA290" s="5"/>
    </row>
    <row r="291" spans="1:53" ht="15" thickBot="1" x14ac:dyDescent="0.4">
      <c r="A291" s="30" t="s">
        <v>358</v>
      </c>
      <c r="B291" s="30" t="s">
        <v>359</v>
      </c>
      <c r="C291" s="30" t="s">
        <v>359</v>
      </c>
      <c r="D291" s="30" t="s">
        <v>359</v>
      </c>
      <c r="E291" s="30" t="s">
        <v>359</v>
      </c>
      <c r="F291" s="30" t="s">
        <v>359</v>
      </c>
      <c r="G291" s="30" t="s">
        <v>359</v>
      </c>
      <c r="H291" s="30" t="s">
        <v>359</v>
      </c>
      <c r="I291" s="263" t="s">
        <v>359</v>
      </c>
      <c r="J291" s="264" t="s">
        <v>1018</v>
      </c>
      <c r="K291" s="5" t="s">
        <v>922</v>
      </c>
      <c r="L291" s="5"/>
      <c r="M291" s="5" t="s">
        <v>445</v>
      </c>
      <c r="N291" s="5"/>
      <c r="O291" s="5"/>
      <c r="P291" s="412">
        <v>2024</v>
      </c>
      <c r="Q291" s="110"/>
      <c r="R291" s="110"/>
      <c r="S291" s="110"/>
      <c r="T291" s="110"/>
      <c r="U291" s="110"/>
      <c r="V291" s="121">
        <f t="shared" si="5"/>
        <v>2024</v>
      </c>
      <c r="W291" s="40"/>
      <c r="X291" s="40" t="s">
        <v>358</v>
      </c>
      <c r="Y291" s="40"/>
      <c r="Z291" s="40"/>
      <c r="AA291" s="40"/>
      <c r="AB291" s="40"/>
      <c r="AC291" s="40"/>
      <c r="AD291" s="40"/>
      <c r="AE291" s="40"/>
      <c r="AF291" s="40"/>
      <c r="AG291" s="40"/>
      <c r="AH291" s="40"/>
      <c r="AI291" s="40"/>
      <c r="AJ291" s="40"/>
      <c r="AK291" s="40"/>
      <c r="AL291" s="40"/>
      <c r="AM291" s="40"/>
      <c r="AN291" s="40"/>
      <c r="AO291" s="40"/>
      <c r="AP291" s="40"/>
      <c r="AQ291" s="40"/>
      <c r="AR291" s="40"/>
      <c r="AS291" s="40"/>
      <c r="AT291" s="40"/>
      <c r="AU291" s="40"/>
      <c r="AV291" s="40"/>
      <c r="AW291" s="40"/>
      <c r="AX291" s="40"/>
      <c r="AY291" s="40"/>
      <c r="AZ291" s="40"/>
      <c r="BA291" s="5"/>
    </row>
    <row r="292" spans="1:53" ht="15" thickBot="1" x14ac:dyDescent="0.4">
      <c r="A292" s="30" t="s">
        <v>358</v>
      </c>
      <c r="B292" s="30" t="s">
        <v>359</v>
      </c>
      <c r="C292" s="30" t="s">
        <v>359</v>
      </c>
      <c r="D292" s="30" t="s">
        <v>359</v>
      </c>
      <c r="E292" s="30" t="s">
        <v>359</v>
      </c>
      <c r="F292" s="30" t="s">
        <v>359</v>
      </c>
      <c r="G292" s="30" t="s">
        <v>359</v>
      </c>
      <c r="H292" s="30" t="s">
        <v>359</v>
      </c>
      <c r="I292" s="263" t="s">
        <v>359</v>
      </c>
      <c r="J292" s="264" t="s">
        <v>1018</v>
      </c>
      <c r="K292" s="5" t="s">
        <v>923</v>
      </c>
      <c r="L292" s="5"/>
      <c r="M292" s="5" t="s">
        <v>445</v>
      </c>
      <c r="N292" s="5"/>
      <c r="O292" s="5"/>
      <c r="P292" s="412">
        <v>3417</v>
      </c>
      <c r="Q292" s="110"/>
      <c r="R292" s="110"/>
      <c r="S292" s="110"/>
      <c r="T292" s="110"/>
      <c r="U292" s="110"/>
      <c r="V292" s="121">
        <f t="shared" si="5"/>
        <v>3417</v>
      </c>
      <c r="W292" s="40"/>
      <c r="X292" s="40" t="s">
        <v>358</v>
      </c>
      <c r="Y292" s="40"/>
      <c r="Z292" s="40"/>
      <c r="AA292" s="40"/>
      <c r="AB292" s="40"/>
      <c r="AC292" s="40"/>
      <c r="AD292" s="40"/>
      <c r="AE292" s="40"/>
      <c r="AF292" s="40"/>
      <c r="AG292" s="40"/>
      <c r="AH292" s="40"/>
      <c r="AI292" s="40"/>
      <c r="AJ292" s="40"/>
      <c r="AK292" s="40"/>
      <c r="AL292" s="40"/>
      <c r="AM292" s="40"/>
      <c r="AN292" s="40"/>
      <c r="AO292" s="40"/>
      <c r="AP292" s="40"/>
      <c r="AQ292" s="40"/>
      <c r="AR292" s="40"/>
      <c r="AS292" s="40"/>
      <c r="AT292" s="40"/>
      <c r="AU292" s="40"/>
      <c r="AV292" s="40"/>
      <c r="AW292" s="40"/>
      <c r="AX292" s="40"/>
      <c r="AY292" s="40"/>
      <c r="AZ292" s="40"/>
      <c r="BA292" s="5"/>
    </row>
    <row r="293" spans="1:53" ht="15" thickBot="1" x14ac:dyDescent="0.4">
      <c r="A293" s="30" t="s">
        <v>358</v>
      </c>
      <c r="B293" s="30" t="s">
        <v>359</v>
      </c>
      <c r="C293" s="30" t="s">
        <v>359</v>
      </c>
      <c r="D293" s="30" t="s">
        <v>359</v>
      </c>
      <c r="E293" s="30" t="s">
        <v>359</v>
      </c>
      <c r="F293" s="30" t="s">
        <v>359</v>
      </c>
      <c r="G293" s="30" t="s">
        <v>359</v>
      </c>
      <c r="H293" s="30" t="s">
        <v>359</v>
      </c>
      <c r="I293" s="263" t="s">
        <v>359</v>
      </c>
      <c r="J293" s="264" t="s">
        <v>1018</v>
      </c>
      <c r="K293" s="5" t="s">
        <v>924</v>
      </c>
      <c r="L293" s="5"/>
      <c r="M293" s="5" t="s">
        <v>445</v>
      </c>
      <c r="N293" s="5"/>
      <c r="O293" s="5"/>
      <c r="P293" s="412">
        <v>15.3</v>
      </c>
      <c r="Q293" s="110"/>
      <c r="R293" s="110"/>
      <c r="S293" s="110"/>
      <c r="T293" s="110"/>
      <c r="U293" s="110"/>
      <c r="V293" s="121">
        <f t="shared" si="5"/>
        <v>15.3</v>
      </c>
      <c r="W293" s="40"/>
      <c r="X293" s="40" t="s">
        <v>358</v>
      </c>
      <c r="Y293" s="40"/>
      <c r="Z293" s="40"/>
      <c r="AA293" s="40"/>
      <c r="AB293" s="40"/>
      <c r="AC293" s="40"/>
      <c r="AD293" s="40"/>
      <c r="AE293" s="40"/>
      <c r="AF293" s="40"/>
      <c r="AG293" s="40"/>
      <c r="AH293" s="40"/>
      <c r="AI293" s="40"/>
      <c r="AJ293" s="40"/>
      <c r="AK293" s="40"/>
      <c r="AL293" s="40"/>
      <c r="AM293" s="40"/>
      <c r="AN293" s="40"/>
      <c r="AO293" s="40"/>
      <c r="AP293" s="40"/>
      <c r="AQ293" s="40"/>
      <c r="AR293" s="40"/>
      <c r="AS293" s="40"/>
      <c r="AT293" s="40"/>
      <c r="AU293" s="40"/>
      <c r="AV293" s="40"/>
      <c r="AW293" s="40"/>
      <c r="AX293" s="40"/>
      <c r="AY293" s="40"/>
      <c r="AZ293" s="40"/>
      <c r="BA293" s="5"/>
    </row>
    <row r="294" spans="1:53" ht="15" thickBot="1" x14ac:dyDescent="0.4">
      <c r="A294" s="30" t="s">
        <v>358</v>
      </c>
      <c r="B294" s="30" t="s">
        <v>359</v>
      </c>
      <c r="C294" s="30" t="s">
        <v>359</v>
      </c>
      <c r="D294" s="30" t="s">
        <v>359</v>
      </c>
      <c r="E294" s="30" t="s">
        <v>359</v>
      </c>
      <c r="F294" s="30" t="s">
        <v>359</v>
      </c>
      <c r="G294" s="30" t="s">
        <v>359</v>
      </c>
      <c r="H294" s="30" t="s">
        <v>359</v>
      </c>
      <c r="I294" s="263" t="s">
        <v>359</v>
      </c>
      <c r="J294" s="264" t="s">
        <v>1018</v>
      </c>
      <c r="K294" s="5" t="s">
        <v>925</v>
      </c>
      <c r="L294" s="5"/>
      <c r="M294" s="5" t="s">
        <v>445</v>
      </c>
      <c r="N294" s="5"/>
      <c r="O294" s="5"/>
      <c r="P294" s="412">
        <v>106</v>
      </c>
      <c r="Q294" s="110"/>
      <c r="R294" s="110"/>
      <c r="S294" s="110"/>
      <c r="T294" s="110"/>
      <c r="U294" s="110"/>
      <c r="V294" s="121">
        <f t="shared" si="5"/>
        <v>106</v>
      </c>
      <c r="W294" s="40"/>
      <c r="X294" s="40" t="s">
        <v>358</v>
      </c>
      <c r="Y294" s="40"/>
      <c r="Z294" s="40"/>
      <c r="AA294" s="40"/>
      <c r="AB294" s="40"/>
      <c r="AC294" s="40"/>
      <c r="AD294" s="40"/>
      <c r="AE294" s="40"/>
      <c r="AF294" s="40"/>
      <c r="AG294" s="40"/>
      <c r="AH294" s="40"/>
      <c r="AI294" s="40"/>
      <c r="AJ294" s="40"/>
      <c r="AK294" s="40"/>
      <c r="AL294" s="40"/>
      <c r="AM294" s="40"/>
      <c r="AN294" s="40"/>
      <c r="AO294" s="40"/>
      <c r="AP294" s="40"/>
      <c r="AQ294" s="40"/>
      <c r="AR294" s="40"/>
      <c r="AS294" s="40"/>
      <c r="AT294" s="40"/>
      <c r="AU294" s="40"/>
      <c r="AV294" s="40"/>
      <c r="AW294" s="40"/>
      <c r="AX294" s="40"/>
      <c r="AY294" s="40"/>
      <c r="AZ294" s="40"/>
      <c r="BA294" s="5"/>
    </row>
    <row r="295" spans="1:53" ht="15" thickBot="1" x14ac:dyDescent="0.4">
      <c r="A295" s="30" t="s">
        <v>358</v>
      </c>
      <c r="B295" s="30" t="s">
        <v>359</v>
      </c>
      <c r="C295" s="30" t="s">
        <v>359</v>
      </c>
      <c r="D295" s="30" t="s">
        <v>359</v>
      </c>
      <c r="E295" s="30" t="s">
        <v>359</v>
      </c>
      <c r="F295" s="30" t="s">
        <v>359</v>
      </c>
      <c r="G295" s="30" t="s">
        <v>359</v>
      </c>
      <c r="H295" s="30" t="s">
        <v>359</v>
      </c>
      <c r="I295" s="263" t="s">
        <v>359</v>
      </c>
      <c r="J295" s="264" t="s">
        <v>1018</v>
      </c>
      <c r="K295" s="5" t="s">
        <v>926</v>
      </c>
      <c r="L295" s="5"/>
      <c r="M295" s="5" t="s">
        <v>445</v>
      </c>
      <c r="N295" s="5"/>
      <c r="O295" s="5"/>
      <c r="P295" s="412">
        <v>40</v>
      </c>
      <c r="Q295" s="110"/>
      <c r="R295" s="110"/>
      <c r="S295" s="110"/>
      <c r="T295" s="110"/>
      <c r="U295" s="110"/>
      <c r="V295" s="121">
        <f t="shared" si="5"/>
        <v>40</v>
      </c>
      <c r="W295" s="40"/>
      <c r="X295" s="40" t="s">
        <v>358</v>
      </c>
      <c r="Y295" s="40"/>
      <c r="Z295" s="40"/>
      <c r="AA295" s="40"/>
      <c r="AB295" s="40"/>
      <c r="AC295" s="40"/>
      <c r="AD295" s="40"/>
      <c r="AE295" s="40"/>
      <c r="AF295" s="40"/>
      <c r="AG295" s="40"/>
      <c r="AH295" s="40"/>
      <c r="AI295" s="40"/>
      <c r="AJ295" s="40"/>
      <c r="AK295" s="40"/>
      <c r="AL295" s="40"/>
      <c r="AM295" s="40"/>
      <c r="AN295" s="40"/>
      <c r="AO295" s="40"/>
      <c r="AP295" s="40"/>
      <c r="AQ295" s="40"/>
      <c r="AR295" s="40"/>
      <c r="AS295" s="40"/>
      <c r="AT295" s="40"/>
      <c r="AU295" s="40"/>
      <c r="AV295" s="40"/>
      <c r="AW295" s="40"/>
      <c r="AX295" s="40"/>
      <c r="AY295" s="40"/>
      <c r="AZ295" s="40"/>
      <c r="BA295" s="5"/>
    </row>
    <row r="296" spans="1:53" ht="15" thickBot="1" x14ac:dyDescent="0.4">
      <c r="A296" s="30" t="s">
        <v>358</v>
      </c>
      <c r="B296" s="30" t="s">
        <v>359</v>
      </c>
      <c r="C296" s="30" t="s">
        <v>359</v>
      </c>
      <c r="D296" s="30" t="s">
        <v>359</v>
      </c>
      <c r="E296" s="30" t="s">
        <v>359</v>
      </c>
      <c r="F296" s="30" t="s">
        <v>359</v>
      </c>
      <c r="G296" s="30" t="s">
        <v>359</v>
      </c>
      <c r="H296" s="30" t="s">
        <v>359</v>
      </c>
      <c r="I296" s="263" t="s">
        <v>359</v>
      </c>
      <c r="J296" s="264" t="s">
        <v>1018</v>
      </c>
      <c r="K296" s="5" t="s">
        <v>927</v>
      </c>
      <c r="L296" s="5"/>
      <c r="M296" s="5" t="s">
        <v>445</v>
      </c>
      <c r="N296" s="5"/>
      <c r="O296" s="5"/>
      <c r="P296" s="412">
        <v>1.8</v>
      </c>
      <c r="Q296" s="110"/>
      <c r="R296" s="110"/>
      <c r="S296" s="110"/>
      <c r="T296" s="110"/>
      <c r="U296" s="110"/>
      <c r="V296" s="121">
        <f t="shared" si="5"/>
        <v>1.8</v>
      </c>
      <c r="W296" s="40"/>
      <c r="X296" s="40" t="s">
        <v>358</v>
      </c>
      <c r="Y296" s="40"/>
      <c r="Z296" s="40"/>
      <c r="AA296" s="40"/>
      <c r="AB296" s="40"/>
      <c r="AC296" s="40"/>
      <c r="AD296" s="40"/>
      <c r="AE296" s="40"/>
      <c r="AF296" s="40"/>
      <c r="AG296" s="40"/>
      <c r="AH296" s="40"/>
      <c r="AI296" s="40"/>
      <c r="AJ296" s="40"/>
      <c r="AK296" s="40"/>
      <c r="AL296" s="40"/>
      <c r="AM296" s="40"/>
      <c r="AN296" s="40"/>
      <c r="AO296" s="40"/>
      <c r="AP296" s="40"/>
      <c r="AQ296" s="40"/>
      <c r="AR296" s="40"/>
      <c r="AS296" s="40"/>
      <c r="AT296" s="40"/>
      <c r="AU296" s="40"/>
      <c r="AV296" s="40"/>
      <c r="AW296" s="40"/>
      <c r="AX296" s="40"/>
      <c r="AY296" s="40"/>
      <c r="AZ296" s="40"/>
      <c r="BA296" s="5"/>
    </row>
    <row r="297" spans="1:53" ht="15" thickBot="1" x14ac:dyDescent="0.4">
      <c r="A297" s="30" t="s">
        <v>358</v>
      </c>
      <c r="B297" s="30" t="s">
        <v>359</v>
      </c>
      <c r="C297" s="30" t="s">
        <v>359</v>
      </c>
      <c r="D297" s="30" t="s">
        <v>359</v>
      </c>
      <c r="E297" s="30" t="s">
        <v>359</v>
      </c>
      <c r="F297" s="30" t="s">
        <v>359</v>
      </c>
      <c r="G297" s="30" t="s">
        <v>359</v>
      </c>
      <c r="H297" s="30" t="s">
        <v>359</v>
      </c>
      <c r="I297" s="263" t="s">
        <v>359</v>
      </c>
      <c r="J297" s="264" t="s">
        <v>1018</v>
      </c>
      <c r="K297" s="5" t="s">
        <v>928</v>
      </c>
      <c r="L297" s="5"/>
      <c r="M297" s="5" t="s">
        <v>445</v>
      </c>
      <c r="N297" s="5"/>
      <c r="O297" s="5"/>
      <c r="P297" s="412">
        <v>0.64</v>
      </c>
      <c r="Q297" s="110"/>
      <c r="R297" s="110"/>
      <c r="S297" s="110"/>
      <c r="T297" s="110"/>
      <c r="U297" s="110"/>
      <c r="V297" s="121">
        <f t="shared" si="5"/>
        <v>0.64</v>
      </c>
      <c r="W297" s="40"/>
      <c r="X297" s="40" t="s">
        <v>358</v>
      </c>
      <c r="Y297" s="40"/>
      <c r="Z297" s="40"/>
      <c r="AA297" s="40"/>
      <c r="AB297" s="40"/>
      <c r="AC297" s="40"/>
      <c r="AD297" s="40"/>
      <c r="AE297" s="40"/>
      <c r="AF297" s="40"/>
      <c r="AG297" s="40"/>
      <c r="AH297" s="40"/>
      <c r="AI297" s="40"/>
      <c r="AJ297" s="40"/>
      <c r="AK297" s="40"/>
      <c r="AL297" s="40"/>
      <c r="AM297" s="40"/>
      <c r="AN297" s="40"/>
      <c r="AO297" s="40"/>
      <c r="AP297" s="40"/>
      <c r="AQ297" s="40"/>
      <c r="AR297" s="40"/>
      <c r="AS297" s="40"/>
      <c r="AT297" s="40"/>
      <c r="AU297" s="40"/>
      <c r="AV297" s="40"/>
      <c r="AW297" s="40"/>
      <c r="AX297" s="40"/>
      <c r="AY297" s="40"/>
      <c r="AZ297" s="40"/>
      <c r="BA297" s="5"/>
    </row>
    <row r="298" spans="1:53" ht="15" thickBot="1" x14ac:dyDescent="0.4">
      <c r="A298" s="30" t="s">
        <v>358</v>
      </c>
      <c r="B298" s="30" t="s">
        <v>359</v>
      </c>
      <c r="C298" s="30" t="s">
        <v>359</v>
      </c>
      <c r="D298" s="30" t="s">
        <v>359</v>
      </c>
      <c r="E298" s="30" t="s">
        <v>359</v>
      </c>
      <c r="F298" s="30" t="s">
        <v>359</v>
      </c>
      <c r="G298" s="30" t="s">
        <v>359</v>
      </c>
      <c r="H298" s="30" t="s">
        <v>359</v>
      </c>
      <c r="I298" s="263" t="s">
        <v>359</v>
      </c>
      <c r="J298" s="264" t="s">
        <v>1018</v>
      </c>
      <c r="K298" s="5" t="s">
        <v>929</v>
      </c>
      <c r="L298" s="5"/>
      <c r="M298" s="5" t="s">
        <v>445</v>
      </c>
      <c r="N298" s="5"/>
      <c r="O298" s="5"/>
      <c r="P298" s="412">
        <v>0.16</v>
      </c>
      <c r="Q298" s="110"/>
      <c r="R298" s="110"/>
      <c r="S298" s="110"/>
      <c r="T298" s="110"/>
      <c r="U298" s="110"/>
      <c r="V298" s="121">
        <f t="shared" si="5"/>
        <v>0.16</v>
      </c>
      <c r="W298" s="40"/>
      <c r="X298" s="40" t="s">
        <v>358</v>
      </c>
      <c r="Y298" s="40"/>
      <c r="Z298" s="40"/>
      <c r="AA298" s="40"/>
      <c r="AB298" s="40"/>
      <c r="AC298" s="40"/>
      <c r="AD298" s="40"/>
      <c r="AE298" s="40"/>
      <c r="AF298" s="40"/>
      <c r="AG298" s="40"/>
      <c r="AH298" s="40"/>
      <c r="AI298" s="40"/>
      <c r="AJ298" s="40"/>
      <c r="AK298" s="40"/>
      <c r="AL298" s="40"/>
      <c r="AM298" s="40"/>
      <c r="AN298" s="40"/>
      <c r="AO298" s="40"/>
      <c r="AP298" s="40"/>
      <c r="AQ298" s="40"/>
      <c r="AR298" s="40"/>
      <c r="AS298" s="40"/>
      <c r="AT298" s="40"/>
      <c r="AU298" s="40"/>
      <c r="AV298" s="40"/>
      <c r="AW298" s="40"/>
      <c r="AX298" s="40"/>
      <c r="AY298" s="40"/>
      <c r="AZ298" s="40"/>
      <c r="BA298" s="5"/>
    </row>
    <row r="299" spans="1:53" ht="15" thickBot="1" x14ac:dyDescent="0.4">
      <c r="A299" s="30" t="s">
        <v>358</v>
      </c>
      <c r="B299" s="30" t="s">
        <v>359</v>
      </c>
      <c r="C299" s="30" t="s">
        <v>359</v>
      </c>
      <c r="D299" s="30" t="s">
        <v>359</v>
      </c>
      <c r="E299" s="30" t="s">
        <v>359</v>
      </c>
      <c r="F299" s="30" t="s">
        <v>359</v>
      </c>
      <c r="G299" s="30" t="s">
        <v>359</v>
      </c>
      <c r="H299" s="30" t="s">
        <v>359</v>
      </c>
      <c r="I299" s="263" t="s">
        <v>359</v>
      </c>
      <c r="J299" s="264" t="s">
        <v>1018</v>
      </c>
      <c r="K299" s="5" t="s">
        <v>930</v>
      </c>
      <c r="L299" s="5"/>
      <c r="M299" s="5" t="s">
        <v>445</v>
      </c>
      <c r="N299" s="5"/>
      <c r="O299" s="5"/>
      <c r="P299" s="412">
        <v>0.55000000000000004</v>
      </c>
      <c r="Q299" s="110"/>
      <c r="R299" s="110"/>
      <c r="S299" s="110"/>
      <c r="T299" s="110"/>
      <c r="U299" s="110"/>
      <c r="V299" s="121">
        <f t="shared" si="5"/>
        <v>0.55000000000000004</v>
      </c>
      <c r="W299" s="40"/>
      <c r="X299" s="40" t="s">
        <v>358</v>
      </c>
      <c r="Y299" s="40"/>
      <c r="Z299" s="40"/>
      <c r="AA299" s="40"/>
      <c r="AB299" s="40"/>
      <c r="AC299" s="40"/>
      <c r="AD299" s="40"/>
      <c r="AE299" s="40"/>
      <c r="AF299" s="40"/>
      <c r="AG299" s="40"/>
      <c r="AH299" s="40"/>
      <c r="AI299" s="40"/>
      <c r="AJ299" s="40"/>
      <c r="AK299" s="40"/>
      <c r="AL299" s="40"/>
      <c r="AM299" s="40"/>
      <c r="AN299" s="40"/>
      <c r="AO299" s="40"/>
      <c r="AP299" s="40"/>
      <c r="AQ299" s="40"/>
      <c r="AR299" s="40"/>
      <c r="AS299" s="40"/>
      <c r="AT299" s="40"/>
      <c r="AU299" s="40"/>
      <c r="AV299" s="40"/>
      <c r="AW299" s="40"/>
      <c r="AX299" s="40"/>
      <c r="AY299" s="40"/>
      <c r="AZ299" s="40"/>
      <c r="BA299" s="5"/>
    </row>
    <row r="300" spans="1:53" ht="15" thickBot="1" x14ac:dyDescent="0.4">
      <c r="A300" s="30" t="s">
        <v>358</v>
      </c>
      <c r="B300" s="30" t="s">
        <v>359</v>
      </c>
      <c r="C300" s="30" t="s">
        <v>359</v>
      </c>
      <c r="D300" s="30" t="s">
        <v>359</v>
      </c>
      <c r="E300" s="30" t="s">
        <v>359</v>
      </c>
      <c r="F300" s="30" t="s">
        <v>359</v>
      </c>
      <c r="G300" s="30" t="s">
        <v>359</v>
      </c>
      <c r="H300" s="30" t="s">
        <v>359</v>
      </c>
      <c r="I300" s="263" t="s">
        <v>359</v>
      </c>
      <c r="J300" s="264" t="s">
        <v>1018</v>
      </c>
      <c r="K300" s="5" t="s">
        <v>931</v>
      </c>
      <c r="L300" s="5"/>
      <c r="M300" s="5" t="s">
        <v>445</v>
      </c>
      <c r="N300" s="5"/>
      <c r="O300" s="5"/>
      <c r="P300" s="412">
        <v>3076</v>
      </c>
      <c r="Q300" s="110"/>
      <c r="R300" s="110"/>
      <c r="S300" s="110"/>
      <c r="T300" s="110"/>
      <c r="U300" s="110"/>
      <c r="V300" s="121">
        <f t="shared" si="5"/>
        <v>3076</v>
      </c>
      <c r="W300" s="40"/>
      <c r="X300" s="40" t="s">
        <v>358</v>
      </c>
      <c r="Y300" s="40"/>
      <c r="Z300" s="40"/>
      <c r="AA300" s="40"/>
      <c r="AB300" s="40"/>
      <c r="AC300" s="40"/>
      <c r="AD300" s="40"/>
      <c r="AE300" s="40"/>
      <c r="AF300" s="40"/>
      <c r="AG300" s="40"/>
      <c r="AH300" s="40"/>
      <c r="AI300" s="40"/>
      <c r="AJ300" s="40"/>
      <c r="AK300" s="40"/>
      <c r="AL300" s="40"/>
      <c r="AM300" s="40"/>
      <c r="AN300" s="40"/>
      <c r="AO300" s="40"/>
      <c r="AP300" s="40"/>
      <c r="AQ300" s="40"/>
      <c r="AR300" s="40"/>
      <c r="AS300" s="40"/>
      <c r="AT300" s="40"/>
      <c r="AU300" s="40"/>
      <c r="AV300" s="40"/>
      <c r="AW300" s="40"/>
      <c r="AX300" s="40"/>
      <c r="AY300" s="40"/>
      <c r="AZ300" s="40"/>
      <c r="BA300" s="5"/>
    </row>
    <row r="301" spans="1:53" ht="15" thickBot="1" x14ac:dyDescent="0.4">
      <c r="A301" s="30" t="s">
        <v>358</v>
      </c>
      <c r="B301" s="30" t="s">
        <v>359</v>
      </c>
      <c r="C301" s="30" t="s">
        <v>359</v>
      </c>
      <c r="D301" s="30" t="s">
        <v>359</v>
      </c>
      <c r="E301" s="30" t="s">
        <v>359</v>
      </c>
      <c r="F301" s="30" t="s">
        <v>359</v>
      </c>
      <c r="G301" s="30" t="s">
        <v>359</v>
      </c>
      <c r="H301" s="30" t="s">
        <v>359</v>
      </c>
      <c r="I301" s="263" t="s">
        <v>359</v>
      </c>
      <c r="J301" s="264" t="s">
        <v>1018</v>
      </c>
      <c r="K301" s="5" t="s">
        <v>932</v>
      </c>
      <c r="L301" s="5"/>
      <c r="M301" s="5" t="s">
        <v>445</v>
      </c>
      <c r="N301" s="5"/>
      <c r="O301" s="5"/>
      <c r="P301" s="412">
        <v>28.4</v>
      </c>
      <c r="Q301" s="110"/>
      <c r="R301" s="110"/>
      <c r="S301" s="110"/>
      <c r="T301" s="110"/>
      <c r="U301" s="110"/>
      <c r="V301" s="121">
        <f t="shared" si="5"/>
        <v>28.4</v>
      </c>
      <c r="W301" s="40"/>
      <c r="X301" s="40" t="s">
        <v>358</v>
      </c>
      <c r="Y301" s="40"/>
      <c r="Z301" s="40"/>
      <c r="AA301" s="40"/>
      <c r="AB301" s="40"/>
      <c r="AC301" s="40"/>
      <c r="AD301" s="40"/>
      <c r="AE301" s="40"/>
      <c r="AF301" s="40"/>
      <c r="AG301" s="40"/>
      <c r="AH301" s="40"/>
      <c r="AI301" s="40"/>
      <c r="AJ301" s="40"/>
      <c r="AK301" s="40"/>
      <c r="AL301" s="40"/>
      <c r="AM301" s="40"/>
      <c r="AN301" s="40"/>
      <c r="AO301" s="40"/>
      <c r="AP301" s="40"/>
      <c r="AQ301" s="40"/>
      <c r="AR301" s="40"/>
      <c r="AS301" s="40"/>
      <c r="AT301" s="40"/>
      <c r="AU301" s="40"/>
      <c r="AV301" s="40"/>
      <c r="AW301" s="40"/>
      <c r="AX301" s="40"/>
      <c r="AY301" s="40"/>
      <c r="AZ301" s="40"/>
      <c r="BA301" s="5"/>
    </row>
    <row r="302" spans="1:53" ht="15" thickBot="1" x14ac:dyDescent="0.4">
      <c r="A302" s="30" t="s">
        <v>358</v>
      </c>
      <c r="B302" s="30" t="s">
        <v>359</v>
      </c>
      <c r="C302" s="30" t="s">
        <v>359</v>
      </c>
      <c r="D302" s="30" t="s">
        <v>359</v>
      </c>
      <c r="E302" s="30" t="s">
        <v>359</v>
      </c>
      <c r="F302" s="30" t="s">
        <v>359</v>
      </c>
      <c r="G302" s="30" t="s">
        <v>359</v>
      </c>
      <c r="H302" s="30" t="s">
        <v>359</v>
      </c>
      <c r="I302" s="263" t="s">
        <v>359</v>
      </c>
      <c r="J302" s="264" t="s">
        <v>1018</v>
      </c>
      <c r="K302" s="5" t="s">
        <v>933</v>
      </c>
      <c r="L302" s="5"/>
      <c r="M302" s="5" t="s">
        <v>445</v>
      </c>
      <c r="N302" s="5"/>
      <c r="O302" s="5"/>
      <c r="P302" s="412">
        <v>1.35</v>
      </c>
      <c r="Q302" s="110"/>
      <c r="R302" s="110"/>
      <c r="S302" s="110"/>
      <c r="T302" s="110"/>
      <c r="U302" s="110"/>
      <c r="V302" s="121">
        <f t="shared" si="5"/>
        <v>1.35</v>
      </c>
      <c r="W302" s="40"/>
      <c r="X302" s="40" t="s">
        <v>358</v>
      </c>
      <c r="Y302" s="40"/>
      <c r="Z302" s="40"/>
      <c r="AA302" s="40"/>
      <c r="AB302" s="40"/>
      <c r="AC302" s="40"/>
      <c r="AD302" s="40"/>
      <c r="AE302" s="40"/>
      <c r="AF302" s="40"/>
      <c r="AG302" s="40"/>
      <c r="AH302" s="40"/>
      <c r="AI302" s="40"/>
      <c r="AJ302" s="40"/>
      <c r="AK302" s="40"/>
      <c r="AL302" s="40"/>
      <c r="AM302" s="40"/>
      <c r="AN302" s="40"/>
      <c r="AO302" s="40"/>
      <c r="AP302" s="40"/>
      <c r="AQ302" s="40"/>
      <c r="AR302" s="40"/>
      <c r="AS302" s="40"/>
      <c r="AT302" s="40"/>
      <c r="AU302" s="40"/>
      <c r="AV302" s="40"/>
      <c r="AW302" s="40"/>
      <c r="AX302" s="40"/>
      <c r="AY302" s="40"/>
      <c r="AZ302" s="40"/>
      <c r="BA302" s="5"/>
    </row>
    <row r="303" spans="1:53" ht="15" thickBot="1" x14ac:dyDescent="0.4">
      <c r="A303" s="30" t="s">
        <v>358</v>
      </c>
      <c r="B303" s="30" t="s">
        <v>359</v>
      </c>
      <c r="C303" s="30" t="s">
        <v>359</v>
      </c>
      <c r="D303" s="30" t="s">
        <v>359</v>
      </c>
      <c r="E303" s="30" t="s">
        <v>359</v>
      </c>
      <c r="F303" s="30" t="s">
        <v>359</v>
      </c>
      <c r="G303" s="30" t="s">
        <v>359</v>
      </c>
      <c r="H303" s="30" t="s">
        <v>359</v>
      </c>
      <c r="I303" s="263" t="s">
        <v>359</v>
      </c>
      <c r="J303" s="264" t="s">
        <v>1018</v>
      </c>
      <c r="K303" s="5" t="s">
        <v>934</v>
      </c>
      <c r="L303" s="5"/>
      <c r="M303" s="5" t="s">
        <v>445</v>
      </c>
      <c r="N303" s="5"/>
      <c r="O303" s="5"/>
      <c r="P303" s="412">
        <v>1.47</v>
      </c>
      <c r="Q303" s="110"/>
      <c r="R303" s="110"/>
      <c r="S303" s="110"/>
      <c r="T303" s="110"/>
      <c r="U303" s="110"/>
      <c r="V303" s="121">
        <f t="shared" si="5"/>
        <v>1.47</v>
      </c>
      <c r="W303" s="40"/>
      <c r="X303" s="40" t="s">
        <v>358</v>
      </c>
      <c r="Y303" s="40"/>
      <c r="Z303" s="40"/>
      <c r="AA303" s="40"/>
      <c r="AB303" s="40"/>
      <c r="AC303" s="40"/>
      <c r="AD303" s="40"/>
      <c r="AE303" s="40"/>
      <c r="AF303" s="40"/>
      <c r="AG303" s="40"/>
      <c r="AH303" s="40"/>
      <c r="AI303" s="40"/>
      <c r="AJ303" s="40"/>
      <c r="AK303" s="40"/>
      <c r="AL303" s="40"/>
      <c r="AM303" s="40"/>
      <c r="AN303" s="40"/>
      <c r="AO303" s="40"/>
      <c r="AP303" s="40"/>
      <c r="AQ303" s="40"/>
      <c r="AR303" s="40"/>
      <c r="AS303" s="40"/>
      <c r="AT303" s="40"/>
      <c r="AU303" s="40"/>
      <c r="AV303" s="40"/>
      <c r="AW303" s="40"/>
      <c r="AX303" s="40"/>
      <c r="AY303" s="40"/>
      <c r="AZ303" s="40"/>
      <c r="BA303" s="5"/>
    </row>
    <row r="304" spans="1:53" ht="15" thickBot="1" x14ac:dyDescent="0.4">
      <c r="A304" s="30" t="s">
        <v>358</v>
      </c>
      <c r="B304" s="30" t="s">
        <v>359</v>
      </c>
      <c r="C304" s="30" t="s">
        <v>359</v>
      </c>
      <c r="D304" s="30" t="s">
        <v>359</v>
      </c>
      <c r="E304" s="30" t="s">
        <v>359</v>
      </c>
      <c r="F304" s="30" t="s">
        <v>359</v>
      </c>
      <c r="G304" s="30" t="s">
        <v>359</v>
      </c>
      <c r="H304" s="30" t="s">
        <v>359</v>
      </c>
      <c r="I304" s="263" t="s">
        <v>359</v>
      </c>
      <c r="J304" s="264" t="s">
        <v>1018</v>
      </c>
      <c r="K304" s="5" t="s">
        <v>935</v>
      </c>
      <c r="L304" s="5"/>
      <c r="M304" s="5" t="s">
        <v>445</v>
      </c>
      <c r="N304" s="5"/>
      <c r="O304" s="5"/>
      <c r="P304" s="412">
        <v>1639</v>
      </c>
      <c r="Q304" s="110"/>
      <c r="R304" s="110"/>
      <c r="S304" s="110"/>
      <c r="T304" s="110"/>
      <c r="U304" s="110"/>
      <c r="V304" s="121">
        <f t="shared" si="5"/>
        <v>1639</v>
      </c>
      <c r="W304" s="40"/>
      <c r="X304" s="40" t="s">
        <v>358</v>
      </c>
      <c r="Y304" s="40"/>
      <c r="Z304" s="40"/>
      <c r="AA304" s="40"/>
      <c r="AB304" s="40"/>
      <c r="AC304" s="40"/>
      <c r="AD304" s="40"/>
      <c r="AE304" s="40"/>
      <c r="AF304" s="40"/>
      <c r="AG304" s="40"/>
      <c r="AH304" s="40"/>
      <c r="AI304" s="40"/>
      <c r="AJ304" s="40"/>
      <c r="AK304" s="40"/>
      <c r="AL304" s="40"/>
      <c r="AM304" s="40"/>
      <c r="AN304" s="40"/>
      <c r="AO304" s="40"/>
      <c r="AP304" s="40"/>
      <c r="AQ304" s="40"/>
      <c r="AR304" s="40"/>
      <c r="AS304" s="40"/>
      <c r="AT304" s="40"/>
      <c r="AU304" s="40"/>
      <c r="AV304" s="40"/>
      <c r="AW304" s="40"/>
      <c r="AX304" s="40"/>
      <c r="AY304" s="40"/>
      <c r="AZ304" s="40"/>
      <c r="BA304" s="5"/>
    </row>
    <row r="305" spans="1:53" ht="15" thickBot="1" x14ac:dyDescent="0.4">
      <c r="A305" s="30" t="s">
        <v>358</v>
      </c>
      <c r="B305" s="30" t="s">
        <v>359</v>
      </c>
      <c r="C305" s="30" t="s">
        <v>359</v>
      </c>
      <c r="D305" s="30" t="s">
        <v>359</v>
      </c>
      <c r="E305" s="30" t="s">
        <v>359</v>
      </c>
      <c r="F305" s="30" t="s">
        <v>359</v>
      </c>
      <c r="G305" s="30" t="s">
        <v>359</v>
      </c>
      <c r="H305" s="30" t="s">
        <v>359</v>
      </c>
      <c r="I305" s="263" t="s">
        <v>359</v>
      </c>
      <c r="J305" s="264" t="s">
        <v>1018</v>
      </c>
      <c r="K305" s="5" t="s">
        <v>936</v>
      </c>
      <c r="L305" s="5"/>
      <c r="M305" s="5" t="s">
        <v>445</v>
      </c>
      <c r="N305" s="5"/>
      <c r="O305" s="5"/>
      <c r="P305" s="412">
        <v>2059</v>
      </c>
      <c r="Q305" s="110"/>
      <c r="R305" s="110"/>
      <c r="S305" s="110"/>
      <c r="T305" s="110"/>
      <c r="U305" s="110"/>
      <c r="V305" s="121">
        <f t="shared" si="5"/>
        <v>2059</v>
      </c>
      <c r="W305" s="40"/>
      <c r="X305" s="40" t="s">
        <v>358</v>
      </c>
      <c r="Y305" s="40"/>
      <c r="Z305" s="40"/>
      <c r="AA305" s="40"/>
      <c r="AB305" s="40"/>
      <c r="AC305" s="40"/>
      <c r="AD305" s="40"/>
      <c r="AE305" s="40"/>
      <c r="AF305" s="40"/>
      <c r="AG305" s="40"/>
      <c r="AH305" s="40"/>
      <c r="AI305" s="40"/>
      <c r="AJ305" s="40"/>
      <c r="AK305" s="40"/>
      <c r="AL305" s="40"/>
      <c r="AM305" s="40"/>
      <c r="AN305" s="40"/>
      <c r="AO305" s="40"/>
      <c r="AP305" s="40"/>
      <c r="AQ305" s="40"/>
      <c r="AR305" s="40"/>
      <c r="AS305" s="40"/>
      <c r="AT305" s="40"/>
      <c r="AU305" s="40"/>
      <c r="AV305" s="40"/>
      <c r="AW305" s="40"/>
      <c r="AX305" s="40"/>
      <c r="AY305" s="40"/>
      <c r="AZ305" s="40"/>
      <c r="BA305" s="5"/>
    </row>
    <row r="306" spans="1:53" ht="15" thickBot="1" x14ac:dyDescent="0.4">
      <c r="A306" s="30" t="s">
        <v>358</v>
      </c>
      <c r="B306" s="30" t="s">
        <v>359</v>
      </c>
      <c r="C306" s="30" t="s">
        <v>359</v>
      </c>
      <c r="D306" s="30" t="s">
        <v>359</v>
      </c>
      <c r="E306" s="30" t="s">
        <v>359</v>
      </c>
      <c r="F306" s="30" t="s">
        <v>359</v>
      </c>
      <c r="G306" s="30" t="s">
        <v>359</v>
      </c>
      <c r="H306" s="30" t="s">
        <v>359</v>
      </c>
      <c r="I306" s="263" t="s">
        <v>359</v>
      </c>
      <c r="J306" s="264" t="s">
        <v>1018</v>
      </c>
      <c r="K306" s="5" t="s">
        <v>937</v>
      </c>
      <c r="L306" s="5"/>
      <c r="M306" s="5" t="s">
        <v>445</v>
      </c>
      <c r="N306" s="5"/>
      <c r="O306" s="5"/>
      <c r="P306" s="412">
        <v>1828</v>
      </c>
      <c r="Q306" s="110"/>
      <c r="R306" s="110"/>
      <c r="S306" s="110"/>
      <c r="T306" s="110"/>
      <c r="U306" s="110"/>
      <c r="V306" s="121">
        <f t="shared" si="5"/>
        <v>1828</v>
      </c>
      <c r="W306" s="40"/>
      <c r="X306" s="40" t="s">
        <v>358</v>
      </c>
      <c r="Y306" s="40"/>
      <c r="Z306" s="40"/>
      <c r="AA306" s="40"/>
      <c r="AB306" s="40"/>
      <c r="AC306" s="40"/>
      <c r="AD306" s="40"/>
      <c r="AE306" s="40"/>
      <c r="AF306" s="40"/>
      <c r="AG306" s="40"/>
      <c r="AH306" s="40"/>
      <c r="AI306" s="40"/>
      <c r="AJ306" s="40"/>
      <c r="AK306" s="40"/>
      <c r="AL306" s="40"/>
      <c r="AM306" s="40"/>
      <c r="AN306" s="40"/>
      <c r="AO306" s="40"/>
      <c r="AP306" s="40"/>
      <c r="AQ306" s="40"/>
      <c r="AR306" s="40"/>
      <c r="AS306" s="40"/>
      <c r="AT306" s="40"/>
      <c r="AU306" s="40"/>
      <c r="AV306" s="40"/>
      <c r="AW306" s="40"/>
      <c r="AX306" s="40"/>
      <c r="AY306" s="40"/>
      <c r="AZ306" s="40"/>
      <c r="BA306" s="5"/>
    </row>
    <row r="307" spans="1:53" ht="15" thickBot="1" x14ac:dyDescent="0.4">
      <c r="A307" s="30" t="s">
        <v>358</v>
      </c>
      <c r="B307" s="30" t="s">
        <v>359</v>
      </c>
      <c r="C307" s="30" t="s">
        <v>359</v>
      </c>
      <c r="D307" s="30" t="s">
        <v>359</v>
      </c>
      <c r="E307" s="30" t="s">
        <v>359</v>
      </c>
      <c r="F307" s="30" t="s">
        <v>359</v>
      </c>
      <c r="G307" s="30" t="s">
        <v>359</v>
      </c>
      <c r="H307" s="30" t="s">
        <v>359</v>
      </c>
      <c r="I307" s="263" t="s">
        <v>359</v>
      </c>
      <c r="J307" s="264" t="s">
        <v>1018</v>
      </c>
      <c r="K307" s="5" t="s">
        <v>938</v>
      </c>
      <c r="L307" s="5"/>
      <c r="M307" s="5" t="s">
        <v>445</v>
      </c>
      <c r="N307" s="5"/>
      <c r="O307" s="5"/>
      <c r="P307" s="412">
        <v>156</v>
      </c>
      <c r="Q307" s="110"/>
      <c r="R307" s="110"/>
      <c r="S307" s="110"/>
      <c r="T307" s="110"/>
      <c r="U307" s="110"/>
      <c r="V307" s="121">
        <f t="shared" si="5"/>
        <v>156</v>
      </c>
      <c r="W307" s="40"/>
      <c r="X307" s="40" t="s">
        <v>358</v>
      </c>
      <c r="Y307" s="40"/>
      <c r="Z307" s="40"/>
      <c r="AA307" s="40"/>
      <c r="AB307" s="40"/>
      <c r="AC307" s="40"/>
      <c r="AD307" s="40"/>
      <c r="AE307" s="40"/>
      <c r="AF307" s="40"/>
      <c r="AG307" s="40"/>
      <c r="AH307" s="40"/>
      <c r="AI307" s="40"/>
      <c r="AJ307" s="40"/>
      <c r="AK307" s="40"/>
      <c r="AL307" s="40"/>
      <c r="AM307" s="40"/>
      <c r="AN307" s="40"/>
      <c r="AO307" s="40"/>
      <c r="AP307" s="40"/>
      <c r="AQ307" s="40"/>
      <c r="AR307" s="40"/>
      <c r="AS307" s="40"/>
      <c r="AT307" s="40"/>
      <c r="AU307" s="40"/>
      <c r="AV307" s="40"/>
      <c r="AW307" s="40"/>
      <c r="AX307" s="40"/>
      <c r="AY307" s="40"/>
      <c r="AZ307" s="40"/>
      <c r="BA307" s="5"/>
    </row>
    <row r="308" spans="1:53" ht="15" thickBot="1" x14ac:dyDescent="0.4">
      <c r="A308" s="30" t="s">
        <v>358</v>
      </c>
      <c r="B308" s="30" t="s">
        <v>359</v>
      </c>
      <c r="C308" s="30" t="s">
        <v>359</v>
      </c>
      <c r="D308" s="30" t="s">
        <v>359</v>
      </c>
      <c r="E308" s="30" t="s">
        <v>359</v>
      </c>
      <c r="F308" s="30" t="s">
        <v>359</v>
      </c>
      <c r="G308" s="30" t="s">
        <v>359</v>
      </c>
      <c r="H308" s="30" t="s">
        <v>359</v>
      </c>
      <c r="I308" s="263" t="s">
        <v>359</v>
      </c>
      <c r="J308" s="264" t="s">
        <v>1018</v>
      </c>
      <c r="K308" s="5" t="s">
        <v>939</v>
      </c>
      <c r="L308" s="5"/>
      <c r="M308" s="5" t="s">
        <v>445</v>
      </c>
      <c r="N308" s="5"/>
      <c r="O308" s="5"/>
      <c r="P308" s="412">
        <v>0.23</v>
      </c>
      <c r="Q308" s="110"/>
      <c r="R308" s="110"/>
      <c r="S308" s="110"/>
      <c r="T308" s="110"/>
      <c r="U308" s="110"/>
      <c r="V308" s="121">
        <f t="shared" si="5"/>
        <v>0.23</v>
      </c>
      <c r="W308" s="40"/>
      <c r="X308" s="40" t="s">
        <v>358</v>
      </c>
      <c r="Y308" s="40"/>
      <c r="Z308" s="40"/>
      <c r="AA308" s="40"/>
      <c r="AB308" s="40"/>
      <c r="AC308" s="40"/>
      <c r="AD308" s="40"/>
      <c r="AE308" s="40"/>
      <c r="AF308" s="40"/>
      <c r="AG308" s="40"/>
      <c r="AH308" s="40"/>
      <c r="AI308" s="40"/>
      <c r="AJ308" s="40"/>
      <c r="AK308" s="40"/>
      <c r="AL308" s="40"/>
      <c r="AM308" s="40"/>
      <c r="AN308" s="40"/>
      <c r="AO308" s="40"/>
      <c r="AP308" s="40"/>
      <c r="AQ308" s="40"/>
      <c r="AR308" s="40"/>
      <c r="AS308" s="40"/>
      <c r="AT308" s="40"/>
      <c r="AU308" s="40"/>
      <c r="AV308" s="40"/>
      <c r="AW308" s="40"/>
      <c r="AX308" s="40"/>
      <c r="AY308" s="40"/>
      <c r="AZ308" s="40"/>
      <c r="BA308" s="5"/>
    </row>
    <row r="309" spans="1:53" ht="15" thickBot="1" x14ac:dyDescent="0.4">
      <c r="A309" s="30" t="s">
        <v>358</v>
      </c>
      <c r="B309" s="30" t="s">
        <v>359</v>
      </c>
      <c r="C309" s="30" t="s">
        <v>359</v>
      </c>
      <c r="D309" s="30" t="s">
        <v>359</v>
      </c>
      <c r="E309" s="30" t="s">
        <v>359</v>
      </c>
      <c r="F309" s="30" t="s">
        <v>359</v>
      </c>
      <c r="G309" s="30" t="s">
        <v>359</v>
      </c>
      <c r="H309" s="30" t="s">
        <v>359</v>
      </c>
      <c r="I309" s="263" t="s">
        <v>359</v>
      </c>
      <c r="J309" s="264" t="s">
        <v>1018</v>
      </c>
      <c r="K309" s="5" t="s">
        <v>940</v>
      </c>
      <c r="L309" s="5"/>
      <c r="M309" s="5" t="s">
        <v>445</v>
      </c>
      <c r="N309" s="5"/>
      <c r="O309" s="5"/>
      <c r="P309" s="412">
        <v>1754</v>
      </c>
      <c r="Q309" s="110"/>
      <c r="R309" s="110"/>
      <c r="S309" s="110"/>
      <c r="T309" s="110"/>
      <c r="U309" s="110"/>
      <c r="V309" s="121">
        <f t="shared" si="5"/>
        <v>1754</v>
      </c>
      <c r="W309" s="40"/>
      <c r="X309" s="40" t="s">
        <v>358</v>
      </c>
      <c r="Y309" s="40"/>
      <c r="Z309" s="40"/>
      <c r="AA309" s="40"/>
      <c r="AB309" s="40"/>
      <c r="AC309" s="40"/>
      <c r="AD309" s="40"/>
      <c r="AE309" s="40"/>
      <c r="AF309" s="40"/>
      <c r="AG309" s="40"/>
      <c r="AH309" s="40"/>
      <c r="AI309" s="40"/>
      <c r="AJ309" s="40"/>
      <c r="AK309" s="40"/>
      <c r="AL309" s="40"/>
      <c r="AM309" s="40"/>
      <c r="AN309" s="40"/>
      <c r="AO309" s="40"/>
      <c r="AP309" s="40"/>
      <c r="AQ309" s="40"/>
      <c r="AR309" s="40"/>
      <c r="AS309" s="40"/>
      <c r="AT309" s="40"/>
      <c r="AU309" s="40"/>
      <c r="AV309" s="40"/>
      <c r="AW309" s="40"/>
      <c r="AX309" s="40"/>
      <c r="AY309" s="40"/>
      <c r="AZ309" s="40"/>
      <c r="BA309" s="5"/>
    </row>
    <row r="310" spans="1:53" ht="15" thickBot="1" x14ac:dyDescent="0.4">
      <c r="A310" s="30" t="s">
        <v>358</v>
      </c>
      <c r="B310" s="30" t="s">
        <v>359</v>
      </c>
      <c r="C310" s="30" t="s">
        <v>359</v>
      </c>
      <c r="D310" s="30" t="s">
        <v>359</v>
      </c>
      <c r="E310" s="30" t="s">
        <v>359</v>
      </c>
      <c r="F310" s="30" t="s">
        <v>359</v>
      </c>
      <c r="G310" s="30" t="s">
        <v>359</v>
      </c>
      <c r="H310" s="30" t="s">
        <v>359</v>
      </c>
      <c r="I310" s="263" t="s">
        <v>359</v>
      </c>
      <c r="J310" s="264" t="s">
        <v>1018</v>
      </c>
      <c r="K310" s="5" t="s">
        <v>941</v>
      </c>
      <c r="L310" s="5"/>
      <c r="M310" s="5" t="s">
        <v>445</v>
      </c>
      <c r="N310" s="5"/>
      <c r="O310" s="5"/>
      <c r="P310" s="412">
        <v>1</v>
      </c>
      <c r="Q310" s="110"/>
      <c r="R310" s="110"/>
      <c r="S310" s="110"/>
      <c r="T310" s="110"/>
      <c r="U310" s="110"/>
      <c r="V310" s="121">
        <f t="shared" si="5"/>
        <v>1</v>
      </c>
      <c r="W310" s="40"/>
      <c r="X310" s="40" t="s">
        <v>358</v>
      </c>
      <c r="Y310" s="40"/>
      <c r="Z310" s="40"/>
      <c r="AA310" s="40"/>
      <c r="AB310" s="40"/>
      <c r="AC310" s="40"/>
      <c r="AD310" s="40"/>
      <c r="AE310" s="40"/>
      <c r="AF310" s="40"/>
      <c r="AG310" s="40"/>
      <c r="AH310" s="40"/>
      <c r="AI310" s="40"/>
      <c r="AJ310" s="40"/>
      <c r="AK310" s="40"/>
      <c r="AL310" s="40"/>
      <c r="AM310" s="40"/>
      <c r="AN310" s="40"/>
      <c r="AO310" s="40"/>
      <c r="AP310" s="40"/>
      <c r="AQ310" s="40"/>
      <c r="AR310" s="40"/>
      <c r="AS310" s="40"/>
      <c r="AT310" s="40"/>
      <c r="AU310" s="40"/>
      <c r="AV310" s="40"/>
      <c r="AW310" s="40"/>
      <c r="AX310" s="40"/>
      <c r="AY310" s="40"/>
      <c r="AZ310" s="40"/>
      <c r="BA310" s="5"/>
    </row>
    <row r="311" spans="1:53" ht="15" thickBot="1" x14ac:dyDescent="0.4">
      <c r="A311" s="30" t="s">
        <v>358</v>
      </c>
      <c r="B311" s="30" t="s">
        <v>359</v>
      </c>
      <c r="C311" s="30" t="s">
        <v>359</v>
      </c>
      <c r="D311" s="30" t="s">
        <v>359</v>
      </c>
      <c r="E311" s="30" t="s">
        <v>359</v>
      </c>
      <c r="F311" s="30" t="s">
        <v>359</v>
      </c>
      <c r="G311" s="30" t="s">
        <v>359</v>
      </c>
      <c r="H311" s="30" t="s">
        <v>359</v>
      </c>
      <c r="I311" s="263" t="s">
        <v>359</v>
      </c>
      <c r="J311" s="264" t="s">
        <v>1018</v>
      </c>
      <c r="K311" s="5" t="s">
        <v>942</v>
      </c>
      <c r="L311" s="5"/>
      <c r="M311" s="5" t="s">
        <v>445</v>
      </c>
      <c r="N311" s="5"/>
      <c r="O311" s="5"/>
      <c r="P311" s="412">
        <v>89</v>
      </c>
      <c r="Q311" s="110"/>
      <c r="R311" s="110"/>
      <c r="S311" s="110"/>
      <c r="T311" s="110"/>
      <c r="U311" s="110"/>
      <c r="V311" s="121">
        <f t="shared" si="5"/>
        <v>89</v>
      </c>
      <c r="W311" s="40"/>
      <c r="X311" s="40" t="s">
        <v>358</v>
      </c>
      <c r="Y311" s="40"/>
      <c r="Z311" s="40"/>
      <c r="AA311" s="40"/>
      <c r="AB311" s="40"/>
      <c r="AC311" s="40"/>
      <c r="AD311" s="40"/>
      <c r="AE311" s="40"/>
      <c r="AF311" s="40"/>
      <c r="AG311" s="40"/>
      <c r="AH311" s="40"/>
      <c r="AI311" s="40"/>
      <c r="AJ311" s="40"/>
      <c r="AK311" s="40"/>
      <c r="AL311" s="40"/>
      <c r="AM311" s="40"/>
      <c r="AN311" s="40"/>
      <c r="AO311" s="40"/>
      <c r="AP311" s="40"/>
      <c r="AQ311" s="40"/>
      <c r="AR311" s="40"/>
      <c r="AS311" s="40"/>
      <c r="AT311" s="40"/>
      <c r="AU311" s="40"/>
      <c r="AV311" s="40"/>
      <c r="AW311" s="40"/>
      <c r="AX311" s="40"/>
      <c r="AY311" s="40"/>
      <c r="AZ311" s="40"/>
      <c r="BA311" s="5"/>
    </row>
    <row r="312" spans="1:53" ht="15" thickBot="1" x14ac:dyDescent="0.4">
      <c r="A312" s="30" t="s">
        <v>358</v>
      </c>
      <c r="B312" s="30" t="s">
        <v>359</v>
      </c>
      <c r="C312" s="30" t="s">
        <v>359</v>
      </c>
      <c r="D312" s="30" t="s">
        <v>359</v>
      </c>
      <c r="E312" s="30" t="s">
        <v>359</v>
      </c>
      <c r="F312" s="30" t="s">
        <v>359</v>
      </c>
      <c r="G312" s="30" t="s">
        <v>359</v>
      </c>
      <c r="H312" s="30" t="s">
        <v>359</v>
      </c>
      <c r="I312" s="263" t="s">
        <v>359</v>
      </c>
      <c r="J312" s="264" t="s">
        <v>1018</v>
      </c>
      <c r="K312" s="5" t="s">
        <v>943</v>
      </c>
      <c r="L312" s="5"/>
      <c r="M312" s="5" t="s">
        <v>445</v>
      </c>
      <c r="N312" s="5"/>
      <c r="O312" s="5"/>
      <c r="P312" s="412">
        <v>118</v>
      </c>
      <c r="Q312" s="110"/>
      <c r="R312" s="110"/>
      <c r="S312" s="110"/>
      <c r="T312" s="110"/>
      <c r="U312" s="110"/>
      <c r="V312" s="121">
        <f t="shared" si="5"/>
        <v>118</v>
      </c>
      <c r="W312" s="40"/>
      <c r="X312" s="40" t="s">
        <v>358</v>
      </c>
      <c r="Y312" s="40"/>
      <c r="Z312" s="40"/>
      <c r="AA312" s="40"/>
      <c r="AB312" s="40"/>
      <c r="AC312" s="40"/>
      <c r="AD312" s="40"/>
      <c r="AE312" s="40"/>
      <c r="AF312" s="40"/>
      <c r="AG312" s="40"/>
      <c r="AH312" s="40"/>
      <c r="AI312" s="40"/>
      <c r="AJ312" s="40"/>
      <c r="AK312" s="40"/>
      <c r="AL312" s="40"/>
      <c r="AM312" s="40"/>
      <c r="AN312" s="40"/>
      <c r="AO312" s="40"/>
      <c r="AP312" s="40"/>
      <c r="AQ312" s="40"/>
      <c r="AR312" s="40"/>
      <c r="AS312" s="40"/>
      <c r="AT312" s="40"/>
      <c r="AU312" s="40"/>
      <c r="AV312" s="40"/>
      <c r="AW312" s="40"/>
      <c r="AX312" s="40"/>
      <c r="AY312" s="40"/>
      <c r="AZ312" s="40"/>
      <c r="BA312" s="5"/>
    </row>
    <row r="313" spans="1:53" ht="15" thickBot="1" x14ac:dyDescent="0.4">
      <c r="A313" s="30" t="s">
        <v>358</v>
      </c>
      <c r="B313" s="30" t="s">
        <v>359</v>
      </c>
      <c r="C313" s="30" t="s">
        <v>359</v>
      </c>
      <c r="D313" s="30" t="s">
        <v>359</v>
      </c>
      <c r="E313" s="30" t="s">
        <v>359</v>
      </c>
      <c r="F313" s="30" t="s">
        <v>359</v>
      </c>
      <c r="G313" s="30" t="s">
        <v>359</v>
      </c>
      <c r="H313" s="30" t="s">
        <v>359</v>
      </c>
      <c r="I313" s="263" t="s">
        <v>359</v>
      </c>
      <c r="J313" s="264" t="s">
        <v>1018</v>
      </c>
      <c r="K313" s="5" t="s">
        <v>944</v>
      </c>
      <c r="L313" s="5"/>
      <c r="M313" s="5" t="s">
        <v>445</v>
      </c>
      <c r="N313" s="5"/>
      <c r="O313" s="5"/>
      <c r="P313" s="412">
        <v>7564</v>
      </c>
      <c r="Q313" s="110"/>
      <c r="R313" s="110"/>
      <c r="S313" s="110"/>
      <c r="T313" s="110"/>
      <c r="U313" s="110"/>
      <c r="V313" s="121">
        <f t="shared" si="5"/>
        <v>7564</v>
      </c>
      <c r="W313" s="40"/>
      <c r="X313" s="40" t="s">
        <v>358</v>
      </c>
      <c r="Y313" s="40"/>
      <c r="Z313" s="40"/>
      <c r="AA313" s="40"/>
      <c r="AB313" s="40"/>
      <c r="AC313" s="40"/>
      <c r="AD313" s="40"/>
      <c r="AE313" s="40"/>
      <c r="AF313" s="40"/>
      <c r="AG313" s="40"/>
      <c r="AH313" s="40"/>
      <c r="AI313" s="40"/>
      <c r="AJ313" s="40"/>
      <c r="AK313" s="40"/>
      <c r="AL313" s="40"/>
      <c r="AM313" s="40"/>
      <c r="AN313" s="40"/>
      <c r="AO313" s="40"/>
      <c r="AP313" s="40"/>
      <c r="AQ313" s="40"/>
      <c r="AR313" s="40"/>
      <c r="AS313" s="40"/>
      <c r="AT313" s="40"/>
      <c r="AU313" s="40"/>
      <c r="AV313" s="40"/>
      <c r="AW313" s="40"/>
      <c r="AX313" s="40"/>
      <c r="AY313" s="40"/>
      <c r="AZ313" s="40"/>
      <c r="BA313" s="5"/>
    </row>
    <row r="314" spans="1:53" ht="15" thickBot="1" x14ac:dyDescent="0.4">
      <c r="A314" s="30" t="s">
        <v>358</v>
      </c>
      <c r="B314" s="30" t="s">
        <v>359</v>
      </c>
      <c r="C314" s="30" t="s">
        <v>359</v>
      </c>
      <c r="D314" s="30" t="s">
        <v>359</v>
      </c>
      <c r="E314" s="30" t="s">
        <v>359</v>
      </c>
      <c r="F314" s="30" t="s">
        <v>359</v>
      </c>
      <c r="G314" s="30" t="s">
        <v>359</v>
      </c>
      <c r="H314" s="30" t="s">
        <v>359</v>
      </c>
      <c r="I314" s="263" t="s">
        <v>359</v>
      </c>
      <c r="J314" s="264" t="s">
        <v>1018</v>
      </c>
      <c r="K314" s="5" t="s">
        <v>945</v>
      </c>
      <c r="L314" s="5"/>
      <c r="M314" s="5" t="s">
        <v>445</v>
      </c>
      <c r="N314" s="5"/>
      <c r="O314" s="5"/>
      <c r="P314" s="412">
        <v>3870</v>
      </c>
      <c r="Q314" s="110"/>
      <c r="R314" s="110"/>
      <c r="S314" s="110"/>
      <c r="T314" s="110"/>
      <c r="U314" s="110"/>
      <c r="V314" s="121">
        <f t="shared" si="5"/>
        <v>3870</v>
      </c>
      <c r="W314" s="40"/>
      <c r="X314" s="40" t="s">
        <v>358</v>
      </c>
      <c r="Y314" s="40"/>
      <c r="Z314" s="40"/>
      <c r="AA314" s="40"/>
      <c r="AB314" s="40"/>
      <c r="AC314" s="40"/>
      <c r="AD314" s="40"/>
      <c r="AE314" s="40"/>
      <c r="AF314" s="40"/>
      <c r="AG314" s="40"/>
      <c r="AH314" s="40"/>
      <c r="AI314" s="40"/>
      <c r="AJ314" s="40"/>
      <c r="AK314" s="40"/>
      <c r="AL314" s="40"/>
      <c r="AM314" s="40"/>
      <c r="AN314" s="40"/>
      <c r="AO314" s="40"/>
      <c r="AP314" s="40"/>
      <c r="AQ314" s="40"/>
      <c r="AR314" s="40"/>
      <c r="AS314" s="40"/>
      <c r="AT314" s="40"/>
      <c r="AU314" s="40"/>
      <c r="AV314" s="40"/>
      <c r="AW314" s="40"/>
      <c r="AX314" s="40"/>
      <c r="AY314" s="40"/>
      <c r="AZ314" s="40"/>
      <c r="BA314" s="5"/>
    </row>
    <row r="315" spans="1:53" ht="15" thickBot="1" x14ac:dyDescent="0.4">
      <c r="A315" s="30" t="s">
        <v>358</v>
      </c>
      <c r="B315" s="30" t="s">
        <v>359</v>
      </c>
      <c r="C315" s="30" t="s">
        <v>359</v>
      </c>
      <c r="D315" s="30" t="s">
        <v>359</v>
      </c>
      <c r="E315" s="30" t="s">
        <v>359</v>
      </c>
      <c r="F315" s="30" t="s">
        <v>359</v>
      </c>
      <c r="G315" s="30" t="s">
        <v>359</v>
      </c>
      <c r="H315" s="30" t="s">
        <v>359</v>
      </c>
      <c r="I315" s="263" t="s">
        <v>359</v>
      </c>
      <c r="J315" s="264" t="s">
        <v>1018</v>
      </c>
      <c r="K315" s="5" t="s">
        <v>946</v>
      </c>
      <c r="L315" s="5"/>
      <c r="M315" s="5" t="s">
        <v>445</v>
      </c>
      <c r="N315" s="5"/>
      <c r="O315" s="5"/>
      <c r="P315" s="412">
        <v>4786</v>
      </c>
      <c r="Q315" s="110"/>
      <c r="R315" s="110"/>
      <c r="S315" s="110"/>
      <c r="T315" s="110"/>
      <c r="U315" s="110"/>
      <c r="V315" s="121">
        <f t="shared" si="5"/>
        <v>4786</v>
      </c>
      <c r="W315" s="40"/>
      <c r="X315" s="40" t="s">
        <v>358</v>
      </c>
      <c r="Y315" s="40"/>
      <c r="Z315" s="40"/>
      <c r="AA315" s="40"/>
      <c r="AB315" s="40"/>
      <c r="AC315" s="40"/>
      <c r="AD315" s="40"/>
      <c r="AE315" s="40"/>
      <c r="AF315" s="40"/>
      <c r="AG315" s="40"/>
      <c r="AH315" s="40"/>
      <c r="AI315" s="40"/>
      <c r="AJ315" s="40"/>
      <c r="AK315" s="40"/>
      <c r="AL315" s="40"/>
      <c r="AM315" s="40"/>
      <c r="AN315" s="40"/>
      <c r="AO315" s="40"/>
      <c r="AP315" s="40"/>
      <c r="AQ315" s="40"/>
      <c r="AR315" s="40"/>
      <c r="AS315" s="40"/>
      <c r="AT315" s="40"/>
      <c r="AU315" s="40"/>
      <c r="AV315" s="40"/>
      <c r="AW315" s="40"/>
      <c r="AX315" s="40"/>
      <c r="AY315" s="40"/>
      <c r="AZ315" s="40"/>
      <c r="BA315" s="5"/>
    </row>
    <row r="316" spans="1:53" ht="15" thickBot="1" x14ac:dyDescent="0.4">
      <c r="A316" s="30" t="s">
        <v>358</v>
      </c>
      <c r="B316" s="30" t="s">
        <v>359</v>
      </c>
      <c r="C316" s="30" t="s">
        <v>359</v>
      </c>
      <c r="D316" s="30" t="s">
        <v>359</v>
      </c>
      <c r="E316" s="30" t="s">
        <v>359</v>
      </c>
      <c r="F316" s="30" t="s">
        <v>359</v>
      </c>
      <c r="G316" s="30" t="s">
        <v>359</v>
      </c>
      <c r="H316" s="30" t="s">
        <v>359</v>
      </c>
      <c r="I316" s="263" t="s">
        <v>359</v>
      </c>
      <c r="J316" s="264" t="s">
        <v>1018</v>
      </c>
      <c r="K316" s="5" t="s">
        <v>947</v>
      </c>
      <c r="L316" s="5"/>
      <c r="M316" s="5" t="s">
        <v>445</v>
      </c>
      <c r="N316" s="5"/>
      <c r="O316" s="5"/>
      <c r="P316" s="412">
        <v>13299</v>
      </c>
      <c r="Q316" s="110"/>
      <c r="R316" s="110"/>
      <c r="S316" s="110"/>
      <c r="T316" s="110"/>
      <c r="U316" s="110"/>
      <c r="V316" s="121">
        <f t="shared" si="5"/>
        <v>13299</v>
      </c>
      <c r="W316" s="40"/>
      <c r="X316" s="40" t="s">
        <v>358</v>
      </c>
      <c r="Y316" s="40"/>
      <c r="Z316" s="40"/>
      <c r="AA316" s="40"/>
      <c r="AB316" s="40"/>
      <c r="AC316" s="40"/>
      <c r="AD316" s="40"/>
      <c r="AE316" s="40"/>
      <c r="AF316" s="40"/>
      <c r="AG316" s="40"/>
      <c r="AH316" s="40"/>
      <c r="AI316" s="40"/>
      <c r="AJ316" s="40"/>
      <c r="AK316" s="40"/>
      <c r="AL316" s="40"/>
      <c r="AM316" s="40"/>
      <c r="AN316" s="40"/>
      <c r="AO316" s="40"/>
      <c r="AP316" s="40"/>
      <c r="AQ316" s="40"/>
      <c r="AR316" s="40"/>
      <c r="AS316" s="40"/>
      <c r="AT316" s="40"/>
      <c r="AU316" s="40"/>
      <c r="AV316" s="40"/>
      <c r="AW316" s="40"/>
      <c r="AX316" s="40"/>
      <c r="AY316" s="40"/>
      <c r="AZ316" s="40"/>
      <c r="BA316" s="5"/>
    </row>
    <row r="317" spans="1:53" ht="15" thickBot="1" x14ac:dyDescent="0.4">
      <c r="A317" s="30" t="s">
        <v>358</v>
      </c>
      <c r="B317" s="30" t="s">
        <v>359</v>
      </c>
      <c r="C317" s="30" t="s">
        <v>359</v>
      </c>
      <c r="D317" s="30" t="s">
        <v>359</v>
      </c>
      <c r="E317" s="30" t="s">
        <v>359</v>
      </c>
      <c r="F317" s="30" t="s">
        <v>359</v>
      </c>
      <c r="G317" s="30" t="s">
        <v>359</v>
      </c>
      <c r="H317" s="30" t="s">
        <v>359</v>
      </c>
      <c r="I317" s="263" t="s">
        <v>359</v>
      </c>
      <c r="J317" s="264" t="s">
        <v>1018</v>
      </c>
      <c r="K317" s="5" t="s">
        <v>948</v>
      </c>
      <c r="L317" s="5"/>
      <c r="M317" s="5" t="s">
        <v>445</v>
      </c>
      <c r="N317" s="5"/>
      <c r="O317" s="5"/>
      <c r="P317" s="412">
        <v>4299</v>
      </c>
      <c r="Q317" s="110"/>
      <c r="R317" s="110"/>
      <c r="S317" s="110"/>
      <c r="T317" s="110"/>
      <c r="U317" s="110"/>
      <c r="V317" s="121">
        <f t="shared" si="5"/>
        <v>4299</v>
      </c>
      <c r="W317" s="40"/>
      <c r="X317" s="40" t="s">
        <v>358</v>
      </c>
      <c r="Y317" s="40"/>
      <c r="Z317" s="40"/>
      <c r="AA317" s="40"/>
      <c r="AB317" s="40"/>
      <c r="AC317" s="40"/>
      <c r="AD317" s="40"/>
      <c r="AE317" s="40"/>
      <c r="AF317" s="40"/>
      <c r="AG317" s="40"/>
      <c r="AH317" s="40"/>
      <c r="AI317" s="40"/>
      <c r="AJ317" s="40"/>
      <c r="AK317" s="40"/>
      <c r="AL317" s="40"/>
      <c r="AM317" s="40"/>
      <c r="AN317" s="40"/>
      <c r="AO317" s="40"/>
      <c r="AP317" s="40"/>
      <c r="AQ317" s="40"/>
      <c r="AR317" s="40"/>
      <c r="AS317" s="40"/>
      <c r="AT317" s="40"/>
      <c r="AU317" s="40"/>
      <c r="AV317" s="40"/>
      <c r="AW317" s="40"/>
      <c r="AX317" s="40"/>
      <c r="AY317" s="40"/>
      <c r="AZ317" s="40"/>
      <c r="BA317" s="5"/>
    </row>
    <row r="318" spans="1:53" ht="15" thickBot="1" x14ac:dyDescent="0.4">
      <c r="A318" s="30" t="s">
        <v>358</v>
      </c>
      <c r="B318" s="30" t="s">
        <v>359</v>
      </c>
      <c r="C318" s="30" t="s">
        <v>359</v>
      </c>
      <c r="D318" s="30" t="s">
        <v>359</v>
      </c>
      <c r="E318" s="30" t="s">
        <v>359</v>
      </c>
      <c r="F318" s="30" t="s">
        <v>359</v>
      </c>
      <c r="G318" s="30" t="s">
        <v>359</v>
      </c>
      <c r="H318" s="30" t="s">
        <v>359</v>
      </c>
      <c r="I318" s="263" t="s">
        <v>359</v>
      </c>
      <c r="J318" s="264" t="s">
        <v>1018</v>
      </c>
      <c r="K318" s="5" t="s">
        <v>949</v>
      </c>
      <c r="L318" s="5"/>
      <c r="M318" s="5" t="s">
        <v>445</v>
      </c>
      <c r="N318" s="5"/>
      <c r="O318" s="5"/>
      <c r="P318" s="412">
        <v>7956</v>
      </c>
      <c r="Q318" s="110"/>
      <c r="R318" s="110"/>
      <c r="S318" s="110"/>
      <c r="T318" s="110"/>
      <c r="U318" s="110"/>
      <c r="V318" s="121">
        <f t="shared" si="5"/>
        <v>7956</v>
      </c>
      <c r="W318" s="40"/>
      <c r="X318" s="40" t="s">
        <v>358</v>
      </c>
      <c r="Y318" s="40"/>
      <c r="Z318" s="40"/>
      <c r="AA318" s="40"/>
      <c r="AB318" s="40"/>
      <c r="AC318" s="40"/>
      <c r="AD318" s="40"/>
      <c r="AE318" s="40"/>
      <c r="AF318" s="40"/>
      <c r="AG318" s="40"/>
      <c r="AH318" s="40"/>
      <c r="AI318" s="40"/>
      <c r="AJ318" s="40"/>
      <c r="AK318" s="40"/>
      <c r="AL318" s="40"/>
      <c r="AM318" s="40"/>
      <c r="AN318" s="40"/>
      <c r="AO318" s="40"/>
      <c r="AP318" s="40"/>
      <c r="AQ318" s="40"/>
      <c r="AR318" s="40"/>
      <c r="AS318" s="40"/>
      <c r="AT318" s="40"/>
      <c r="AU318" s="40"/>
      <c r="AV318" s="40"/>
      <c r="AW318" s="40"/>
      <c r="AX318" s="40"/>
      <c r="AY318" s="40"/>
      <c r="AZ318" s="40"/>
      <c r="BA318" s="5"/>
    </row>
    <row r="319" spans="1:53" ht="15" thickBot="1" x14ac:dyDescent="0.4">
      <c r="A319" s="30" t="s">
        <v>358</v>
      </c>
      <c r="B319" s="30" t="s">
        <v>359</v>
      </c>
      <c r="C319" s="30" t="s">
        <v>359</v>
      </c>
      <c r="D319" s="30" t="s">
        <v>359</v>
      </c>
      <c r="E319" s="30" t="s">
        <v>359</v>
      </c>
      <c r="F319" s="30" t="s">
        <v>359</v>
      </c>
      <c r="G319" s="30" t="s">
        <v>359</v>
      </c>
      <c r="H319" s="30" t="s">
        <v>359</v>
      </c>
      <c r="I319" s="263" t="s">
        <v>359</v>
      </c>
      <c r="J319" s="264" t="s">
        <v>1018</v>
      </c>
      <c r="K319" s="5" t="s">
        <v>950</v>
      </c>
      <c r="L319" s="5"/>
      <c r="M319" s="5" t="s">
        <v>445</v>
      </c>
      <c r="N319" s="5"/>
      <c r="O319" s="5"/>
      <c r="P319" s="412">
        <v>3857</v>
      </c>
      <c r="Q319" s="110"/>
      <c r="R319" s="110"/>
      <c r="S319" s="110"/>
      <c r="T319" s="110"/>
      <c r="U319" s="110"/>
      <c r="V319" s="121">
        <f t="shared" si="5"/>
        <v>3857</v>
      </c>
      <c r="W319" s="40"/>
      <c r="X319" s="40" t="s">
        <v>358</v>
      </c>
      <c r="Y319" s="40"/>
      <c r="Z319" s="40"/>
      <c r="AA319" s="40"/>
      <c r="AB319" s="40"/>
      <c r="AC319" s="40"/>
      <c r="AD319" s="40"/>
      <c r="AE319" s="40"/>
      <c r="AF319" s="40"/>
      <c r="AG319" s="40"/>
      <c r="AH319" s="40"/>
      <c r="AI319" s="40"/>
      <c r="AJ319" s="40"/>
      <c r="AK319" s="40"/>
      <c r="AL319" s="40"/>
      <c r="AM319" s="40"/>
      <c r="AN319" s="40"/>
      <c r="AO319" s="40"/>
      <c r="AP319" s="40"/>
      <c r="AQ319" s="40"/>
      <c r="AR319" s="40"/>
      <c r="AS319" s="40"/>
      <c r="AT319" s="40"/>
      <c r="AU319" s="40"/>
      <c r="AV319" s="40"/>
      <c r="AW319" s="40"/>
      <c r="AX319" s="40"/>
      <c r="AY319" s="40"/>
      <c r="AZ319" s="40"/>
      <c r="BA319" s="5"/>
    </row>
    <row r="320" spans="1:53" ht="15" thickBot="1" x14ac:dyDescent="0.4">
      <c r="A320" s="30" t="s">
        <v>358</v>
      </c>
      <c r="B320" s="30" t="s">
        <v>359</v>
      </c>
      <c r="C320" s="30" t="s">
        <v>359</v>
      </c>
      <c r="D320" s="30" t="s">
        <v>359</v>
      </c>
      <c r="E320" s="30" t="s">
        <v>359</v>
      </c>
      <c r="F320" s="30" t="s">
        <v>359</v>
      </c>
      <c r="G320" s="30" t="s">
        <v>359</v>
      </c>
      <c r="H320" s="30" t="s">
        <v>359</v>
      </c>
      <c r="I320" s="263" t="s">
        <v>359</v>
      </c>
      <c r="J320" s="264" t="s">
        <v>1018</v>
      </c>
      <c r="K320" s="5" t="s">
        <v>951</v>
      </c>
      <c r="L320" s="5"/>
      <c r="M320" s="5" t="s">
        <v>445</v>
      </c>
      <c r="N320" s="5"/>
      <c r="O320" s="5"/>
      <c r="P320" s="412">
        <v>3985</v>
      </c>
      <c r="Q320" s="110"/>
      <c r="R320" s="110"/>
      <c r="S320" s="110"/>
      <c r="T320" s="110"/>
      <c r="U320" s="110"/>
      <c r="V320" s="121">
        <f t="shared" si="5"/>
        <v>3985</v>
      </c>
      <c r="W320" s="40"/>
      <c r="X320" s="40" t="s">
        <v>358</v>
      </c>
      <c r="Y320" s="40"/>
      <c r="Z320" s="40"/>
      <c r="AA320" s="40"/>
      <c r="AB320" s="40"/>
      <c r="AC320" s="40"/>
      <c r="AD320" s="40"/>
      <c r="AE320" s="40"/>
      <c r="AF320" s="40"/>
      <c r="AG320" s="40"/>
      <c r="AH320" s="40"/>
      <c r="AI320" s="40"/>
      <c r="AJ320" s="40"/>
      <c r="AK320" s="40"/>
      <c r="AL320" s="40"/>
      <c r="AM320" s="40"/>
      <c r="AN320" s="40"/>
      <c r="AO320" s="40"/>
      <c r="AP320" s="40"/>
      <c r="AQ320" s="40"/>
      <c r="AR320" s="40"/>
      <c r="AS320" s="40"/>
      <c r="AT320" s="40"/>
      <c r="AU320" s="40"/>
      <c r="AV320" s="40"/>
      <c r="AW320" s="40"/>
      <c r="AX320" s="40"/>
      <c r="AY320" s="40"/>
      <c r="AZ320" s="40"/>
      <c r="BA320" s="5"/>
    </row>
    <row r="321" spans="1:53" ht="15" thickBot="1" x14ac:dyDescent="0.4">
      <c r="A321" s="30" t="s">
        <v>358</v>
      </c>
      <c r="B321" s="30" t="s">
        <v>359</v>
      </c>
      <c r="C321" s="30" t="s">
        <v>359</v>
      </c>
      <c r="D321" s="30" t="s">
        <v>359</v>
      </c>
      <c r="E321" s="30" t="s">
        <v>359</v>
      </c>
      <c r="F321" s="30" t="s">
        <v>359</v>
      </c>
      <c r="G321" s="30" t="s">
        <v>359</v>
      </c>
      <c r="H321" s="30" t="s">
        <v>359</v>
      </c>
      <c r="I321" s="263" t="s">
        <v>359</v>
      </c>
      <c r="J321" s="264" t="s">
        <v>1018</v>
      </c>
      <c r="K321" s="5" t="s">
        <v>952</v>
      </c>
      <c r="L321" s="5"/>
      <c r="M321" s="5" t="s">
        <v>445</v>
      </c>
      <c r="N321" s="5"/>
      <c r="O321" s="5"/>
      <c r="P321" s="412">
        <v>11607</v>
      </c>
      <c r="Q321" s="110"/>
      <c r="R321" s="110"/>
      <c r="S321" s="110"/>
      <c r="T321" s="110"/>
      <c r="U321" s="110"/>
      <c r="V321" s="121">
        <f t="shared" si="5"/>
        <v>11607</v>
      </c>
      <c r="W321" s="40"/>
      <c r="X321" s="40" t="s">
        <v>358</v>
      </c>
      <c r="Y321" s="40"/>
      <c r="Z321" s="40"/>
      <c r="AA321" s="40"/>
      <c r="AB321" s="40"/>
      <c r="AC321" s="40"/>
      <c r="AD321" s="40"/>
      <c r="AE321" s="40"/>
      <c r="AF321" s="40"/>
      <c r="AG321" s="40"/>
      <c r="AH321" s="40"/>
      <c r="AI321" s="40"/>
      <c r="AJ321" s="40"/>
      <c r="AK321" s="40"/>
      <c r="AL321" s="40"/>
      <c r="AM321" s="40"/>
      <c r="AN321" s="40"/>
      <c r="AO321" s="40"/>
      <c r="AP321" s="40"/>
      <c r="AQ321" s="40"/>
      <c r="AR321" s="40"/>
      <c r="AS321" s="40"/>
      <c r="AT321" s="40"/>
      <c r="AU321" s="40"/>
      <c r="AV321" s="40"/>
      <c r="AW321" s="40"/>
      <c r="AX321" s="40"/>
      <c r="AY321" s="40"/>
      <c r="AZ321" s="40"/>
      <c r="BA321" s="5"/>
    </row>
    <row r="322" spans="1:53" ht="15" thickBot="1" x14ac:dyDescent="0.4">
      <c r="A322" s="30" t="s">
        <v>358</v>
      </c>
      <c r="B322" s="30" t="s">
        <v>359</v>
      </c>
      <c r="C322" s="30" t="s">
        <v>359</v>
      </c>
      <c r="D322" s="30" t="s">
        <v>359</v>
      </c>
      <c r="E322" s="30" t="s">
        <v>359</v>
      </c>
      <c r="F322" s="30" t="s">
        <v>359</v>
      </c>
      <c r="G322" s="30" t="s">
        <v>359</v>
      </c>
      <c r="H322" s="30" t="s">
        <v>359</v>
      </c>
      <c r="I322" s="263" t="s">
        <v>359</v>
      </c>
      <c r="J322" s="264" t="s">
        <v>1018</v>
      </c>
      <c r="K322" s="5" t="s">
        <v>953</v>
      </c>
      <c r="L322" s="5"/>
      <c r="M322" s="5" t="s">
        <v>445</v>
      </c>
      <c r="N322" s="5"/>
      <c r="O322" s="5"/>
      <c r="P322" s="412">
        <v>11698</v>
      </c>
      <c r="Q322" s="110"/>
      <c r="R322" s="110"/>
      <c r="S322" s="110"/>
      <c r="T322" s="110"/>
      <c r="U322" s="110"/>
      <c r="V322" s="121">
        <f t="shared" si="5"/>
        <v>11698</v>
      </c>
      <c r="W322" s="40"/>
      <c r="X322" s="40" t="s">
        <v>358</v>
      </c>
      <c r="Y322" s="40"/>
      <c r="Z322" s="40"/>
      <c r="AA322" s="40"/>
      <c r="AB322" s="40"/>
      <c r="AC322" s="40"/>
      <c r="AD322" s="40"/>
      <c r="AE322" s="40"/>
      <c r="AF322" s="40"/>
      <c r="AG322" s="40"/>
      <c r="AH322" s="40"/>
      <c r="AI322" s="40"/>
      <c r="AJ322" s="40"/>
      <c r="AK322" s="40"/>
      <c r="AL322" s="40"/>
      <c r="AM322" s="40"/>
      <c r="AN322" s="40"/>
      <c r="AO322" s="40"/>
      <c r="AP322" s="40"/>
      <c r="AQ322" s="40"/>
      <c r="AR322" s="40"/>
      <c r="AS322" s="40"/>
      <c r="AT322" s="40"/>
      <c r="AU322" s="40"/>
      <c r="AV322" s="40"/>
      <c r="AW322" s="40"/>
      <c r="AX322" s="40"/>
      <c r="AY322" s="40"/>
      <c r="AZ322" s="40"/>
      <c r="BA322" s="5"/>
    </row>
    <row r="323" spans="1:53" ht="15" thickBot="1" x14ac:dyDescent="0.4">
      <c r="A323" s="30" t="s">
        <v>358</v>
      </c>
      <c r="B323" s="30" t="s">
        <v>359</v>
      </c>
      <c r="C323" s="30" t="s">
        <v>359</v>
      </c>
      <c r="D323" s="30" t="s">
        <v>359</v>
      </c>
      <c r="E323" s="30" t="s">
        <v>359</v>
      </c>
      <c r="F323" s="30" t="s">
        <v>359</v>
      </c>
      <c r="G323" s="30" t="s">
        <v>359</v>
      </c>
      <c r="H323" s="30" t="s">
        <v>359</v>
      </c>
      <c r="I323" s="263" t="s">
        <v>359</v>
      </c>
      <c r="J323" s="264" t="s">
        <v>1018</v>
      </c>
      <c r="K323" s="5" t="s">
        <v>954</v>
      </c>
      <c r="L323" s="5"/>
      <c r="M323" s="5" t="s">
        <v>445</v>
      </c>
      <c r="N323" s="5"/>
      <c r="O323" s="5"/>
      <c r="P323" s="412">
        <v>5758</v>
      </c>
      <c r="Q323" s="110"/>
      <c r="R323" s="110"/>
      <c r="S323" s="110"/>
      <c r="T323" s="110"/>
      <c r="U323" s="110"/>
      <c r="V323" s="121">
        <f t="shared" si="5"/>
        <v>5758</v>
      </c>
      <c r="W323" s="40"/>
      <c r="X323" s="40" t="s">
        <v>358</v>
      </c>
      <c r="Y323" s="40"/>
      <c r="Z323" s="40"/>
      <c r="AA323" s="40"/>
      <c r="AB323" s="40"/>
      <c r="AC323" s="40"/>
      <c r="AD323" s="40"/>
      <c r="AE323" s="40"/>
      <c r="AF323" s="40"/>
      <c r="AG323" s="40"/>
      <c r="AH323" s="40"/>
      <c r="AI323" s="40"/>
      <c r="AJ323" s="40"/>
      <c r="AK323" s="40"/>
      <c r="AL323" s="40"/>
      <c r="AM323" s="40"/>
      <c r="AN323" s="40"/>
      <c r="AO323" s="40"/>
      <c r="AP323" s="40"/>
      <c r="AQ323" s="40"/>
      <c r="AR323" s="40"/>
      <c r="AS323" s="40"/>
      <c r="AT323" s="40"/>
      <c r="AU323" s="40"/>
      <c r="AV323" s="40"/>
      <c r="AW323" s="40"/>
      <c r="AX323" s="40"/>
      <c r="AY323" s="40"/>
      <c r="AZ323" s="40"/>
      <c r="BA323" s="5"/>
    </row>
    <row r="324" spans="1:53" ht="15" thickBot="1" x14ac:dyDescent="0.4">
      <c r="A324" s="30" t="s">
        <v>358</v>
      </c>
      <c r="B324" s="30" t="s">
        <v>359</v>
      </c>
      <c r="C324" s="30" t="s">
        <v>359</v>
      </c>
      <c r="D324" s="30" t="s">
        <v>359</v>
      </c>
      <c r="E324" s="30" t="s">
        <v>359</v>
      </c>
      <c r="F324" s="30" t="s">
        <v>359</v>
      </c>
      <c r="G324" s="30" t="s">
        <v>359</v>
      </c>
      <c r="H324" s="30" t="s">
        <v>359</v>
      </c>
      <c r="I324" s="263" t="s">
        <v>359</v>
      </c>
      <c r="J324" s="264" t="s">
        <v>1018</v>
      </c>
      <c r="K324" s="5" t="s">
        <v>955</v>
      </c>
      <c r="L324" s="5"/>
      <c r="M324" s="5" t="s">
        <v>445</v>
      </c>
      <c r="N324" s="5"/>
      <c r="O324" s="5"/>
      <c r="P324" s="412">
        <v>1.24</v>
      </c>
      <c r="Q324" s="110"/>
      <c r="R324" s="110"/>
      <c r="S324" s="110"/>
      <c r="T324" s="110"/>
      <c r="U324" s="110"/>
      <c r="V324" s="121">
        <f t="shared" si="5"/>
        <v>1.24</v>
      </c>
      <c r="W324" s="40"/>
      <c r="X324" s="40" t="s">
        <v>358</v>
      </c>
      <c r="Y324" s="40"/>
      <c r="Z324" s="40"/>
      <c r="AA324" s="40"/>
      <c r="AB324" s="40"/>
      <c r="AC324" s="40"/>
      <c r="AD324" s="40"/>
      <c r="AE324" s="40"/>
      <c r="AF324" s="40"/>
      <c r="AG324" s="40"/>
      <c r="AH324" s="40"/>
      <c r="AI324" s="40"/>
      <c r="AJ324" s="40"/>
      <c r="AK324" s="40"/>
      <c r="AL324" s="40"/>
      <c r="AM324" s="40"/>
      <c r="AN324" s="40"/>
      <c r="AO324" s="40"/>
      <c r="AP324" s="40"/>
      <c r="AQ324" s="40"/>
      <c r="AR324" s="40"/>
      <c r="AS324" s="40"/>
      <c r="AT324" s="40"/>
      <c r="AU324" s="40"/>
      <c r="AV324" s="40"/>
      <c r="AW324" s="40"/>
      <c r="AX324" s="40"/>
      <c r="AY324" s="40"/>
      <c r="AZ324" s="40"/>
      <c r="BA324" s="5"/>
    </row>
    <row r="325" spans="1:53" ht="15" thickBot="1" x14ac:dyDescent="0.4">
      <c r="A325" s="30" t="s">
        <v>358</v>
      </c>
      <c r="B325" s="30" t="s">
        <v>359</v>
      </c>
      <c r="C325" s="30" t="s">
        <v>359</v>
      </c>
      <c r="D325" s="30" t="s">
        <v>359</v>
      </c>
      <c r="E325" s="30" t="s">
        <v>359</v>
      </c>
      <c r="F325" s="30" t="s">
        <v>359</v>
      </c>
      <c r="G325" s="30" t="s">
        <v>359</v>
      </c>
      <c r="H325" s="30" t="s">
        <v>359</v>
      </c>
      <c r="I325" s="263" t="s">
        <v>359</v>
      </c>
      <c r="J325" s="264" t="s">
        <v>1018</v>
      </c>
      <c r="K325" s="5" t="s">
        <v>956</v>
      </c>
      <c r="L325" s="5"/>
      <c r="M325" s="5" t="s">
        <v>445</v>
      </c>
      <c r="N325" s="5"/>
      <c r="O325" s="5"/>
      <c r="P325" s="412">
        <v>7</v>
      </c>
      <c r="Q325" s="110"/>
      <c r="R325" s="110"/>
      <c r="S325" s="110"/>
      <c r="T325" s="110"/>
      <c r="U325" s="110"/>
      <c r="V325" s="121">
        <f t="shared" si="5"/>
        <v>7</v>
      </c>
      <c r="W325" s="40"/>
      <c r="X325" s="40" t="s">
        <v>358</v>
      </c>
      <c r="Y325" s="40"/>
      <c r="Z325" s="40"/>
      <c r="AA325" s="40"/>
      <c r="AB325" s="40"/>
      <c r="AC325" s="40"/>
      <c r="AD325" s="40"/>
      <c r="AE325" s="40"/>
      <c r="AF325" s="40"/>
      <c r="AG325" s="40"/>
      <c r="AH325" s="40"/>
      <c r="AI325" s="40"/>
      <c r="AJ325" s="40"/>
      <c r="AK325" s="40"/>
      <c r="AL325" s="40"/>
      <c r="AM325" s="40"/>
      <c r="AN325" s="40"/>
      <c r="AO325" s="40"/>
      <c r="AP325" s="40"/>
      <c r="AQ325" s="40"/>
      <c r="AR325" s="40"/>
      <c r="AS325" s="40"/>
      <c r="AT325" s="40"/>
      <c r="AU325" s="40"/>
      <c r="AV325" s="40"/>
      <c r="AW325" s="40"/>
      <c r="AX325" s="40"/>
      <c r="AY325" s="40"/>
      <c r="AZ325" s="40"/>
      <c r="BA325" s="5"/>
    </row>
    <row r="326" spans="1:53" ht="15" thickBot="1" x14ac:dyDescent="0.4">
      <c r="A326" s="30" t="s">
        <v>358</v>
      </c>
      <c r="B326" s="30" t="s">
        <v>359</v>
      </c>
      <c r="C326" s="30" t="s">
        <v>359</v>
      </c>
      <c r="D326" s="30" t="s">
        <v>359</v>
      </c>
      <c r="E326" s="30" t="s">
        <v>359</v>
      </c>
      <c r="F326" s="30" t="s">
        <v>359</v>
      </c>
      <c r="G326" s="30" t="s">
        <v>359</v>
      </c>
      <c r="H326" s="30" t="s">
        <v>359</v>
      </c>
      <c r="I326" s="263" t="s">
        <v>359</v>
      </c>
      <c r="J326" s="264" t="s">
        <v>1018</v>
      </c>
      <c r="K326" s="5" t="s">
        <v>957</v>
      </c>
      <c r="L326" s="5"/>
      <c r="M326" s="5" t="s">
        <v>445</v>
      </c>
      <c r="N326" s="5"/>
      <c r="O326" s="5"/>
      <c r="P326" s="412">
        <v>196</v>
      </c>
      <c r="Q326" s="110"/>
      <c r="R326" s="110"/>
      <c r="S326" s="110"/>
      <c r="T326" s="110"/>
      <c r="U326" s="110"/>
      <c r="V326" s="121">
        <f t="shared" si="5"/>
        <v>196</v>
      </c>
      <c r="W326" s="40"/>
      <c r="X326" s="40" t="s">
        <v>358</v>
      </c>
      <c r="Y326" s="40"/>
      <c r="Z326" s="40"/>
      <c r="AA326" s="40"/>
      <c r="AB326" s="40"/>
      <c r="AC326" s="40"/>
      <c r="AD326" s="40"/>
      <c r="AE326" s="40"/>
      <c r="AF326" s="40"/>
      <c r="AG326" s="40"/>
      <c r="AH326" s="40"/>
      <c r="AI326" s="40"/>
      <c r="AJ326" s="40"/>
      <c r="AK326" s="40"/>
      <c r="AL326" s="40"/>
      <c r="AM326" s="40"/>
      <c r="AN326" s="40"/>
      <c r="AO326" s="40"/>
      <c r="AP326" s="40"/>
      <c r="AQ326" s="40"/>
      <c r="AR326" s="40"/>
      <c r="AS326" s="40"/>
      <c r="AT326" s="40"/>
      <c r="AU326" s="40"/>
      <c r="AV326" s="40"/>
      <c r="AW326" s="40"/>
      <c r="AX326" s="40"/>
      <c r="AY326" s="40"/>
      <c r="AZ326" s="40"/>
      <c r="BA326" s="5"/>
    </row>
    <row r="327" spans="1:53" ht="26.5" thickBot="1" x14ac:dyDescent="0.4">
      <c r="A327" s="30" t="s">
        <v>358</v>
      </c>
      <c r="B327" s="30" t="s">
        <v>359</v>
      </c>
      <c r="C327" s="30" t="s">
        <v>359</v>
      </c>
      <c r="D327" s="30" t="s">
        <v>359</v>
      </c>
      <c r="E327" s="30" t="s">
        <v>359</v>
      </c>
      <c r="F327" s="30" t="s">
        <v>359</v>
      </c>
      <c r="G327" s="30" t="s">
        <v>359</v>
      </c>
      <c r="H327" s="30" t="s">
        <v>359</v>
      </c>
      <c r="I327" s="263" t="s">
        <v>359</v>
      </c>
      <c r="J327" s="264" t="s">
        <v>1018</v>
      </c>
      <c r="K327" s="5" t="s">
        <v>958</v>
      </c>
      <c r="L327" s="5"/>
      <c r="M327" s="5" t="s">
        <v>445</v>
      </c>
      <c r="N327" s="5"/>
      <c r="O327" s="5"/>
      <c r="P327" s="412">
        <v>4660</v>
      </c>
      <c r="Q327" s="110"/>
      <c r="R327" s="110"/>
      <c r="S327" s="110"/>
      <c r="T327" s="110"/>
      <c r="U327" s="110"/>
      <c r="V327" s="121">
        <f t="shared" si="5"/>
        <v>4660</v>
      </c>
      <c r="W327" s="40"/>
      <c r="X327" s="40" t="s">
        <v>358</v>
      </c>
      <c r="Y327" s="40"/>
      <c r="Z327" s="40"/>
      <c r="AA327" s="40"/>
      <c r="AB327" s="40"/>
      <c r="AC327" s="40"/>
      <c r="AD327" s="40"/>
      <c r="AE327" s="40"/>
      <c r="AF327" s="40"/>
      <c r="AG327" s="40"/>
      <c r="AH327" s="40"/>
      <c r="AI327" s="40"/>
      <c r="AJ327" s="40"/>
      <c r="AK327" s="40"/>
      <c r="AL327" s="40"/>
      <c r="AM327" s="40"/>
      <c r="AN327" s="40"/>
      <c r="AO327" s="40"/>
      <c r="AP327" s="40"/>
      <c r="AQ327" s="40"/>
      <c r="AR327" s="40"/>
      <c r="AS327" s="40"/>
      <c r="AT327" s="40"/>
      <c r="AU327" s="40"/>
      <c r="AV327" s="40"/>
      <c r="AW327" s="40"/>
      <c r="AX327" s="40"/>
      <c r="AY327" s="40"/>
      <c r="AZ327" s="40"/>
      <c r="BA327" s="5"/>
    </row>
    <row r="328" spans="1:53" ht="26.5" thickBot="1" x14ac:dyDescent="0.4">
      <c r="A328" s="30" t="s">
        <v>358</v>
      </c>
      <c r="B328" s="30" t="s">
        <v>359</v>
      </c>
      <c r="C328" s="30" t="s">
        <v>359</v>
      </c>
      <c r="D328" s="30" t="s">
        <v>359</v>
      </c>
      <c r="E328" s="30" t="s">
        <v>359</v>
      </c>
      <c r="F328" s="30" t="s">
        <v>359</v>
      </c>
      <c r="G328" s="30" t="s">
        <v>359</v>
      </c>
      <c r="H328" s="30" t="s">
        <v>359</v>
      </c>
      <c r="I328" s="263" t="s">
        <v>359</v>
      </c>
      <c r="J328" s="264" t="s">
        <v>1018</v>
      </c>
      <c r="K328" s="5" t="s">
        <v>959</v>
      </c>
      <c r="L328" s="5"/>
      <c r="M328" s="5" t="s">
        <v>445</v>
      </c>
      <c r="N328" s="5"/>
      <c r="O328" s="5"/>
      <c r="P328" s="412">
        <v>10200</v>
      </c>
      <c r="Q328" s="110"/>
      <c r="R328" s="110"/>
      <c r="S328" s="110"/>
      <c r="T328" s="110"/>
      <c r="U328" s="110"/>
      <c r="V328" s="121">
        <f t="shared" si="5"/>
        <v>10200</v>
      </c>
      <c r="W328" s="40"/>
      <c r="X328" s="40" t="s">
        <v>358</v>
      </c>
      <c r="Y328" s="40"/>
      <c r="Z328" s="40"/>
      <c r="AA328" s="40"/>
      <c r="AB328" s="40"/>
      <c r="AC328" s="40"/>
      <c r="AD328" s="40"/>
      <c r="AE328" s="40"/>
      <c r="AF328" s="40"/>
      <c r="AG328" s="40"/>
      <c r="AH328" s="40"/>
      <c r="AI328" s="40"/>
      <c r="AJ328" s="40"/>
      <c r="AK328" s="40"/>
      <c r="AL328" s="40"/>
      <c r="AM328" s="40"/>
      <c r="AN328" s="40"/>
      <c r="AO328" s="40"/>
      <c r="AP328" s="40"/>
      <c r="AQ328" s="40"/>
      <c r="AR328" s="40"/>
      <c r="AS328" s="40"/>
      <c r="AT328" s="40"/>
      <c r="AU328" s="40"/>
      <c r="AV328" s="40"/>
      <c r="AW328" s="40"/>
      <c r="AX328" s="40"/>
      <c r="AY328" s="40"/>
      <c r="AZ328" s="40"/>
      <c r="BA328" s="5"/>
    </row>
    <row r="329" spans="1:53" ht="15" thickBot="1" x14ac:dyDescent="0.4">
      <c r="A329" s="30" t="s">
        <v>358</v>
      </c>
      <c r="B329" s="30" t="s">
        <v>359</v>
      </c>
      <c r="C329" s="30" t="s">
        <v>359</v>
      </c>
      <c r="D329" s="30" t="s">
        <v>359</v>
      </c>
      <c r="E329" s="30" t="s">
        <v>359</v>
      </c>
      <c r="F329" s="30" t="s">
        <v>359</v>
      </c>
      <c r="G329" s="30" t="s">
        <v>359</v>
      </c>
      <c r="H329" s="30" t="s">
        <v>359</v>
      </c>
      <c r="I329" s="263" t="s">
        <v>359</v>
      </c>
      <c r="J329" s="264" t="s">
        <v>1018</v>
      </c>
      <c r="K329" s="5" t="s">
        <v>960</v>
      </c>
      <c r="L329" s="5"/>
      <c r="M329" s="5" t="s">
        <v>445</v>
      </c>
      <c r="N329" s="5"/>
      <c r="O329" s="5"/>
      <c r="P329" s="412">
        <v>13900</v>
      </c>
      <c r="Q329" s="110"/>
      <c r="R329" s="110"/>
      <c r="S329" s="110"/>
      <c r="T329" s="110"/>
      <c r="U329" s="110"/>
      <c r="V329" s="121">
        <f t="shared" si="5"/>
        <v>13900</v>
      </c>
      <c r="W329" s="40"/>
      <c r="X329" s="40" t="s">
        <v>358</v>
      </c>
      <c r="Y329" s="40"/>
      <c r="Z329" s="40"/>
      <c r="AA329" s="40"/>
      <c r="AB329" s="40"/>
      <c r="AC329" s="40"/>
      <c r="AD329" s="40"/>
      <c r="AE329" s="40"/>
      <c r="AF329" s="40"/>
      <c r="AG329" s="40"/>
      <c r="AH329" s="40"/>
      <c r="AI329" s="40"/>
      <c r="AJ329" s="40"/>
      <c r="AK329" s="40"/>
      <c r="AL329" s="40"/>
      <c r="AM329" s="40"/>
      <c r="AN329" s="40"/>
      <c r="AO329" s="40"/>
      <c r="AP329" s="40"/>
      <c r="AQ329" s="40"/>
      <c r="AR329" s="40"/>
      <c r="AS329" s="40"/>
      <c r="AT329" s="40"/>
      <c r="AU329" s="40"/>
      <c r="AV329" s="40"/>
      <c r="AW329" s="40"/>
      <c r="AX329" s="40"/>
      <c r="AY329" s="40"/>
      <c r="AZ329" s="40"/>
      <c r="BA329" s="5"/>
    </row>
    <row r="330" spans="1:53" ht="15" thickBot="1" x14ac:dyDescent="0.4">
      <c r="A330" s="30" t="s">
        <v>358</v>
      </c>
      <c r="B330" s="30" t="s">
        <v>359</v>
      </c>
      <c r="C330" s="30" t="s">
        <v>359</v>
      </c>
      <c r="D330" s="30" t="s">
        <v>359</v>
      </c>
      <c r="E330" s="30" t="s">
        <v>359</v>
      </c>
      <c r="F330" s="30" t="s">
        <v>359</v>
      </c>
      <c r="G330" s="30" t="s">
        <v>359</v>
      </c>
      <c r="H330" s="30" t="s">
        <v>359</v>
      </c>
      <c r="I330" s="263" t="s">
        <v>359</v>
      </c>
      <c r="J330" s="264" t="s">
        <v>1018</v>
      </c>
      <c r="K330" s="5" t="s">
        <v>961</v>
      </c>
      <c r="L330" s="5"/>
      <c r="M330" s="5" t="s">
        <v>445</v>
      </c>
      <c r="N330" s="5"/>
      <c r="O330" s="5"/>
      <c r="P330" s="412">
        <v>5820</v>
      </c>
      <c r="Q330" s="110"/>
      <c r="R330" s="110"/>
      <c r="S330" s="110"/>
      <c r="T330" s="110"/>
      <c r="U330" s="110"/>
      <c r="V330" s="121">
        <f t="shared" si="5"/>
        <v>5820</v>
      </c>
      <c r="W330" s="40"/>
      <c r="X330" s="40" t="s">
        <v>358</v>
      </c>
      <c r="Y330" s="40"/>
      <c r="Z330" s="40"/>
      <c r="AA330" s="40"/>
      <c r="AB330" s="40"/>
      <c r="AC330" s="40"/>
      <c r="AD330" s="40"/>
      <c r="AE330" s="40"/>
      <c r="AF330" s="40"/>
      <c r="AG330" s="40"/>
      <c r="AH330" s="40"/>
      <c r="AI330" s="40"/>
      <c r="AJ330" s="40"/>
      <c r="AK330" s="40"/>
      <c r="AL330" s="40"/>
      <c r="AM330" s="40"/>
      <c r="AN330" s="40"/>
      <c r="AO330" s="40"/>
      <c r="AP330" s="40"/>
      <c r="AQ330" s="40"/>
      <c r="AR330" s="40"/>
      <c r="AS330" s="40"/>
      <c r="AT330" s="40"/>
      <c r="AU330" s="40"/>
      <c r="AV330" s="40"/>
      <c r="AW330" s="40"/>
      <c r="AX330" s="40"/>
      <c r="AY330" s="40"/>
      <c r="AZ330" s="40"/>
      <c r="BA330" s="5"/>
    </row>
    <row r="331" spans="1:53" ht="15" thickBot="1" x14ac:dyDescent="0.4">
      <c r="A331" s="30" t="s">
        <v>358</v>
      </c>
      <c r="B331" s="30" t="s">
        <v>359</v>
      </c>
      <c r="C331" s="30" t="s">
        <v>359</v>
      </c>
      <c r="D331" s="30" t="s">
        <v>359</v>
      </c>
      <c r="E331" s="30" t="s">
        <v>359</v>
      </c>
      <c r="F331" s="30" t="s">
        <v>359</v>
      </c>
      <c r="G331" s="30" t="s">
        <v>359</v>
      </c>
      <c r="H331" s="30" t="s">
        <v>359</v>
      </c>
      <c r="I331" s="263" t="s">
        <v>359</v>
      </c>
      <c r="J331" s="264" t="s">
        <v>1018</v>
      </c>
      <c r="K331" s="5" t="s">
        <v>962</v>
      </c>
      <c r="L331" s="5"/>
      <c r="M331" s="5" t="s">
        <v>445</v>
      </c>
      <c r="N331" s="5"/>
      <c r="O331" s="5"/>
      <c r="P331" s="412">
        <v>8590</v>
      </c>
      <c r="Q331" s="110"/>
      <c r="R331" s="110"/>
      <c r="S331" s="110"/>
      <c r="T331" s="110"/>
      <c r="U331" s="110"/>
      <c r="V331" s="121">
        <f t="shared" si="5"/>
        <v>8590</v>
      </c>
      <c r="W331" s="40"/>
      <c r="X331" s="40" t="s">
        <v>358</v>
      </c>
      <c r="Y331" s="40"/>
      <c r="Z331" s="40"/>
      <c r="AA331" s="40"/>
      <c r="AB331" s="40"/>
      <c r="AC331" s="40"/>
      <c r="AD331" s="40"/>
      <c r="AE331" s="40"/>
      <c r="AF331" s="40"/>
      <c r="AG331" s="40"/>
      <c r="AH331" s="40"/>
      <c r="AI331" s="40"/>
      <c r="AJ331" s="40"/>
      <c r="AK331" s="40"/>
      <c r="AL331" s="40"/>
      <c r="AM331" s="40"/>
      <c r="AN331" s="40"/>
      <c r="AO331" s="40"/>
      <c r="AP331" s="40"/>
      <c r="AQ331" s="40"/>
      <c r="AR331" s="40"/>
      <c r="AS331" s="40"/>
      <c r="AT331" s="40"/>
      <c r="AU331" s="40"/>
      <c r="AV331" s="40"/>
      <c r="AW331" s="40"/>
      <c r="AX331" s="40"/>
      <c r="AY331" s="40"/>
      <c r="AZ331" s="40"/>
      <c r="BA331" s="5"/>
    </row>
    <row r="332" spans="1:53" ht="15" thickBot="1" x14ac:dyDescent="0.4">
      <c r="A332" s="30" t="s">
        <v>358</v>
      </c>
      <c r="B332" s="30" t="s">
        <v>359</v>
      </c>
      <c r="C332" s="30" t="s">
        <v>359</v>
      </c>
      <c r="D332" s="30" t="s">
        <v>359</v>
      </c>
      <c r="E332" s="30" t="s">
        <v>359</v>
      </c>
      <c r="F332" s="30" t="s">
        <v>359</v>
      </c>
      <c r="G332" s="30" t="s">
        <v>359</v>
      </c>
      <c r="H332" s="30" t="s">
        <v>359</v>
      </c>
      <c r="I332" s="263" t="s">
        <v>359</v>
      </c>
      <c r="J332" s="264" t="s">
        <v>1018</v>
      </c>
      <c r="K332" s="5" t="s">
        <v>963</v>
      </c>
      <c r="L332" s="5"/>
      <c r="M332" s="5" t="s">
        <v>445</v>
      </c>
      <c r="N332" s="5"/>
      <c r="O332" s="5"/>
      <c r="P332" s="412">
        <v>7670</v>
      </c>
      <c r="Q332" s="110"/>
      <c r="R332" s="110"/>
      <c r="S332" s="110"/>
      <c r="T332" s="110"/>
      <c r="U332" s="110"/>
      <c r="V332" s="121">
        <f t="shared" si="5"/>
        <v>7670</v>
      </c>
      <c r="W332" s="40"/>
      <c r="X332" s="40" t="s">
        <v>358</v>
      </c>
      <c r="Y332" s="40"/>
      <c r="Z332" s="40"/>
      <c r="AA332" s="40"/>
      <c r="AB332" s="40"/>
      <c r="AC332" s="40"/>
      <c r="AD332" s="40"/>
      <c r="AE332" s="40"/>
      <c r="AF332" s="40"/>
      <c r="AG332" s="40"/>
      <c r="AH332" s="40"/>
      <c r="AI332" s="40"/>
      <c r="AJ332" s="40"/>
      <c r="AK332" s="40"/>
      <c r="AL332" s="40"/>
      <c r="AM332" s="40"/>
      <c r="AN332" s="40"/>
      <c r="AO332" s="40"/>
      <c r="AP332" s="40"/>
      <c r="AQ332" s="40"/>
      <c r="AR332" s="40"/>
      <c r="AS332" s="40"/>
      <c r="AT332" s="40"/>
      <c r="AU332" s="40"/>
      <c r="AV332" s="40"/>
      <c r="AW332" s="40"/>
      <c r="AX332" s="40"/>
      <c r="AY332" s="40"/>
      <c r="AZ332" s="40"/>
      <c r="BA332" s="5"/>
    </row>
    <row r="333" spans="1:53" ht="15" thickBot="1" x14ac:dyDescent="0.4">
      <c r="A333" s="30" t="s">
        <v>358</v>
      </c>
      <c r="B333" s="30" t="s">
        <v>359</v>
      </c>
      <c r="C333" s="30" t="s">
        <v>359</v>
      </c>
      <c r="D333" s="30" t="s">
        <v>359</v>
      </c>
      <c r="E333" s="30" t="s">
        <v>359</v>
      </c>
      <c r="F333" s="30" t="s">
        <v>359</v>
      </c>
      <c r="G333" s="30" t="s">
        <v>359</v>
      </c>
      <c r="H333" s="30" t="s">
        <v>359</v>
      </c>
      <c r="I333" s="263" t="s">
        <v>359</v>
      </c>
      <c r="J333" s="264" t="s">
        <v>1018</v>
      </c>
      <c r="K333" s="5" t="s">
        <v>964</v>
      </c>
      <c r="L333" s="5"/>
      <c r="M333" s="5" t="s">
        <v>445</v>
      </c>
      <c r="N333" s="5"/>
      <c r="O333" s="5"/>
      <c r="P333" s="412">
        <v>1750</v>
      </c>
      <c r="Q333" s="110"/>
      <c r="R333" s="110"/>
      <c r="S333" s="110"/>
      <c r="T333" s="110"/>
      <c r="U333" s="110"/>
      <c r="V333" s="121">
        <f t="shared" si="5"/>
        <v>1750</v>
      </c>
      <c r="W333" s="40"/>
      <c r="X333" s="40" t="s">
        <v>358</v>
      </c>
      <c r="Y333" s="40"/>
      <c r="Z333" s="40"/>
      <c r="AA333" s="40"/>
      <c r="AB333" s="40"/>
      <c r="AC333" s="40"/>
      <c r="AD333" s="40"/>
      <c r="AE333" s="40"/>
      <c r="AF333" s="40"/>
      <c r="AG333" s="40"/>
      <c r="AH333" s="40"/>
      <c r="AI333" s="40"/>
      <c r="AJ333" s="40"/>
      <c r="AK333" s="40"/>
      <c r="AL333" s="40"/>
      <c r="AM333" s="40"/>
      <c r="AN333" s="40"/>
      <c r="AO333" s="40"/>
      <c r="AP333" s="40"/>
      <c r="AQ333" s="40"/>
      <c r="AR333" s="40"/>
      <c r="AS333" s="40"/>
      <c r="AT333" s="40"/>
      <c r="AU333" s="40"/>
      <c r="AV333" s="40"/>
      <c r="AW333" s="40"/>
      <c r="AX333" s="40"/>
      <c r="AY333" s="40"/>
      <c r="AZ333" s="40"/>
      <c r="BA333" s="5"/>
    </row>
    <row r="334" spans="1:53" ht="15" thickBot="1" x14ac:dyDescent="0.4">
      <c r="A334" s="30" t="s">
        <v>358</v>
      </c>
      <c r="B334" s="30" t="s">
        <v>359</v>
      </c>
      <c r="C334" s="30" t="s">
        <v>359</v>
      </c>
      <c r="D334" s="30" t="s">
        <v>359</v>
      </c>
      <c r="E334" s="30" t="s">
        <v>359</v>
      </c>
      <c r="F334" s="30" t="s">
        <v>359</v>
      </c>
      <c r="G334" s="30" t="s">
        <v>359</v>
      </c>
      <c r="H334" s="30" t="s">
        <v>359</v>
      </c>
      <c r="I334" s="263" t="s">
        <v>359</v>
      </c>
      <c r="J334" s="264" t="s">
        <v>1018</v>
      </c>
      <c r="K334" s="5" t="s">
        <v>965</v>
      </c>
      <c r="L334" s="5"/>
      <c r="M334" s="5" t="s">
        <v>445</v>
      </c>
      <c r="N334" s="5"/>
      <c r="O334" s="5"/>
      <c r="P334" s="412">
        <v>6290</v>
      </c>
      <c r="Q334" s="110"/>
      <c r="R334" s="110"/>
      <c r="S334" s="110"/>
      <c r="T334" s="110"/>
      <c r="U334" s="110"/>
      <c r="V334" s="121">
        <f t="shared" si="5"/>
        <v>6290</v>
      </c>
      <c r="W334" s="40"/>
      <c r="X334" s="40" t="s">
        <v>358</v>
      </c>
      <c r="Y334" s="40"/>
      <c r="Z334" s="40"/>
      <c r="AA334" s="40"/>
      <c r="AB334" s="40"/>
      <c r="AC334" s="40"/>
      <c r="AD334" s="40"/>
      <c r="AE334" s="40"/>
      <c r="AF334" s="40"/>
      <c r="AG334" s="40"/>
      <c r="AH334" s="40"/>
      <c r="AI334" s="40"/>
      <c r="AJ334" s="40"/>
      <c r="AK334" s="40"/>
      <c r="AL334" s="40"/>
      <c r="AM334" s="40"/>
      <c r="AN334" s="40"/>
      <c r="AO334" s="40"/>
      <c r="AP334" s="40"/>
      <c r="AQ334" s="40"/>
      <c r="AR334" s="40"/>
      <c r="AS334" s="40"/>
      <c r="AT334" s="40"/>
      <c r="AU334" s="40"/>
      <c r="AV334" s="40"/>
      <c r="AW334" s="40"/>
      <c r="AX334" s="40"/>
      <c r="AY334" s="40"/>
      <c r="AZ334" s="40"/>
      <c r="BA334" s="5"/>
    </row>
    <row r="335" spans="1:53" ht="15" thickBot="1" x14ac:dyDescent="0.4">
      <c r="A335" s="30" t="s">
        <v>358</v>
      </c>
      <c r="B335" s="30" t="s">
        <v>359</v>
      </c>
      <c r="C335" s="30" t="s">
        <v>359</v>
      </c>
      <c r="D335" s="30" t="s">
        <v>359</v>
      </c>
      <c r="E335" s="30" t="s">
        <v>359</v>
      </c>
      <c r="F335" s="30" t="s">
        <v>359</v>
      </c>
      <c r="G335" s="30" t="s">
        <v>359</v>
      </c>
      <c r="H335" s="30" t="s">
        <v>359</v>
      </c>
      <c r="I335" s="263" t="s">
        <v>359</v>
      </c>
      <c r="J335" s="264" t="s">
        <v>1018</v>
      </c>
      <c r="K335" s="5" t="s">
        <v>966</v>
      </c>
      <c r="L335" s="5"/>
      <c r="M335" s="5" t="s">
        <v>445</v>
      </c>
      <c r="N335" s="5"/>
      <c r="O335" s="5"/>
      <c r="P335" s="412">
        <v>1470</v>
      </c>
      <c r="Q335" s="110"/>
      <c r="R335" s="110"/>
      <c r="S335" s="110"/>
      <c r="T335" s="110"/>
      <c r="U335" s="110"/>
      <c r="V335" s="121">
        <f t="shared" si="5"/>
        <v>1470</v>
      </c>
      <c r="W335" s="40"/>
      <c r="X335" s="40" t="s">
        <v>358</v>
      </c>
      <c r="Y335" s="40"/>
      <c r="Z335" s="40"/>
      <c r="AA335" s="40"/>
      <c r="AB335" s="40"/>
      <c r="AC335" s="40"/>
      <c r="AD335" s="40"/>
      <c r="AE335" s="40"/>
      <c r="AF335" s="40"/>
      <c r="AG335" s="40"/>
      <c r="AH335" s="40"/>
      <c r="AI335" s="40"/>
      <c r="AJ335" s="40"/>
      <c r="AK335" s="40"/>
      <c r="AL335" s="40"/>
      <c r="AM335" s="40"/>
      <c r="AN335" s="40"/>
      <c r="AO335" s="40"/>
      <c r="AP335" s="40"/>
      <c r="AQ335" s="40"/>
      <c r="AR335" s="40"/>
      <c r="AS335" s="40"/>
      <c r="AT335" s="40"/>
      <c r="AU335" s="40"/>
      <c r="AV335" s="40"/>
      <c r="AW335" s="40"/>
      <c r="AX335" s="40"/>
      <c r="AY335" s="40"/>
      <c r="AZ335" s="40"/>
      <c r="BA335" s="5"/>
    </row>
    <row r="336" spans="1:53" ht="15" thickBot="1" x14ac:dyDescent="0.4">
      <c r="A336" s="30" t="s">
        <v>358</v>
      </c>
      <c r="B336" s="30" t="s">
        <v>359</v>
      </c>
      <c r="C336" s="30" t="s">
        <v>359</v>
      </c>
      <c r="D336" s="30" t="s">
        <v>359</v>
      </c>
      <c r="E336" s="30" t="s">
        <v>359</v>
      </c>
      <c r="F336" s="30" t="s">
        <v>359</v>
      </c>
      <c r="G336" s="30" t="s">
        <v>359</v>
      </c>
      <c r="H336" s="30" t="s">
        <v>359</v>
      </c>
      <c r="I336" s="263" t="s">
        <v>359</v>
      </c>
      <c r="J336" s="264" t="s">
        <v>1018</v>
      </c>
      <c r="K336" s="5" t="s">
        <v>967</v>
      </c>
      <c r="L336" s="5"/>
      <c r="M336" s="5" t="s">
        <v>445</v>
      </c>
      <c r="N336" s="5"/>
      <c r="O336" s="5"/>
      <c r="P336" s="412">
        <v>1730</v>
      </c>
      <c r="Q336" s="110"/>
      <c r="R336" s="110"/>
      <c r="S336" s="110"/>
      <c r="T336" s="110"/>
      <c r="U336" s="110"/>
      <c r="V336" s="121">
        <f t="shared" si="5"/>
        <v>1730</v>
      </c>
      <c r="W336" s="40"/>
      <c r="X336" s="40" t="s">
        <v>358</v>
      </c>
      <c r="Y336" s="40"/>
      <c r="Z336" s="40"/>
      <c r="AA336" s="40"/>
      <c r="AB336" s="40"/>
      <c r="AC336" s="40"/>
      <c r="AD336" s="40"/>
      <c r="AE336" s="40"/>
      <c r="AF336" s="40"/>
      <c r="AG336" s="40"/>
      <c r="AH336" s="40"/>
      <c r="AI336" s="40"/>
      <c r="AJ336" s="40"/>
      <c r="AK336" s="40"/>
      <c r="AL336" s="40"/>
      <c r="AM336" s="40"/>
      <c r="AN336" s="40"/>
      <c r="AO336" s="40"/>
      <c r="AP336" s="40"/>
      <c r="AQ336" s="40"/>
      <c r="AR336" s="40"/>
      <c r="AS336" s="40"/>
      <c r="AT336" s="40"/>
      <c r="AU336" s="40"/>
      <c r="AV336" s="40"/>
      <c r="AW336" s="40"/>
      <c r="AX336" s="40"/>
      <c r="AY336" s="40"/>
      <c r="AZ336" s="40"/>
      <c r="BA336" s="5"/>
    </row>
    <row r="337" spans="1:53" ht="15" thickBot="1" x14ac:dyDescent="0.4">
      <c r="A337" s="30" t="s">
        <v>358</v>
      </c>
      <c r="B337" s="30" t="s">
        <v>359</v>
      </c>
      <c r="C337" s="30" t="s">
        <v>359</v>
      </c>
      <c r="D337" s="30" t="s">
        <v>359</v>
      </c>
      <c r="E337" s="30" t="s">
        <v>359</v>
      </c>
      <c r="F337" s="30" t="s">
        <v>359</v>
      </c>
      <c r="G337" s="30" t="s">
        <v>359</v>
      </c>
      <c r="H337" s="30" t="s">
        <v>359</v>
      </c>
      <c r="I337" s="263" t="s">
        <v>359</v>
      </c>
      <c r="J337" s="264" t="s">
        <v>1018</v>
      </c>
      <c r="K337" s="5" t="s">
        <v>968</v>
      </c>
      <c r="L337" s="5"/>
      <c r="M337" s="5" t="s">
        <v>445</v>
      </c>
      <c r="N337" s="5"/>
      <c r="O337" s="5"/>
      <c r="P337" s="412">
        <v>2</v>
      </c>
      <c r="Q337" s="110"/>
      <c r="R337" s="110"/>
      <c r="S337" s="110"/>
      <c r="T337" s="110"/>
      <c r="U337" s="110"/>
      <c r="V337" s="121">
        <f t="shared" si="5"/>
        <v>2</v>
      </c>
      <c r="W337" s="40"/>
      <c r="X337" s="40" t="s">
        <v>358</v>
      </c>
      <c r="Y337" s="40"/>
      <c r="Z337" s="40"/>
      <c r="AA337" s="40"/>
      <c r="AB337" s="40"/>
      <c r="AC337" s="40"/>
      <c r="AD337" s="40"/>
      <c r="AE337" s="40"/>
      <c r="AF337" s="40"/>
      <c r="AG337" s="40"/>
      <c r="AH337" s="40"/>
      <c r="AI337" s="40"/>
      <c r="AJ337" s="40"/>
      <c r="AK337" s="40"/>
      <c r="AL337" s="40"/>
      <c r="AM337" s="40"/>
      <c r="AN337" s="40"/>
      <c r="AO337" s="40"/>
      <c r="AP337" s="40"/>
      <c r="AQ337" s="40"/>
      <c r="AR337" s="40"/>
      <c r="AS337" s="40"/>
      <c r="AT337" s="40"/>
      <c r="AU337" s="40"/>
      <c r="AV337" s="40"/>
      <c r="AW337" s="40"/>
      <c r="AX337" s="40"/>
      <c r="AY337" s="40"/>
      <c r="AZ337" s="40"/>
      <c r="BA337" s="5"/>
    </row>
    <row r="338" spans="1:53" ht="15" thickBot="1" x14ac:dyDescent="0.4">
      <c r="A338" s="30" t="s">
        <v>358</v>
      </c>
      <c r="B338" s="30" t="s">
        <v>359</v>
      </c>
      <c r="C338" s="30" t="s">
        <v>359</v>
      </c>
      <c r="D338" s="30" t="s">
        <v>359</v>
      </c>
      <c r="E338" s="30" t="s">
        <v>359</v>
      </c>
      <c r="F338" s="30" t="s">
        <v>359</v>
      </c>
      <c r="G338" s="30" t="s">
        <v>359</v>
      </c>
      <c r="H338" s="30" t="s">
        <v>359</v>
      </c>
      <c r="I338" s="263" t="s">
        <v>359</v>
      </c>
      <c r="J338" s="264" t="s">
        <v>1018</v>
      </c>
      <c r="K338" s="5" t="s">
        <v>969</v>
      </c>
      <c r="L338" s="5"/>
      <c r="M338" s="5" t="s">
        <v>445</v>
      </c>
      <c r="N338" s="5"/>
      <c r="O338" s="5"/>
      <c r="P338" s="412">
        <v>160</v>
      </c>
      <c r="Q338" s="110"/>
      <c r="R338" s="110"/>
      <c r="S338" s="110"/>
      <c r="T338" s="110"/>
      <c r="U338" s="110"/>
      <c r="V338" s="121">
        <f t="shared" si="5"/>
        <v>160</v>
      </c>
      <c r="W338" s="40"/>
      <c r="X338" s="40" t="s">
        <v>358</v>
      </c>
      <c r="Y338" s="40"/>
      <c r="Z338" s="40"/>
      <c r="AA338" s="40"/>
      <c r="AB338" s="40"/>
      <c r="AC338" s="40"/>
      <c r="AD338" s="40"/>
      <c r="AE338" s="40"/>
      <c r="AF338" s="40"/>
      <c r="AG338" s="40"/>
      <c r="AH338" s="40"/>
      <c r="AI338" s="40"/>
      <c r="AJ338" s="40"/>
      <c r="AK338" s="40"/>
      <c r="AL338" s="40"/>
      <c r="AM338" s="40"/>
      <c r="AN338" s="40"/>
      <c r="AO338" s="40"/>
      <c r="AP338" s="40"/>
      <c r="AQ338" s="40"/>
      <c r="AR338" s="40"/>
      <c r="AS338" s="40"/>
      <c r="AT338" s="40"/>
      <c r="AU338" s="40"/>
      <c r="AV338" s="40"/>
      <c r="AW338" s="40"/>
      <c r="AX338" s="40"/>
      <c r="AY338" s="40"/>
      <c r="AZ338" s="40"/>
      <c r="BA338" s="5"/>
    </row>
    <row r="339" spans="1:53" ht="26.5" thickBot="1" x14ac:dyDescent="0.4">
      <c r="A339" s="30" t="s">
        <v>358</v>
      </c>
      <c r="B339" s="30" t="s">
        <v>359</v>
      </c>
      <c r="C339" s="30" t="s">
        <v>359</v>
      </c>
      <c r="D339" s="30" t="s">
        <v>359</v>
      </c>
      <c r="E339" s="30" t="s">
        <v>359</v>
      </c>
      <c r="F339" s="30" t="s">
        <v>359</v>
      </c>
      <c r="G339" s="30" t="s">
        <v>359</v>
      </c>
      <c r="H339" s="30" t="s">
        <v>359</v>
      </c>
      <c r="I339" s="263" t="s">
        <v>359</v>
      </c>
      <c r="J339" s="264" t="s">
        <v>1018</v>
      </c>
      <c r="K339" s="5" t="s">
        <v>970</v>
      </c>
      <c r="L339" s="5"/>
      <c r="M339" s="5" t="s">
        <v>445</v>
      </c>
      <c r="N339" s="5"/>
      <c r="O339" s="5"/>
      <c r="P339" s="412">
        <v>1760</v>
      </c>
      <c r="Q339" s="110"/>
      <c r="R339" s="110"/>
      <c r="S339" s="110"/>
      <c r="T339" s="110"/>
      <c r="U339" s="110"/>
      <c r="V339" s="121">
        <f t="shared" si="5"/>
        <v>1760</v>
      </c>
      <c r="W339" s="40"/>
      <c r="X339" s="40" t="s">
        <v>358</v>
      </c>
      <c r="Y339" s="40"/>
      <c r="Z339" s="40"/>
      <c r="AA339" s="40"/>
      <c r="AB339" s="40"/>
      <c r="AC339" s="40"/>
      <c r="AD339" s="40"/>
      <c r="AE339" s="40"/>
      <c r="AF339" s="40"/>
      <c r="AG339" s="40"/>
      <c r="AH339" s="40"/>
      <c r="AI339" s="40"/>
      <c r="AJ339" s="40"/>
      <c r="AK339" s="40"/>
      <c r="AL339" s="40"/>
      <c r="AM339" s="40"/>
      <c r="AN339" s="40"/>
      <c r="AO339" s="40"/>
      <c r="AP339" s="40"/>
      <c r="AQ339" s="40"/>
      <c r="AR339" s="40"/>
      <c r="AS339" s="40"/>
      <c r="AT339" s="40"/>
      <c r="AU339" s="40"/>
      <c r="AV339" s="40"/>
      <c r="AW339" s="40"/>
      <c r="AX339" s="40"/>
      <c r="AY339" s="40"/>
      <c r="AZ339" s="40"/>
      <c r="BA339" s="5"/>
    </row>
    <row r="340" spans="1:53" ht="15" thickBot="1" x14ac:dyDescent="0.4">
      <c r="A340" s="30" t="s">
        <v>358</v>
      </c>
      <c r="B340" s="30" t="s">
        <v>359</v>
      </c>
      <c r="C340" s="30" t="s">
        <v>359</v>
      </c>
      <c r="D340" s="30" t="s">
        <v>359</v>
      </c>
      <c r="E340" s="30" t="s">
        <v>359</v>
      </c>
      <c r="F340" s="30" t="s">
        <v>359</v>
      </c>
      <c r="G340" s="30" t="s">
        <v>359</v>
      </c>
      <c r="H340" s="30" t="s">
        <v>359</v>
      </c>
      <c r="I340" s="263" t="s">
        <v>359</v>
      </c>
      <c r="J340" s="264" t="s">
        <v>1018</v>
      </c>
      <c r="K340" s="5" t="s">
        <v>971</v>
      </c>
      <c r="L340" s="5"/>
      <c r="M340" s="5" t="s">
        <v>445</v>
      </c>
      <c r="N340" s="5"/>
      <c r="O340" s="5"/>
      <c r="P340" s="412">
        <v>79</v>
      </c>
      <c r="Q340" s="110"/>
      <c r="R340" s="110"/>
      <c r="S340" s="110"/>
      <c r="T340" s="110"/>
      <c r="U340" s="110"/>
      <c r="V340" s="121">
        <f t="shared" si="5"/>
        <v>79</v>
      </c>
      <c r="W340" s="40"/>
      <c r="X340" s="40" t="s">
        <v>358</v>
      </c>
      <c r="Y340" s="40"/>
      <c r="Z340" s="40"/>
      <c r="AA340" s="40"/>
      <c r="AB340" s="40"/>
      <c r="AC340" s="40"/>
      <c r="AD340" s="40"/>
      <c r="AE340" s="40"/>
      <c r="AF340" s="40"/>
      <c r="AG340" s="40"/>
      <c r="AH340" s="40"/>
      <c r="AI340" s="40"/>
      <c r="AJ340" s="40"/>
      <c r="AK340" s="40"/>
      <c r="AL340" s="40"/>
      <c r="AM340" s="40"/>
      <c r="AN340" s="40"/>
      <c r="AO340" s="40"/>
      <c r="AP340" s="40"/>
      <c r="AQ340" s="40"/>
      <c r="AR340" s="40"/>
      <c r="AS340" s="40"/>
      <c r="AT340" s="40"/>
      <c r="AU340" s="40"/>
      <c r="AV340" s="40"/>
      <c r="AW340" s="40"/>
      <c r="AX340" s="40"/>
      <c r="AY340" s="40"/>
      <c r="AZ340" s="40"/>
      <c r="BA340" s="5"/>
    </row>
    <row r="341" spans="1:53" ht="15" thickBot="1" x14ac:dyDescent="0.4">
      <c r="A341" s="30" t="s">
        <v>358</v>
      </c>
      <c r="B341" s="30" t="s">
        <v>359</v>
      </c>
      <c r="C341" s="30" t="s">
        <v>359</v>
      </c>
      <c r="D341" s="30" t="s">
        <v>359</v>
      </c>
      <c r="E341" s="30" t="s">
        <v>359</v>
      </c>
      <c r="F341" s="30" t="s">
        <v>359</v>
      </c>
      <c r="G341" s="30" t="s">
        <v>359</v>
      </c>
      <c r="H341" s="30" t="s">
        <v>359</v>
      </c>
      <c r="I341" s="263" t="s">
        <v>359</v>
      </c>
      <c r="J341" s="264" t="s">
        <v>1018</v>
      </c>
      <c r="K341" s="5" t="s">
        <v>972</v>
      </c>
      <c r="L341" s="5"/>
      <c r="M341" s="5" t="s">
        <v>445</v>
      </c>
      <c r="N341" s="5"/>
      <c r="O341" s="5"/>
      <c r="P341" s="412">
        <v>527</v>
      </c>
      <c r="Q341" s="110"/>
      <c r="R341" s="110"/>
      <c r="S341" s="110"/>
      <c r="T341" s="110"/>
      <c r="U341" s="110"/>
      <c r="V341" s="121">
        <f t="shared" ref="V341:V377" si="6">ROUND(SUM(P341:U341),3)</f>
        <v>527</v>
      </c>
      <c r="W341" s="40"/>
      <c r="X341" s="40" t="s">
        <v>358</v>
      </c>
      <c r="Y341" s="40"/>
      <c r="Z341" s="40"/>
      <c r="AA341" s="40"/>
      <c r="AB341" s="40"/>
      <c r="AC341" s="40"/>
      <c r="AD341" s="40"/>
      <c r="AE341" s="40"/>
      <c r="AF341" s="40"/>
      <c r="AG341" s="40"/>
      <c r="AH341" s="40"/>
      <c r="AI341" s="40"/>
      <c r="AJ341" s="40"/>
      <c r="AK341" s="40"/>
      <c r="AL341" s="40"/>
      <c r="AM341" s="40"/>
      <c r="AN341" s="40"/>
      <c r="AO341" s="40"/>
      <c r="AP341" s="40"/>
      <c r="AQ341" s="40"/>
      <c r="AR341" s="40"/>
      <c r="AS341" s="40"/>
      <c r="AT341" s="40"/>
      <c r="AU341" s="40"/>
      <c r="AV341" s="40"/>
      <c r="AW341" s="40"/>
      <c r="AX341" s="40"/>
      <c r="AY341" s="40"/>
      <c r="AZ341" s="40"/>
      <c r="BA341" s="5"/>
    </row>
    <row r="342" spans="1:53" ht="15" thickBot="1" x14ac:dyDescent="0.4">
      <c r="A342" s="30" t="s">
        <v>358</v>
      </c>
      <c r="B342" s="30" t="s">
        <v>359</v>
      </c>
      <c r="C342" s="30" t="s">
        <v>359</v>
      </c>
      <c r="D342" s="30" t="s">
        <v>359</v>
      </c>
      <c r="E342" s="30" t="s">
        <v>359</v>
      </c>
      <c r="F342" s="30" t="s">
        <v>359</v>
      </c>
      <c r="G342" s="30" t="s">
        <v>359</v>
      </c>
      <c r="H342" s="30" t="s">
        <v>359</v>
      </c>
      <c r="I342" s="263" t="s">
        <v>359</v>
      </c>
      <c r="J342" s="264" t="s">
        <v>1018</v>
      </c>
      <c r="K342" s="5" t="s">
        <v>973</v>
      </c>
      <c r="L342" s="5"/>
      <c r="M342" s="5" t="s">
        <v>445</v>
      </c>
      <c r="N342" s="5"/>
      <c r="O342" s="5"/>
      <c r="P342" s="412">
        <v>782</v>
      </c>
      <c r="Q342" s="110"/>
      <c r="R342" s="110"/>
      <c r="S342" s="110"/>
      <c r="T342" s="110"/>
      <c r="U342" s="110"/>
      <c r="V342" s="121">
        <f t="shared" si="6"/>
        <v>782</v>
      </c>
      <c r="W342" s="40"/>
      <c r="X342" s="40" t="s">
        <v>358</v>
      </c>
      <c r="Y342" s="40"/>
      <c r="Z342" s="40"/>
      <c r="AA342" s="40"/>
      <c r="AB342" s="40"/>
      <c r="AC342" s="40"/>
      <c r="AD342" s="40"/>
      <c r="AE342" s="40"/>
      <c r="AF342" s="40"/>
      <c r="AG342" s="40"/>
      <c r="AH342" s="40"/>
      <c r="AI342" s="40"/>
      <c r="AJ342" s="40"/>
      <c r="AK342" s="40"/>
      <c r="AL342" s="40"/>
      <c r="AM342" s="40"/>
      <c r="AN342" s="40"/>
      <c r="AO342" s="40"/>
      <c r="AP342" s="40"/>
      <c r="AQ342" s="40"/>
      <c r="AR342" s="40"/>
      <c r="AS342" s="40"/>
      <c r="AT342" s="40"/>
      <c r="AU342" s="40"/>
      <c r="AV342" s="40"/>
      <c r="AW342" s="40"/>
      <c r="AX342" s="40"/>
      <c r="AY342" s="40"/>
      <c r="AZ342" s="40"/>
      <c r="BA342" s="5"/>
    </row>
    <row r="343" spans="1:53" ht="15" thickBot="1" x14ac:dyDescent="0.4">
      <c r="A343" s="30" t="s">
        <v>358</v>
      </c>
      <c r="B343" s="30" t="s">
        <v>359</v>
      </c>
      <c r="C343" s="30" t="s">
        <v>359</v>
      </c>
      <c r="D343" s="30" t="s">
        <v>359</v>
      </c>
      <c r="E343" s="30" t="s">
        <v>359</v>
      </c>
      <c r="F343" s="30" t="s">
        <v>359</v>
      </c>
      <c r="G343" s="30" t="s">
        <v>359</v>
      </c>
      <c r="H343" s="30" t="s">
        <v>359</v>
      </c>
      <c r="I343" s="263" t="s">
        <v>359</v>
      </c>
      <c r="J343" s="264" t="s">
        <v>1018</v>
      </c>
      <c r="K343" s="5" t="s">
        <v>974</v>
      </c>
      <c r="L343" s="5"/>
      <c r="M343" s="5" t="s">
        <v>445</v>
      </c>
      <c r="N343" s="5"/>
      <c r="O343" s="5"/>
      <c r="P343" s="412">
        <v>1980</v>
      </c>
      <c r="Q343" s="110"/>
      <c r="R343" s="110"/>
      <c r="S343" s="110"/>
      <c r="T343" s="110"/>
      <c r="U343" s="110"/>
      <c r="V343" s="121">
        <f t="shared" si="6"/>
        <v>1980</v>
      </c>
      <c r="W343" s="40"/>
      <c r="X343" s="40" t="s">
        <v>358</v>
      </c>
      <c r="Y343" s="40"/>
      <c r="Z343" s="40"/>
      <c r="AA343" s="40"/>
      <c r="AB343" s="40"/>
      <c r="AC343" s="40"/>
      <c r="AD343" s="40"/>
      <c r="AE343" s="40"/>
      <c r="AF343" s="40"/>
      <c r="AG343" s="40"/>
      <c r="AH343" s="40"/>
      <c r="AI343" s="40"/>
      <c r="AJ343" s="40"/>
      <c r="AK343" s="40"/>
      <c r="AL343" s="40"/>
      <c r="AM343" s="40"/>
      <c r="AN343" s="40"/>
      <c r="AO343" s="40"/>
      <c r="AP343" s="40"/>
      <c r="AQ343" s="40"/>
      <c r="AR343" s="40"/>
      <c r="AS343" s="40"/>
      <c r="AT343" s="40"/>
      <c r="AU343" s="40"/>
      <c r="AV343" s="40"/>
      <c r="AW343" s="40"/>
      <c r="AX343" s="40"/>
      <c r="AY343" s="40"/>
      <c r="AZ343" s="40"/>
      <c r="BA343" s="5"/>
    </row>
    <row r="344" spans="1:53" ht="15" thickBot="1" x14ac:dyDescent="0.4">
      <c r="A344" s="30" t="s">
        <v>358</v>
      </c>
      <c r="B344" s="30" t="s">
        <v>359</v>
      </c>
      <c r="C344" s="30" t="s">
        <v>359</v>
      </c>
      <c r="D344" s="30" t="s">
        <v>359</v>
      </c>
      <c r="E344" s="30" t="s">
        <v>359</v>
      </c>
      <c r="F344" s="30" t="s">
        <v>359</v>
      </c>
      <c r="G344" s="30" t="s">
        <v>359</v>
      </c>
      <c r="H344" s="30" t="s">
        <v>359</v>
      </c>
      <c r="I344" s="263" t="s">
        <v>359</v>
      </c>
      <c r="J344" s="264" t="s">
        <v>1018</v>
      </c>
      <c r="K344" s="5" t="s">
        <v>975</v>
      </c>
      <c r="L344" s="5"/>
      <c r="M344" s="5" t="s">
        <v>445</v>
      </c>
      <c r="N344" s="5"/>
      <c r="O344" s="5"/>
      <c r="P344" s="412">
        <v>127</v>
      </c>
      <c r="Q344" s="110"/>
      <c r="R344" s="110"/>
      <c r="S344" s="110"/>
      <c r="T344" s="110"/>
      <c r="U344" s="110"/>
      <c r="V344" s="121">
        <f t="shared" si="6"/>
        <v>127</v>
      </c>
      <c r="W344" s="40"/>
      <c r="X344" s="40" t="s">
        <v>358</v>
      </c>
      <c r="Y344" s="40"/>
      <c r="Z344" s="40"/>
      <c r="AA344" s="40"/>
      <c r="AB344" s="40"/>
      <c r="AC344" s="40"/>
      <c r="AD344" s="40"/>
      <c r="AE344" s="40"/>
      <c r="AF344" s="40"/>
      <c r="AG344" s="40"/>
      <c r="AH344" s="40"/>
      <c r="AI344" s="40"/>
      <c r="AJ344" s="40"/>
      <c r="AK344" s="40"/>
      <c r="AL344" s="40"/>
      <c r="AM344" s="40"/>
      <c r="AN344" s="40"/>
      <c r="AO344" s="40"/>
      <c r="AP344" s="40"/>
      <c r="AQ344" s="40"/>
      <c r="AR344" s="40"/>
      <c r="AS344" s="40"/>
      <c r="AT344" s="40"/>
      <c r="AU344" s="40"/>
      <c r="AV344" s="40"/>
      <c r="AW344" s="40"/>
      <c r="AX344" s="40"/>
      <c r="AY344" s="40"/>
      <c r="AZ344" s="40"/>
      <c r="BA344" s="5"/>
    </row>
    <row r="345" spans="1:53" ht="15" thickBot="1" x14ac:dyDescent="0.4">
      <c r="A345" s="30" t="s">
        <v>358</v>
      </c>
      <c r="B345" s="30" t="s">
        <v>359</v>
      </c>
      <c r="C345" s="30" t="s">
        <v>359</v>
      </c>
      <c r="D345" s="30" t="s">
        <v>359</v>
      </c>
      <c r="E345" s="30" t="s">
        <v>359</v>
      </c>
      <c r="F345" s="30" t="s">
        <v>359</v>
      </c>
      <c r="G345" s="30" t="s">
        <v>359</v>
      </c>
      <c r="H345" s="30" t="s">
        <v>359</v>
      </c>
      <c r="I345" s="263" t="s">
        <v>359</v>
      </c>
      <c r="J345" s="264" t="s">
        <v>1018</v>
      </c>
      <c r="K345" s="5" t="s">
        <v>976</v>
      </c>
      <c r="L345" s="5"/>
      <c r="M345" s="5" t="s">
        <v>445</v>
      </c>
      <c r="N345" s="5"/>
      <c r="O345" s="5"/>
      <c r="P345" s="412">
        <v>525</v>
      </c>
      <c r="Q345" s="110"/>
      <c r="R345" s="110"/>
      <c r="S345" s="110"/>
      <c r="T345" s="110"/>
      <c r="U345" s="110"/>
      <c r="V345" s="121">
        <f t="shared" si="6"/>
        <v>525</v>
      </c>
      <c r="W345" s="40"/>
      <c r="X345" s="40" t="s">
        <v>358</v>
      </c>
      <c r="Y345" s="40"/>
      <c r="Z345" s="40"/>
      <c r="AA345" s="40"/>
      <c r="AB345" s="40"/>
      <c r="AC345" s="40"/>
      <c r="AD345" s="40"/>
      <c r="AE345" s="40"/>
      <c r="AF345" s="40"/>
      <c r="AG345" s="40"/>
      <c r="AH345" s="40"/>
      <c r="AI345" s="40"/>
      <c r="AJ345" s="40"/>
      <c r="AK345" s="40"/>
      <c r="AL345" s="40"/>
      <c r="AM345" s="40"/>
      <c r="AN345" s="40"/>
      <c r="AO345" s="40"/>
      <c r="AP345" s="40"/>
      <c r="AQ345" s="40"/>
      <c r="AR345" s="40"/>
      <c r="AS345" s="40"/>
      <c r="AT345" s="40"/>
      <c r="AU345" s="40"/>
      <c r="AV345" s="40"/>
      <c r="AW345" s="40"/>
      <c r="AX345" s="40"/>
      <c r="AY345" s="40"/>
      <c r="AZ345" s="40"/>
      <c r="BA345" s="5"/>
    </row>
    <row r="346" spans="1:53" ht="15" thickBot="1" x14ac:dyDescent="0.4">
      <c r="A346" s="30" t="s">
        <v>358</v>
      </c>
      <c r="B346" s="30" t="s">
        <v>359</v>
      </c>
      <c r="C346" s="30" t="s">
        <v>359</v>
      </c>
      <c r="D346" s="30" t="s">
        <v>359</v>
      </c>
      <c r="E346" s="30" t="s">
        <v>359</v>
      </c>
      <c r="F346" s="30" t="s">
        <v>359</v>
      </c>
      <c r="G346" s="30" t="s">
        <v>359</v>
      </c>
      <c r="H346" s="30" t="s">
        <v>359</v>
      </c>
      <c r="I346" s="263" t="s">
        <v>359</v>
      </c>
      <c r="J346" s="264" t="s">
        <v>1018</v>
      </c>
      <c r="K346" s="5" t="s">
        <v>977</v>
      </c>
      <c r="L346" s="5"/>
      <c r="M346" s="5" t="s">
        <v>445</v>
      </c>
      <c r="N346" s="5"/>
      <c r="O346" s="5"/>
      <c r="P346" s="412">
        <v>148</v>
      </c>
      <c r="Q346" s="110"/>
      <c r="R346" s="110"/>
      <c r="S346" s="110"/>
      <c r="T346" s="110"/>
      <c r="U346" s="110"/>
      <c r="V346" s="121">
        <f t="shared" si="6"/>
        <v>148</v>
      </c>
      <c r="W346" s="40"/>
      <c r="X346" s="40" t="s">
        <v>358</v>
      </c>
      <c r="Y346" s="40"/>
      <c r="Z346" s="40"/>
      <c r="AA346" s="40"/>
      <c r="AB346" s="40"/>
      <c r="AC346" s="40"/>
      <c r="AD346" s="40"/>
      <c r="AE346" s="40"/>
      <c r="AF346" s="40"/>
      <c r="AG346" s="40"/>
      <c r="AH346" s="40"/>
      <c r="AI346" s="40"/>
      <c r="AJ346" s="40"/>
      <c r="AK346" s="40"/>
      <c r="AL346" s="40"/>
      <c r="AM346" s="40"/>
      <c r="AN346" s="40"/>
      <c r="AO346" s="40"/>
      <c r="AP346" s="40"/>
      <c r="AQ346" s="40"/>
      <c r="AR346" s="40"/>
      <c r="AS346" s="40"/>
      <c r="AT346" s="40"/>
      <c r="AU346" s="40"/>
      <c r="AV346" s="40"/>
      <c r="AW346" s="40"/>
      <c r="AX346" s="40"/>
      <c r="AY346" s="40"/>
      <c r="AZ346" s="40"/>
      <c r="BA346" s="5"/>
    </row>
    <row r="347" spans="1:53" ht="15" thickBot="1" x14ac:dyDescent="0.4">
      <c r="A347" s="30" t="s">
        <v>358</v>
      </c>
      <c r="B347" s="30" t="s">
        <v>359</v>
      </c>
      <c r="C347" s="30" t="s">
        <v>359</v>
      </c>
      <c r="D347" s="30" t="s">
        <v>359</v>
      </c>
      <c r="E347" s="30" t="s">
        <v>359</v>
      </c>
      <c r="F347" s="30" t="s">
        <v>359</v>
      </c>
      <c r="G347" s="30" t="s">
        <v>359</v>
      </c>
      <c r="H347" s="30" t="s">
        <v>359</v>
      </c>
      <c r="I347" s="263" t="s">
        <v>359</v>
      </c>
      <c r="J347" s="264" t="s">
        <v>1018</v>
      </c>
      <c r="K347" s="5" t="s">
        <v>978</v>
      </c>
      <c r="L347" s="5"/>
      <c r="M347" s="5" t="s">
        <v>445</v>
      </c>
      <c r="N347" s="5"/>
      <c r="O347" s="5"/>
      <c r="P347" s="412">
        <v>12400</v>
      </c>
      <c r="Q347" s="110"/>
      <c r="R347" s="110"/>
      <c r="S347" s="110"/>
      <c r="T347" s="110"/>
      <c r="U347" s="110"/>
      <c r="V347" s="121">
        <f t="shared" si="6"/>
        <v>12400</v>
      </c>
      <c r="W347" s="40"/>
      <c r="X347" s="40" t="s">
        <v>358</v>
      </c>
      <c r="Y347" s="40"/>
      <c r="Z347" s="40"/>
      <c r="AA347" s="40"/>
      <c r="AB347" s="40"/>
      <c r="AC347" s="40"/>
      <c r="AD347" s="40"/>
      <c r="AE347" s="40"/>
      <c r="AF347" s="40"/>
      <c r="AG347" s="40"/>
      <c r="AH347" s="40"/>
      <c r="AI347" s="40"/>
      <c r="AJ347" s="40"/>
      <c r="AK347" s="40"/>
      <c r="AL347" s="40"/>
      <c r="AM347" s="40"/>
      <c r="AN347" s="40"/>
      <c r="AO347" s="40"/>
      <c r="AP347" s="40"/>
      <c r="AQ347" s="40"/>
      <c r="AR347" s="40"/>
      <c r="AS347" s="40"/>
      <c r="AT347" s="40"/>
      <c r="AU347" s="40"/>
      <c r="AV347" s="40"/>
      <c r="AW347" s="40"/>
      <c r="AX347" s="40"/>
      <c r="AY347" s="40"/>
      <c r="AZ347" s="40"/>
      <c r="BA347" s="5"/>
    </row>
    <row r="348" spans="1:53" ht="15" thickBot="1" x14ac:dyDescent="0.4">
      <c r="A348" s="30" t="s">
        <v>358</v>
      </c>
      <c r="B348" s="30" t="s">
        <v>359</v>
      </c>
      <c r="C348" s="30" t="s">
        <v>359</v>
      </c>
      <c r="D348" s="30" t="s">
        <v>359</v>
      </c>
      <c r="E348" s="30" t="s">
        <v>359</v>
      </c>
      <c r="F348" s="30" t="s">
        <v>359</v>
      </c>
      <c r="G348" s="30" t="s">
        <v>359</v>
      </c>
      <c r="H348" s="30" t="s">
        <v>359</v>
      </c>
      <c r="I348" s="263" t="s">
        <v>359</v>
      </c>
      <c r="J348" s="264" t="s">
        <v>1018</v>
      </c>
      <c r="K348" s="5" t="s">
        <v>979</v>
      </c>
      <c r="L348" s="5"/>
      <c r="M348" s="5" t="s">
        <v>445</v>
      </c>
      <c r="N348" s="5"/>
      <c r="O348" s="5"/>
      <c r="P348" s="412">
        <v>5560</v>
      </c>
      <c r="Q348" s="110"/>
      <c r="R348" s="110"/>
      <c r="S348" s="110"/>
      <c r="T348" s="110"/>
      <c r="U348" s="110"/>
      <c r="V348" s="121">
        <f t="shared" si="6"/>
        <v>5560</v>
      </c>
      <c r="W348" s="40"/>
      <c r="X348" s="40" t="s">
        <v>358</v>
      </c>
      <c r="Y348" s="40"/>
      <c r="Z348" s="40"/>
      <c r="AA348" s="40"/>
      <c r="AB348" s="40"/>
      <c r="AC348" s="40"/>
      <c r="AD348" s="40"/>
      <c r="AE348" s="40"/>
      <c r="AF348" s="40"/>
      <c r="AG348" s="40"/>
      <c r="AH348" s="40"/>
      <c r="AI348" s="40"/>
      <c r="AJ348" s="40"/>
      <c r="AK348" s="40"/>
      <c r="AL348" s="40"/>
      <c r="AM348" s="40"/>
      <c r="AN348" s="40"/>
      <c r="AO348" s="40"/>
      <c r="AP348" s="40"/>
      <c r="AQ348" s="40"/>
      <c r="AR348" s="40"/>
      <c r="AS348" s="40"/>
      <c r="AT348" s="40"/>
      <c r="AU348" s="40"/>
      <c r="AV348" s="40"/>
      <c r="AW348" s="40"/>
      <c r="AX348" s="40"/>
      <c r="AY348" s="40"/>
      <c r="AZ348" s="40"/>
      <c r="BA348" s="5"/>
    </row>
    <row r="349" spans="1:53" ht="15" thickBot="1" x14ac:dyDescent="0.4">
      <c r="A349" s="30" t="s">
        <v>358</v>
      </c>
      <c r="B349" s="30" t="s">
        <v>359</v>
      </c>
      <c r="C349" s="30" t="s">
        <v>359</v>
      </c>
      <c r="D349" s="30" t="s">
        <v>359</v>
      </c>
      <c r="E349" s="30" t="s">
        <v>359</v>
      </c>
      <c r="F349" s="30" t="s">
        <v>359</v>
      </c>
      <c r="G349" s="30" t="s">
        <v>359</v>
      </c>
      <c r="H349" s="30" t="s">
        <v>359</v>
      </c>
      <c r="I349" s="263" t="s">
        <v>359</v>
      </c>
      <c r="J349" s="264" t="s">
        <v>1018</v>
      </c>
      <c r="K349" s="5" t="s">
        <v>980</v>
      </c>
      <c r="L349" s="5"/>
      <c r="M349" s="5" t="s">
        <v>445</v>
      </c>
      <c r="N349" s="5"/>
      <c r="O349" s="5"/>
      <c r="P349" s="412">
        <v>523</v>
      </c>
      <c r="Q349" s="110"/>
      <c r="R349" s="110"/>
      <c r="S349" s="110"/>
      <c r="T349" s="110"/>
      <c r="U349" s="110"/>
      <c r="V349" s="121">
        <f t="shared" si="6"/>
        <v>523</v>
      </c>
      <c r="W349" s="40"/>
      <c r="X349" s="40" t="s">
        <v>358</v>
      </c>
      <c r="Y349" s="40"/>
      <c r="Z349" s="40"/>
      <c r="AA349" s="40"/>
      <c r="AB349" s="40"/>
      <c r="AC349" s="40"/>
      <c r="AD349" s="40"/>
      <c r="AE349" s="40"/>
      <c r="AF349" s="40"/>
      <c r="AG349" s="40"/>
      <c r="AH349" s="40"/>
      <c r="AI349" s="40"/>
      <c r="AJ349" s="40"/>
      <c r="AK349" s="40"/>
      <c r="AL349" s="40"/>
      <c r="AM349" s="40"/>
      <c r="AN349" s="40"/>
      <c r="AO349" s="40"/>
      <c r="AP349" s="40"/>
      <c r="AQ349" s="40"/>
      <c r="AR349" s="40"/>
      <c r="AS349" s="40"/>
      <c r="AT349" s="40"/>
      <c r="AU349" s="40"/>
      <c r="AV349" s="40"/>
      <c r="AW349" s="40"/>
      <c r="AX349" s="40"/>
      <c r="AY349" s="40"/>
      <c r="AZ349" s="40"/>
      <c r="BA349" s="5"/>
    </row>
    <row r="350" spans="1:53" ht="15" thickBot="1" x14ac:dyDescent="0.4">
      <c r="A350" s="30" t="s">
        <v>358</v>
      </c>
      <c r="B350" s="30" t="s">
        <v>359</v>
      </c>
      <c r="C350" s="30" t="s">
        <v>359</v>
      </c>
      <c r="D350" s="30" t="s">
        <v>359</v>
      </c>
      <c r="E350" s="30" t="s">
        <v>359</v>
      </c>
      <c r="F350" s="30" t="s">
        <v>359</v>
      </c>
      <c r="G350" s="30" t="s">
        <v>359</v>
      </c>
      <c r="H350" s="30" t="s">
        <v>359</v>
      </c>
      <c r="I350" s="263" t="s">
        <v>359</v>
      </c>
      <c r="J350" s="264" t="s">
        <v>1018</v>
      </c>
      <c r="K350" s="5" t="s">
        <v>981</v>
      </c>
      <c r="L350" s="5"/>
      <c r="M350" s="5" t="s">
        <v>445</v>
      </c>
      <c r="N350" s="5"/>
      <c r="O350" s="5"/>
      <c r="P350" s="412">
        <v>491</v>
      </c>
      <c r="Q350" s="110"/>
      <c r="R350" s="110"/>
      <c r="S350" s="110"/>
      <c r="T350" s="110"/>
      <c r="U350" s="110"/>
      <c r="V350" s="121">
        <f t="shared" si="6"/>
        <v>491</v>
      </c>
      <c r="W350" s="40"/>
      <c r="X350" s="40" t="s">
        <v>358</v>
      </c>
      <c r="Y350" s="40"/>
      <c r="Z350" s="40"/>
      <c r="AA350" s="40"/>
      <c r="AB350" s="40"/>
      <c r="AC350" s="40"/>
      <c r="AD350" s="40"/>
      <c r="AE350" s="40"/>
      <c r="AF350" s="40"/>
      <c r="AG350" s="40"/>
      <c r="AH350" s="40"/>
      <c r="AI350" s="40"/>
      <c r="AJ350" s="40"/>
      <c r="AK350" s="40"/>
      <c r="AL350" s="40"/>
      <c r="AM350" s="40"/>
      <c r="AN350" s="40"/>
      <c r="AO350" s="40"/>
      <c r="AP350" s="40"/>
      <c r="AQ350" s="40"/>
      <c r="AR350" s="40"/>
      <c r="AS350" s="40"/>
      <c r="AT350" s="40"/>
      <c r="AU350" s="40"/>
      <c r="AV350" s="40"/>
      <c r="AW350" s="40"/>
      <c r="AX350" s="40"/>
      <c r="AY350" s="40"/>
      <c r="AZ350" s="40"/>
      <c r="BA350" s="5"/>
    </row>
    <row r="351" spans="1:53" ht="15" thickBot="1" x14ac:dyDescent="0.4">
      <c r="A351" s="30" t="s">
        <v>358</v>
      </c>
      <c r="B351" s="30" t="s">
        <v>359</v>
      </c>
      <c r="C351" s="30" t="s">
        <v>359</v>
      </c>
      <c r="D351" s="30" t="s">
        <v>359</v>
      </c>
      <c r="E351" s="30" t="s">
        <v>359</v>
      </c>
      <c r="F351" s="30" t="s">
        <v>359</v>
      </c>
      <c r="G351" s="30" t="s">
        <v>359</v>
      </c>
      <c r="H351" s="30" t="s">
        <v>359</v>
      </c>
      <c r="I351" s="263" t="s">
        <v>359</v>
      </c>
      <c r="J351" s="264" t="s">
        <v>1018</v>
      </c>
      <c r="K351" s="5" t="s">
        <v>982</v>
      </c>
      <c r="L351" s="5"/>
      <c r="M351" s="5" t="s">
        <v>445</v>
      </c>
      <c r="N351" s="5"/>
      <c r="O351" s="5"/>
      <c r="P351" s="412">
        <v>654</v>
      </c>
      <c r="Q351" s="110"/>
      <c r="R351" s="110"/>
      <c r="S351" s="110"/>
      <c r="T351" s="110"/>
      <c r="U351" s="110"/>
      <c r="V351" s="121">
        <f t="shared" si="6"/>
        <v>654</v>
      </c>
      <c r="W351" s="40"/>
      <c r="X351" s="40" t="s">
        <v>358</v>
      </c>
      <c r="Y351" s="40"/>
      <c r="Z351" s="40"/>
      <c r="AA351" s="40"/>
      <c r="AB351" s="40"/>
      <c r="AC351" s="40"/>
      <c r="AD351" s="40"/>
      <c r="AE351" s="40"/>
      <c r="AF351" s="40"/>
      <c r="AG351" s="40"/>
      <c r="AH351" s="40"/>
      <c r="AI351" s="40"/>
      <c r="AJ351" s="40"/>
      <c r="AK351" s="40"/>
      <c r="AL351" s="40"/>
      <c r="AM351" s="40"/>
      <c r="AN351" s="40"/>
      <c r="AO351" s="40"/>
      <c r="AP351" s="40"/>
      <c r="AQ351" s="40"/>
      <c r="AR351" s="40"/>
      <c r="AS351" s="40"/>
      <c r="AT351" s="40"/>
      <c r="AU351" s="40"/>
      <c r="AV351" s="40"/>
      <c r="AW351" s="40"/>
      <c r="AX351" s="40"/>
      <c r="AY351" s="40"/>
      <c r="AZ351" s="40"/>
      <c r="BA351" s="5"/>
    </row>
    <row r="352" spans="1:53" ht="15" thickBot="1" x14ac:dyDescent="0.4">
      <c r="A352" s="30" t="s">
        <v>358</v>
      </c>
      <c r="B352" s="30" t="s">
        <v>359</v>
      </c>
      <c r="C352" s="30" t="s">
        <v>359</v>
      </c>
      <c r="D352" s="30" t="s">
        <v>359</v>
      </c>
      <c r="E352" s="30" t="s">
        <v>359</v>
      </c>
      <c r="F352" s="30" t="s">
        <v>359</v>
      </c>
      <c r="G352" s="30" t="s">
        <v>359</v>
      </c>
      <c r="H352" s="30" t="s">
        <v>359</v>
      </c>
      <c r="I352" s="263" t="s">
        <v>359</v>
      </c>
      <c r="J352" s="264" t="s">
        <v>1018</v>
      </c>
      <c r="K352" s="5" t="s">
        <v>983</v>
      </c>
      <c r="L352" s="5"/>
      <c r="M352" s="5" t="s">
        <v>445</v>
      </c>
      <c r="N352" s="5"/>
      <c r="O352" s="5"/>
      <c r="P352" s="412">
        <v>812</v>
      </c>
      <c r="Q352" s="110"/>
      <c r="R352" s="110"/>
      <c r="S352" s="110"/>
      <c r="T352" s="110"/>
      <c r="U352" s="110"/>
      <c r="V352" s="121">
        <f t="shared" si="6"/>
        <v>812</v>
      </c>
      <c r="W352" s="40"/>
      <c r="X352" s="40" t="s">
        <v>358</v>
      </c>
      <c r="Y352" s="40"/>
      <c r="Z352" s="40"/>
      <c r="AA352" s="40"/>
      <c r="AB352" s="40"/>
      <c r="AC352" s="40"/>
      <c r="AD352" s="40"/>
      <c r="AE352" s="40"/>
      <c r="AF352" s="40"/>
      <c r="AG352" s="40"/>
      <c r="AH352" s="40"/>
      <c r="AI352" s="40"/>
      <c r="AJ352" s="40"/>
      <c r="AK352" s="40"/>
      <c r="AL352" s="40"/>
      <c r="AM352" s="40"/>
      <c r="AN352" s="40"/>
      <c r="AO352" s="40"/>
      <c r="AP352" s="40"/>
      <c r="AQ352" s="40"/>
      <c r="AR352" s="40"/>
      <c r="AS352" s="40"/>
      <c r="AT352" s="40"/>
      <c r="AU352" s="40"/>
      <c r="AV352" s="40"/>
      <c r="AW352" s="40"/>
      <c r="AX352" s="40"/>
      <c r="AY352" s="40"/>
      <c r="AZ352" s="40"/>
      <c r="BA352" s="5"/>
    </row>
    <row r="353" spans="1:53" ht="15" thickBot="1" x14ac:dyDescent="0.4">
      <c r="A353" s="30" t="s">
        <v>358</v>
      </c>
      <c r="B353" s="30" t="s">
        <v>359</v>
      </c>
      <c r="C353" s="30" t="s">
        <v>359</v>
      </c>
      <c r="D353" s="30" t="s">
        <v>359</v>
      </c>
      <c r="E353" s="30" t="s">
        <v>359</v>
      </c>
      <c r="F353" s="30" t="s">
        <v>359</v>
      </c>
      <c r="G353" s="30" t="s">
        <v>359</v>
      </c>
      <c r="H353" s="30" t="s">
        <v>359</v>
      </c>
      <c r="I353" s="263" t="s">
        <v>359</v>
      </c>
      <c r="J353" s="264" t="s">
        <v>1018</v>
      </c>
      <c r="K353" s="5" t="s">
        <v>984</v>
      </c>
      <c r="L353" s="5"/>
      <c r="M353" s="5" t="s">
        <v>445</v>
      </c>
      <c r="N353" s="5"/>
      <c r="O353" s="5"/>
      <c r="P353" s="412">
        <v>301</v>
      </c>
      <c r="Q353" s="110"/>
      <c r="R353" s="110"/>
      <c r="S353" s="110"/>
      <c r="T353" s="110"/>
      <c r="U353" s="110"/>
      <c r="V353" s="121">
        <f t="shared" si="6"/>
        <v>301</v>
      </c>
      <c r="W353" s="40"/>
      <c r="X353" s="40" t="s">
        <v>358</v>
      </c>
      <c r="Y353" s="40"/>
      <c r="Z353" s="40"/>
      <c r="AA353" s="40"/>
      <c r="AB353" s="40"/>
      <c r="AC353" s="40"/>
      <c r="AD353" s="40"/>
      <c r="AE353" s="40"/>
      <c r="AF353" s="40"/>
      <c r="AG353" s="40"/>
      <c r="AH353" s="40"/>
      <c r="AI353" s="40"/>
      <c r="AJ353" s="40"/>
      <c r="AK353" s="40"/>
      <c r="AL353" s="40"/>
      <c r="AM353" s="40"/>
      <c r="AN353" s="40"/>
      <c r="AO353" s="40"/>
      <c r="AP353" s="40"/>
      <c r="AQ353" s="40"/>
      <c r="AR353" s="40"/>
      <c r="AS353" s="40"/>
      <c r="AT353" s="40"/>
      <c r="AU353" s="40"/>
      <c r="AV353" s="40"/>
      <c r="AW353" s="40"/>
      <c r="AX353" s="40"/>
      <c r="AY353" s="40"/>
      <c r="AZ353" s="40"/>
      <c r="BA353" s="5"/>
    </row>
    <row r="354" spans="1:53" ht="15" thickBot="1" x14ac:dyDescent="0.4">
      <c r="A354" s="30" t="s">
        <v>358</v>
      </c>
      <c r="B354" s="30" t="s">
        <v>359</v>
      </c>
      <c r="C354" s="30" t="s">
        <v>359</v>
      </c>
      <c r="D354" s="30" t="s">
        <v>359</v>
      </c>
      <c r="E354" s="30" t="s">
        <v>359</v>
      </c>
      <c r="F354" s="30" t="s">
        <v>359</v>
      </c>
      <c r="G354" s="30" t="s">
        <v>359</v>
      </c>
      <c r="H354" s="30" t="s">
        <v>359</v>
      </c>
      <c r="I354" s="263" t="s">
        <v>359</v>
      </c>
      <c r="J354" s="264" t="s">
        <v>1018</v>
      </c>
      <c r="K354" s="5" t="s">
        <v>985</v>
      </c>
      <c r="L354" s="5"/>
      <c r="M354" s="5" t="s">
        <v>445</v>
      </c>
      <c r="N354" s="5"/>
      <c r="O354" s="5"/>
      <c r="P354" s="412">
        <v>530</v>
      </c>
      <c r="Q354" s="110"/>
      <c r="R354" s="110"/>
      <c r="S354" s="110"/>
      <c r="T354" s="110"/>
      <c r="U354" s="110"/>
      <c r="V354" s="121">
        <f t="shared" si="6"/>
        <v>530</v>
      </c>
      <c r="W354" s="40"/>
      <c r="X354" s="40" t="s">
        <v>358</v>
      </c>
      <c r="Y354" s="40"/>
      <c r="Z354" s="40"/>
      <c r="AA354" s="40"/>
      <c r="AB354" s="40"/>
      <c r="AC354" s="40"/>
      <c r="AD354" s="40"/>
      <c r="AE354" s="40"/>
      <c r="AF354" s="40"/>
      <c r="AG354" s="40"/>
      <c r="AH354" s="40"/>
      <c r="AI354" s="40"/>
      <c r="AJ354" s="40"/>
      <c r="AK354" s="40"/>
      <c r="AL354" s="40"/>
      <c r="AM354" s="40"/>
      <c r="AN354" s="40"/>
      <c r="AO354" s="40"/>
      <c r="AP354" s="40"/>
      <c r="AQ354" s="40"/>
      <c r="AR354" s="40"/>
      <c r="AS354" s="40"/>
      <c r="AT354" s="40"/>
      <c r="AU354" s="40"/>
      <c r="AV354" s="40"/>
      <c r="AW354" s="40"/>
      <c r="AX354" s="40"/>
      <c r="AY354" s="40"/>
      <c r="AZ354" s="40"/>
      <c r="BA354" s="5"/>
    </row>
    <row r="355" spans="1:53" ht="15" thickBot="1" x14ac:dyDescent="0.4">
      <c r="A355" s="30" t="s">
        <v>358</v>
      </c>
      <c r="B355" s="30" t="s">
        <v>359</v>
      </c>
      <c r="C355" s="30" t="s">
        <v>359</v>
      </c>
      <c r="D355" s="30" t="s">
        <v>359</v>
      </c>
      <c r="E355" s="30" t="s">
        <v>359</v>
      </c>
      <c r="F355" s="30" t="s">
        <v>359</v>
      </c>
      <c r="G355" s="30" t="s">
        <v>359</v>
      </c>
      <c r="H355" s="30" t="s">
        <v>359</v>
      </c>
      <c r="I355" s="263" t="s">
        <v>359</v>
      </c>
      <c r="J355" s="264" t="s">
        <v>1018</v>
      </c>
      <c r="K355" s="5" t="s">
        <v>986</v>
      </c>
      <c r="L355" s="5"/>
      <c r="M355" s="5" t="s">
        <v>445</v>
      </c>
      <c r="N355" s="5"/>
      <c r="O355" s="5"/>
      <c r="P355" s="412">
        <v>889</v>
      </c>
      <c r="Q355" s="110"/>
      <c r="R355" s="110"/>
      <c r="S355" s="110"/>
      <c r="T355" s="110"/>
      <c r="U355" s="110"/>
      <c r="V355" s="121">
        <f t="shared" si="6"/>
        <v>889</v>
      </c>
      <c r="W355" s="40"/>
      <c r="X355" s="40" t="s">
        <v>358</v>
      </c>
      <c r="Y355" s="40"/>
      <c r="Z355" s="40"/>
      <c r="AA355" s="40"/>
      <c r="AB355" s="40"/>
      <c r="AC355" s="40"/>
      <c r="AD355" s="40"/>
      <c r="AE355" s="40"/>
      <c r="AF355" s="40"/>
      <c r="AG355" s="40"/>
      <c r="AH355" s="40"/>
      <c r="AI355" s="40"/>
      <c r="AJ355" s="40"/>
      <c r="AK355" s="40"/>
      <c r="AL355" s="40"/>
      <c r="AM355" s="40"/>
      <c r="AN355" s="40"/>
      <c r="AO355" s="40"/>
      <c r="AP355" s="40"/>
      <c r="AQ355" s="40"/>
      <c r="AR355" s="40"/>
      <c r="AS355" s="40"/>
      <c r="AT355" s="40"/>
      <c r="AU355" s="40"/>
      <c r="AV355" s="40"/>
      <c r="AW355" s="40"/>
      <c r="AX355" s="40"/>
      <c r="AY355" s="40"/>
      <c r="AZ355" s="40"/>
      <c r="BA355" s="5"/>
    </row>
    <row r="356" spans="1:53" ht="15" thickBot="1" x14ac:dyDescent="0.4">
      <c r="A356" s="30" t="s">
        <v>358</v>
      </c>
      <c r="B356" s="30" t="s">
        <v>359</v>
      </c>
      <c r="C356" s="30" t="s">
        <v>359</v>
      </c>
      <c r="D356" s="30" t="s">
        <v>359</v>
      </c>
      <c r="E356" s="30" t="s">
        <v>359</v>
      </c>
      <c r="F356" s="30" t="s">
        <v>359</v>
      </c>
      <c r="G356" s="30" t="s">
        <v>359</v>
      </c>
      <c r="H356" s="30" t="s">
        <v>359</v>
      </c>
      <c r="I356" s="263" t="s">
        <v>359</v>
      </c>
      <c r="J356" s="264" t="s">
        <v>1018</v>
      </c>
      <c r="K356" s="5" t="s">
        <v>987</v>
      </c>
      <c r="L356" s="5"/>
      <c r="M356" s="5" t="s">
        <v>445</v>
      </c>
      <c r="N356" s="5"/>
      <c r="O356" s="5"/>
      <c r="P356" s="412">
        <v>413</v>
      </c>
      <c r="Q356" s="110"/>
      <c r="R356" s="110"/>
      <c r="S356" s="110"/>
      <c r="T356" s="110"/>
      <c r="U356" s="110"/>
      <c r="V356" s="121">
        <f t="shared" si="6"/>
        <v>413</v>
      </c>
      <c r="W356" s="40"/>
      <c r="X356" s="40" t="s">
        <v>358</v>
      </c>
      <c r="Y356" s="40"/>
      <c r="Z356" s="40"/>
      <c r="AA356" s="40"/>
      <c r="AB356" s="40"/>
      <c r="AC356" s="40"/>
      <c r="AD356" s="40"/>
      <c r="AE356" s="40"/>
      <c r="AF356" s="40"/>
      <c r="AG356" s="40"/>
      <c r="AH356" s="40"/>
      <c r="AI356" s="40"/>
      <c r="AJ356" s="40"/>
      <c r="AK356" s="40"/>
      <c r="AL356" s="40"/>
      <c r="AM356" s="40"/>
      <c r="AN356" s="40"/>
      <c r="AO356" s="40"/>
      <c r="AP356" s="40"/>
      <c r="AQ356" s="40"/>
      <c r="AR356" s="40"/>
      <c r="AS356" s="40"/>
      <c r="AT356" s="40"/>
      <c r="AU356" s="40"/>
      <c r="AV356" s="40"/>
      <c r="AW356" s="40"/>
      <c r="AX356" s="40"/>
      <c r="AY356" s="40"/>
      <c r="AZ356" s="40"/>
      <c r="BA356" s="5"/>
    </row>
    <row r="357" spans="1:53" ht="15" thickBot="1" x14ac:dyDescent="0.4">
      <c r="A357" s="30" t="s">
        <v>358</v>
      </c>
      <c r="B357" s="30" t="s">
        <v>359</v>
      </c>
      <c r="C357" s="30" t="s">
        <v>359</v>
      </c>
      <c r="D357" s="30" t="s">
        <v>359</v>
      </c>
      <c r="E357" s="30" t="s">
        <v>359</v>
      </c>
      <c r="F357" s="30" t="s">
        <v>359</v>
      </c>
      <c r="G357" s="30" t="s">
        <v>359</v>
      </c>
      <c r="H357" s="30" t="s">
        <v>359</v>
      </c>
      <c r="I357" s="263" t="s">
        <v>359</v>
      </c>
      <c r="J357" s="264" t="s">
        <v>1018</v>
      </c>
      <c r="K357" s="5" t="s">
        <v>988</v>
      </c>
      <c r="L357" s="5"/>
      <c r="M357" s="5" t="s">
        <v>445</v>
      </c>
      <c r="N357" s="5"/>
      <c r="O357" s="5"/>
      <c r="P357" s="412">
        <v>421</v>
      </c>
      <c r="Q357" s="110"/>
      <c r="R357" s="110"/>
      <c r="S357" s="110"/>
      <c r="T357" s="110"/>
      <c r="U357" s="110"/>
      <c r="V357" s="121">
        <f t="shared" si="6"/>
        <v>421</v>
      </c>
      <c r="W357" s="40"/>
      <c r="X357" s="40" t="s">
        <v>358</v>
      </c>
      <c r="Y357" s="40"/>
      <c r="Z357" s="40"/>
      <c r="AA357" s="40"/>
      <c r="AB357" s="40"/>
      <c r="AC357" s="40"/>
      <c r="AD357" s="40"/>
      <c r="AE357" s="40"/>
      <c r="AF357" s="40"/>
      <c r="AG357" s="40"/>
      <c r="AH357" s="40"/>
      <c r="AI357" s="40"/>
      <c r="AJ357" s="40"/>
      <c r="AK357" s="40"/>
      <c r="AL357" s="40"/>
      <c r="AM357" s="40"/>
      <c r="AN357" s="40"/>
      <c r="AO357" s="40"/>
      <c r="AP357" s="40"/>
      <c r="AQ357" s="40"/>
      <c r="AR357" s="40"/>
      <c r="AS357" s="40"/>
      <c r="AT357" s="40"/>
      <c r="AU357" s="40"/>
      <c r="AV357" s="40"/>
      <c r="AW357" s="40"/>
      <c r="AX357" s="40"/>
      <c r="AY357" s="40"/>
      <c r="AZ357" s="40"/>
      <c r="BA357" s="5"/>
    </row>
    <row r="358" spans="1:53" ht="15" thickBot="1" x14ac:dyDescent="0.4">
      <c r="A358" s="30" t="s">
        <v>358</v>
      </c>
      <c r="B358" s="30" t="s">
        <v>359</v>
      </c>
      <c r="C358" s="30" t="s">
        <v>359</v>
      </c>
      <c r="D358" s="30" t="s">
        <v>359</v>
      </c>
      <c r="E358" s="30" t="s">
        <v>359</v>
      </c>
      <c r="F358" s="30" t="s">
        <v>359</v>
      </c>
      <c r="G358" s="30" t="s">
        <v>359</v>
      </c>
      <c r="H358" s="30" t="s">
        <v>359</v>
      </c>
      <c r="I358" s="263" t="s">
        <v>359</v>
      </c>
      <c r="J358" s="264" t="s">
        <v>1018</v>
      </c>
      <c r="K358" s="5" t="s">
        <v>989</v>
      </c>
      <c r="L358" s="5"/>
      <c r="M358" s="5" t="s">
        <v>445</v>
      </c>
      <c r="N358" s="5"/>
      <c r="O358" s="5"/>
      <c r="P358" s="412">
        <v>57</v>
      </c>
      <c r="Q358" s="110"/>
      <c r="R358" s="110"/>
      <c r="S358" s="110"/>
      <c r="T358" s="110"/>
      <c r="U358" s="110"/>
      <c r="V358" s="121">
        <f t="shared" si="6"/>
        <v>57</v>
      </c>
      <c r="W358" s="40"/>
      <c r="X358" s="40" t="s">
        <v>358</v>
      </c>
      <c r="Y358" s="40"/>
      <c r="Z358" s="40"/>
      <c r="AA358" s="40"/>
      <c r="AB358" s="40"/>
      <c r="AC358" s="40"/>
      <c r="AD358" s="40"/>
      <c r="AE358" s="40"/>
      <c r="AF358" s="40"/>
      <c r="AG358" s="40"/>
      <c r="AH358" s="40"/>
      <c r="AI358" s="40"/>
      <c r="AJ358" s="40"/>
      <c r="AK358" s="40"/>
      <c r="AL358" s="40"/>
      <c r="AM358" s="40"/>
      <c r="AN358" s="40"/>
      <c r="AO358" s="40"/>
      <c r="AP358" s="40"/>
      <c r="AQ358" s="40"/>
      <c r="AR358" s="40"/>
      <c r="AS358" s="40"/>
      <c r="AT358" s="40"/>
      <c r="AU358" s="40"/>
      <c r="AV358" s="40"/>
      <c r="AW358" s="40"/>
      <c r="AX358" s="40"/>
      <c r="AY358" s="40"/>
      <c r="AZ358" s="40"/>
      <c r="BA358" s="5"/>
    </row>
    <row r="359" spans="1:53" ht="26.5" thickBot="1" x14ac:dyDescent="0.4">
      <c r="A359" s="30" t="s">
        <v>358</v>
      </c>
      <c r="B359" s="30" t="s">
        <v>359</v>
      </c>
      <c r="C359" s="30" t="s">
        <v>359</v>
      </c>
      <c r="D359" s="30" t="s">
        <v>359</v>
      </c>
      <c r="E359" s="30" t="s">
        <v>359</v>
      </c>
      <c r="F359" s="30" t="s">
        <v>359</v>
      </c>
      <c r="G359" s="30" t="s">
        <v>359</v>
      </c>
      <c r="H359" s="30" t="s">
        <v>359</v>
      </c>
      <c r="I359" s="263" t="s">
        <v>359</v>
      </c>
      <c r="J359" s="264" t="s">
        <v>1018</v>
      </c>
      <c r="K359" s="5" t="s">
        <v>990</v>
      </c>
      <c r="L359" s="5"/>
      <c r="M359" s="5" t="s">
        <v>445</v>
      </c>
      <c r="N359" s="5"/>
      <c r="O359" s="5"/>
      <c r="P359" s="412">
        <v>2820</v>
      </c>
      <c r="Q359" s="110"/>
      <c r="R359" s="110"/>
      <c r="S359" s="110"/>
      <c r="T359" s="110"/>
      <c r="U359" s="110"/>
      <c r="V359" s="121">
        <f t="shared" si="6"/>
        <v>2820</v>
      </c>
      <c r="W359" s="40"/>
      <c r="X359" s="40" t="s">
        <v>358</v>
      </c>
      <c r="Y359" s="40"/>
      <c r="Z359" s="40"/>
      <c r="AA359" s="40"/>
      <c r="AB359" s="40"/>
      <c r="AC359" s="40"/>
      <c r="AD359" s="40"/>
      <c r="AE359" s="40"/>
      <c r="AF359" s="40"/>
      <c r="AG359" s="40"/>
      <c r="AH359" s="40"/>
      <c r="AI359" s="40"/>
      <c r="AJ359" s="40"/>
      <c r="AK359" s="40"/>
      <c r="AL359" s="40"/>
      <c r="AM359" s="40"/>
      <c r="AN359" s="40"/>
      <c r="AO359" s="40"/>
      <c r="AP359" s="40"/>
      <c r="AQ359" s="40"/>
      <c r="AR359" s="40"/>
      <c r="AS359" s="40"/>
      <c r="AT359" s="40"/>
      <c r="AU359" s="40"/>
      <c r="AV359" s="40"/>
      <c r="AW359" s="40"/>
      <c r="AX359" s="40"/>
      <c r="AY359" s="40"/>
      <c r="AZ359" s="40"/>
      <c r="BA359" s="5"/>
    </row>
    <row r="360" spans="1:53" ht="15" thickBot="1" x14ac:dyDescent="0.4">
      <c r="A360" s="30" t="s">
        <v>358</v>
      </c>
      <c r="B360" s="30" t="s">
        <v>359</v>
      </c>
      <c r="C360" s="30" t="s">
        <v>359</v>
      </c>
      <c r="D360" s="30" t="s">
        <v>359</v>
      </c>
      <c r="E360" s="30" t="s">
        <v>359</v>
      </c>
      <c r="F360" s="30" t="s">
        <v>359</v>
      </c>
      <c r="G360" s="30" t="s">
        <v>359</v>
      </c>
      <c r="H360" s="30" t="s">
        <v>359</v>
      </c>
      <c r="I360" s="263" t="s">
        <v>359</v>
      </c>
      <c r="J360" s="264" t="s">
        <v>1018</v>
      </c>
      <c r="K360" s="5" t="s">
        <v>991</v>
      </c>
      <c r="L360" s="5"/>
      <c r="M360" s="5" t="s">
        <v>445</v>
      </c>
      <c r="N360" s="5"/>
      <c r="O360" s="5"/>
      <c r="P360" s="405">
        <v>5350</v>
      </c>
      <c r="Q360" s="110"/>
      <c r="R360" s="110"/>
      <c r="S360" s="110"/>
      <c r="T360" s="110"/>
      <c r="U360" s="110"/>
      <c r="V360" s="121">
        <f t="shared" si="6"/>
        <v>5350</v>
      </c>
      <c r="W360" s="40"/>
      <c r="X360" s="40" t="s">
        <v>358</v>
      </c>
      <c r="Y360" s="40"/>
      <c r="Z360" s="40"/>
      <c r="AA360" s="40"/>
      <c r="AB360" s="40"/>
      <c r="AC360" s="40"/>
      <c r="AD360" s="40"/>
      <c r="AE360" s="40"/>
      <c r="AF360" s="40"/>
      <c r="AG360" s="40"/>
      <c r="AH360" s="40"/>
      <c r="AI360" s="40"/>
      <c r="AJ360" s="40"/>
      <c r="AK360" s="40"/>
      <c r="AL360" s="40"/>
      <c r="AM360" s="40"/>
      <c r="AN360" s="40"/>
      <c r="AO360" s="40"/>
      <c r="AP360" s="40"/>
      <c r="AQ360" s="40"/>
      <c r="AR360" s="40"/>
      <c r="AS360" s="40"/>
      <c r="AT360" s="40"/>
      <c r="AU360" s="40"/>
      <c r="AV360" s="40"/>
      <c r="AW360" s="40"/>
      <c r="AX360" s="40"/>
      <c r="AY360" s="40"/>
      <c r="AZ360" s="40"/>
      <c r="BA360" s="5"/>
    </row>
    <row r="361" spans="1:53" ht="15" thickBot="1" x14ac:dyDescent="0.4">
      <c r="A361" s="30" t="s">
        <v>358</v>
      </c>
      <c r="B361" s="30" t="s">
        <v>359</v>
      </c>
      <c r="C361" s="30" t="s">
        <v>359</v>
      </c>
      <c r="D361" s="30" t="s">
        <v>359</v>
      </c>
      <c r="E361" s="30" t="s">
        <v>359</v>
      </c>
      <c r="F361" s="30" t="s">
        <v>359</v>
      </c>
      <c r="G361" s="30" t="s">
        <v>359</v>
      </c>
      <c r="H361" s="30" t="s">
        <v>359</v>
      </c>
      <c r="I361" s="263" t="s">
        <v>359</v>
      </c>
      <c r="J361" s="264" t="s">
        <v>1018</v>
      </c>
      <c r="K361" s="5" t="s">
        <v>992</v>
      </c>
      <c r="L361" s="5"/>
      <c r="M361" s="5" t="s">
        <v>445</v>
      </c>
      <c r="N361" s="5"/>
      <c r="O361" s="5"/>
      <c r="P361" s="405">
        <v>2910</v>
      </c>
      <c r="Q361" s="110"/>
      <c r="R361" s="110"/>
      <c r="S361" s="110"/>
      <c r="T361" s="110"/>
      <c r="U361" s="110"/>
      <c r="V361" s="121">
        <f t="shared" si="6"/>
        <v>2910</v>
      </c>
      <c r="W361" s="40"/>
      <c r="X361" s="40" t="s">
        <v>358</v>
      </c>
      <c r="Y361" s="40"/>
      <c r="Z361" s="40"/>
      <c r="AA361" s="40"/>
      <c r="AB361" s="40"/>
      <c r="AC361" s="40"/>
      <c r="AD361" s="40"/>
      <c r="AE361" s="40"/>
      <c r="AF361" s="40"/>
      <c r="AG361" s="40"/>
      <c r="AH361" s="40"/>
      <c r="AI361" s="40"/>
      <c r="AJ361" s="40"/>
      <c r="AK361" s="40"/>
      <c r="AL361" s="40"/>
      <c r="AM361" s="40"/>
      <c r="AN361" s="40"/>
      <c r="AO361" s="40"/>
      <c r="AP361" s="40"/>
      <c r="AQ361" s="40"/>
      <c r="AR361" s="40"/>
      <c r="AS361" s="40"/>
      <c r="AT361" s="40"/>
      <c r="AU361" s="40"/>
      <c r="AV361" s="40"/>
      <c r="AW361" s="40"/>
      <c r="AX361" s="40"/>
      <c r="AY361" s="40"/>
      <c r="AZ361" s="40"/>
      <c r="BA361" s="5"/>
    </row>
    <row r="362" spans="1:53" ht="26.5" thickBot="1" x14ac:dyDescent="0.4">
      <c r="A362" s="30" t="s">
        <v>358</v>
      </c>
      <c r="B362" s="30" t="s">
        <v>359</v>
      </c>
      <c r="C362" s="30" t="s">
        <v>359</v>
      </c>
      <c r="D362" s="30" t="s">
        <v>359</v>
      </c>
      <c r="E362" s="30" t="s">
        <v>359</v>
      </c>
      <c r="F362" s="30" t="s">
        <v>359</v>
      </c>
      <c r="G362" s="30" t="s">
        <v>359</v>
      </c>
      <c r="H362" s="30" t="s">
        <v>359</v>
      </c>
      <c r="I362" s="263" t="s">
        <v>359</v>
      </c>
      <c r="J362" s="264" t="s">
        <v>1018</v>
      </c>
      <c r="K362" s="5" t="s">
        <v>993</v>
      </c>
      <c r="L362" s="5"/>
      <c r="M362" s="5" t="s">
        <v>445</v>
      </c>
      <c r="N362" s="5"/>
      <c r="O362" s="5"/>
      <c r="P362" s="405">
        <v>17400</v>
      </c>
      <c r="Q362" s="110"/>
      <c r="R362" s="110"/>
      <c r="S362" s="110"/>
      <c r="T362" s="110"/>
      <c r="U362" s="110"/>
      <c r="V362" s="121">
        <f t="shared" si="6"/>
        <v>17400</v>
      </c>
      <c r="W362" s="40"/>
      <c r="X362" s="40" t="s">
        <v>358</v>
      </c>
      <c r="Y362" s="40"/>
      <c r="Z362" s="40"/>
      <c r="AA362" s="40"/>
      <c r="AB362" s="40"/>
      <c r="AC362" s="40"/>
      <c r="AD362" s="40"/>
      <c r="AE362" s="40"/>
      <c r="AF362" s="40"/>
      <c r="AG362" s="40"/>
      <c r="AH362" s="40"/>
      <c r="AI362" s="40"/>
      <c r="AJ362" s="40"/>
      <c r="AK362" s="40"/>
      <c r="AL362" s="40"/>
      <c r="AM362" s="40"/>
      <c r="AN362" s="40"/>
      <c r="AO362" s="40"/>
      <c r="AP362" s="40"/>
      <c r="AQ362" s="40"/>
      <c r="AR362" s="40"/>
      <c r="AS362" s="40"/>
      <c r="AT362" s="40"/>
      <c r="AU362" s="40"/>
      <c r="AV362" s="40"/>
      <c r="AW362" s="40"/>
      <c r="AX362" s="40"/>
      <c r="AY362" s="40"/>
      <c r="AZ362" s="40"/>
      <c r="BA362" s="5"/>
    </row>
    <row r="363" spans="1:53" ht="15" thickBot="1" x14ac:dyDescent="0.4">
      <c r="A363" s="30" t="s">
        <v>358</v>
      </c>
      <c r="B363" s="30" t="s">
        <v>359</v>
      </c>
      <c r="C363" s="30" t="s">
        <v>359</v>
      </c>
      <c r="D363" s="30" t="s">
        <v>359</v>
      </c>
      <c r="E363" s="30" t="s">
        <v>359</v>
      </c>
      <c r="F363" s="30" t="s">
        <v>359</v>
      </c>
      <c r="G363" s="30" t="s">
        <v>359</v>
      </c>
      <c r="H363" s="30" t="s">
        <v>359</v>
      </c>
      <c r="I363" s="263" t="s">
        <v>359</v>
      </c>
      <c r="J363" s="264" t="s">
        <v>1018</v>
      </c>
      <c r="K363" s="5" t="s">
        <v>994</v>
      </c>
      <c r="L363" s="5"/>
      <c r="M363" s="5" t="s">
        <v>445</v>
      </c>
      <c r="N363" s="5"/>
      <c r="O363" s="5"/>
      <c r="P363" s="405">
        <v>9710</v>
      </c>
      <c r="Q363" s="110"/>
      <c r="R363" s="110"/>
      <c r="S363" s="110"/>
      <c r="T363" s="110"/>
      <c r="U363" s="110"/>
      <c r="V363" s="121">
        <f t="shared" si="6"/>
        <v>9710</v>
      </c>
      <c r="W363" s="40"/>
      <c r="X363" s="40" t="s">
        <v>358</v>
      </c>
      <c r="Y363" s="40"/>
      <c r="Z363" s="40"/>
      <c r="AA363" s="40"/>
      <c r="AB363" s="40"/>
      <c r="AC363" s="40"/>
      <c r="AD363" s="40"/>
      <c r="AE363" s="40"/>
      <c r="AF363" s="40"/>
      <c r="AG363" s="40"/>
      <c r="AH363" s="40"/>
      <c r="AI363" s="40"/>
      <c r="AJ363" s="40"/>
      <c r="AK363" s="40"/>
      <c r="AL363" s="40"/>
      <c r="AM363" s="40"/>
      <c r="AN363" s="40"/>
      <c r="AO363" s="40"/>
      <c r="AP363" s="40"/>
      <c r="AQ363" s="40"/>
      <c r="AR363" s="40"/>
      <c r="AS363" s="40"/>
      <c r="AT363" s="40"/>
      <c r="AU363" s="40"/>
      <c r="AV363" s="40"/>
      <c r="AW363" s="40"/>
      <c r="AX363" s="40"/>
      <c r="AY363" s="40"/>
      <c r="AZ363" s="40"/>
      <c r="BA363" s="5"/>
    </row>
    <row r="364" spans="1:53" ht="15" thickBot="1" x14ac:dyDescent="0.4">
      <c r="A364" s="30" t="s">
        <v>358</v>
      </c>
      <c r="B364" s="30" t="s">
        <v>359</v>
      </c>
      <c r="C364" s="30" t="s">
        <v>359</v>
      </c>
      <c r="D364" s="30" t="s">
        <v>359</v>
      </c>
      <c r="E364" s="30" t="s">
        <v>359</v>
      </c>
      <c r="F364" s="30" t="s">
        <v>359</v>
      </c>
      <c r="G364" s="30" t="s">
        <v>359</v>
      </c>
      <c r="H364" s="30" t="s">
        <v>359</v>
      </c>
      <c r="I364" s="263" t="s">
        <v>359</v>
      </c>
      <c r="J364" s="264" t="s">
        <v>1018</v>
      </c>
      <c r="K364" s="5" t="s">
        <v>995</v>
      </c>
      <c r="L364" s="5"/>
      <c r="M364" s="5" t="s">
        <v>445</v>
      </c>
      <c r="N364" s="5"/>
      <c r="O364" s="5"/>
      <c r="P364" s="405">
        <v>1</v>
      </c>
      <c r="Q364" s="110"/>
      <c r="R364" s="110"/>
      <c r="S364" s="110"/>
      <c r="T364" s="110"/>
      <c r="U364" s="110"/>
      <c r="V364" s="121">
        <f t="shared" si="6"/>
        <v>1</v>
      </c>
      <c r="W364" s="40"/>
      <c r="X364" s="40" t="s">
        <v>358</v>
      </c>
      <c r="Y364" s="40"/>
      <c r="Z364" s="40"/>
      <c r="AA364" s="40"/>
      <c r="AB364" s="40"/>
      <c r="AC364" s="40"/>
      <c r="AD364" s="40"/>
      <c r="AE364" s="40"/>
      <c r="AF364" s="40"/>
      <c r="AG364" s="40"/>
      <c r="AH364" s="40"/>
      <c r="AI364" s="40"/>
      <c r="AJ364" s="40"/>
      <c r="AK364" s="40"/>
      <c r="AL364" s="40"/>
      <c r="AM364" s="40"/>
      <c r="AN364" s="40"/>
      <c r="AO364" s="40"/>
      <c r="AP364" s="40"/>
      <c r="AQ364" s="40"/>
      <c r="AR364" s="40"/>
      <c r="AS364" s="40"/>
      <c r="AT364" s="40"/>
      <c r="AU364" s="40"/>
      <c r="AV364" s="40"/>
      <c r="AW364" s="40"/>
      <c r="AX364" s="40"/>
      <c r="AY364" s="40"/>
      <c r="AZ364" s="40"/>
      <c r="BA364" s="5"/>
    </row>
    <row r="365" spans="1:53" ht="15" thickBot="1" x14ac:dyDescent="0.4">
      <c r="A365" s="30" t="s">
        <v>358</v>
      </c>
      <c r="B365" s="30" t="s">
        <v>359</v>
      </c>
      <c r="C365" s="30" t="s">
        <v>359</v>
      </c>
      <c r="D365" s="30" t="s">
        <v>359</v>
      </c>
      <c r="E365" s="30" t="s">
        <v>359</v>
      </c>
      <c r="F365" s="30" t="s">
        <v>359</v>
      </c>
      <c r="G365" s="30" t="s">
        <v>359</v>
      </c>
      <c r="H365" s="30" t="s">
        <v>359</v>
      </c>
      <c r="I365" s="263" t="s">
        <v>359</v>
      </c>
      <c r="J365" s="264" t="s">
        <v>1018</v>
      </c>
      <c r="K365" s="5" t="s">
        <v>996</v>
      </c>
      <c r="L365" s="5"/>
      <c r="M365" s="5" t="s">
        <v>445</v>
      </c>
      <c r="N365" s="5"/>
      <c r="O365" s="5"/>
      <c r="P365" s="405">
        <v>9</v>
      </c>
      <c r="Q365" s="110"/>
      <c r="R365" s="110"/>
      <c r="S365" s="110"/>
      <c r="T365" s="110"/>
      <c r="U365" s="110"/>
      <c r="V365" s="121">
        <f t="shared" si="6"/>
        <v>9</v>
      </c>
      <c r="W365" s="40"/>
      <c r="X365" s="40" t="s">
        <v>358</v>
      </c>
      <c r="Y365" s="40"/>
      <c r="Z365" s="40"/>
      <c r="AA365" s="40"/>
      <c r="AB365" s="40"/>
      <c r="AC365" s="40"/>
      <c r="AD365" s="40"/>
      <c r="AE365" s="40"/>
      <c r="AF365" s="40"/>
      <c r="AG365" s="40"/>
      <c r="AH365" s="40"/>
      <c r="AI365" s="40"/>
      <c r="AJ365" s="40"/>
      <c r="AK365" s="40"/>
      <c r="AL365" s="40"/>
      <c r="AM365" s="40"/>
      <c r="AN365" s="40"/>
      <c r="AO365" s="40"/>
      <c r="AP365" s="40"/>
      <c r="AQ365" s="40"/>
      <c r="AR365" s="40"/>
      <c r="AS365" s="40"/>
      <c r="AT365" s="40"/>
      <c r="AU365" s="40"/>
      <c r="AV365" s="40"/>
      <c r="AW365" s="40"/>
      <c r="AX365" s="40"/>
      <c r="AY365" s="40"/>
      <c r="AZ365" s="40"/>
      <c r="BA365" s="5"/>
    </row>
    <row r="366" spans="1:53" ht="15" thickBot="1" x14ac:dyDescent="0.4">
      <c r="A366" s="30" t="s">
        <v>358</v>
      </c>
      <c r="B366" s="30" t="s">
        <v>359</v>
      </c>
      <c r="C366" s="30" t="s">
        <v>359</v>
      </c>
      <c r="D366" s="30" t="s">
        <v>359</v>
      </c>
      <c r="E366" s="30" t="s">
        <v>359</v>
      </c>
      <c r="F366" s="30" t="s">
        <v>359</v>
      </c>
      <c r="G366" s="30" t="s">
        <v>359</v>
      </c>
      <c r="H366" s="30" t="s">
        <v>359</v>
      </c>
      <c r="I366" s="263" t="s">
        <v>359</v>
      </c>
      <c r="J366" s="264" t="s">
        <v>1018</v>
      </c>
      <c r="K366" s="5" t="s">
        <v>997</v>
      </c>
      <c r="L366" s="5"/>
      <c r="M366" s="5" t="s">
        <v>445</v>
      </c>
      <c r="N366" s="5"/>
      <c r="O366" s="5"/>
      <c r="P366" s="405">
        <v>12</v>
      </c>
      <c r="Q366" s="110"/>
      <c r="R366" s="110"/>
      <c r="S366" s="110"/>
      <c r="T366" s="110"/>
      <c r="U366" s="110"/>
      <c r="V366" s="121">
        <f t="shared" si="6"/>
        <v>12</v>
      </c>
      <c r="W366" s="40"/>
      <c r="X366" s="40" t="s">
        <v>358</v>
      </c>
      <c r="Y366" s="40"/>
      <c r="Z366" s="40"/>
      <c r="AA366" s="40"/>
      <c r="AB366" s="40"/>
      <c r="AC366" s="40"/>
      <c r="AD366" s="40"/>
      <c r="AE366" s="40"/>
      <c r="AF366" s="40"/>
      <c r="AG366" s="40"/>
      <c r="AH366" s="40"/>
      <c r="AI366" s="40"/>
      <c r="AJ366" s="40"/>
      <c r="AK366" s="40"/>
      <c r="AL366" s="40"/>
      <c r="AM366" s="40"/>
      <c r="AN366" s="40"/>
      <c r="AO366" s="40"/>
      <c r="AP366" s="40"/>
      <c r="AQ366" s="40"/>
      <c r="AR366" s="40"/>
      <c r="AS366" s="40"/>
      <c r="AT366" s="40"/>
      <c r="AU366" s="40"/>
      <c r="AV366" s="40"/>
      <c r="AW366" s="40"/>
      <c r="AX366" s="40"/>
      <c r="AY366" s="40"/>
      <c r="AZ366" s="40"/>
      <c r="BA366" s="5"/>
    </row>
    <row r="367" spans="1:53" ht="15" thickBot="1" x14ac:dyDescent="0.4">
      <c r="A367" s="30" t="s">
        <v>358</v>
      </c>
      <c r="B367" s="30" t="s">
        <v>359</v>
      </c>
      <c r="C367" s="30" t="s">
        <v>359</v>
      </c>
      <c r="D367" s="30" t="s">
        <v>359</v>
      </c>
      <c r="E367" s="30" t="s">
        <v>359</v>
      </c>
      <c r="F367" s="30" t="s">
        <v>359</v>
      </c>
      <c r="G367" s="30" t="s">
        <v>359</v>
      </c>
      <c r="H367" s="30" t="s">
        <v>359</v>
      </c>
      <c r="I367" s="263" t="s">
        <v>359</v>
      </c>
      <c r="J367" s="264" t="s">
        <v>1018</v>
      </c>
      <c r="K367" s="5" t="s">
        <v>998</v>
      </c>
      <c r="L367" s="5"/>
      <c r="M367" s="5" t="s">
        <v>445</v>
      </c>
      <c r="N367" s="5"/>
      <c r="O367" s="5"/>
      <c r="P367" s="405">
        <v>0.06</v>
      </c>
      <c r="Q367" s="110"/>
      <c r="R367" s="110"/>
      <c r="S367" s="110"/>
      <c r="T367" s="110"/>
      <c r="U367" s="110"/>
      <c r="V367" s="121">
        <f t="shared" si="6"/>
        <v>0.06</v>
      </c>
      <c r="W367" s="40"/>
      <c r="X367" s="40" t="s">
        <v>358</v>
      </c>
      <c r="Y367" s="40"/>
      <c r="Z367" s="40"/>
      <c r="AA367" s="40"/>
      <c r="AB367" s="40"/>
      <c r="AC367" s="40"/>
      <c r="AD367" s="40"/>
      <c r="AE367" s="40"/>
      <c r="AF367" s="40"/>
      <c r="AG367" s="40"/>
      <c r="AH367" s="40"/>
      <c r="AI367" s="40"/>
      <c r="AJ367" s="40"/>
      <c r="AK367" s="40"/>
      <c r="AL367" s="40"/>
      <c r="AM367" s="40"/>
      <c r="AN367" s="40"/>
      <c r="AO367" s="40"/>
      <c r="AP367" s="40"/>
      <c r="AQ367" s="40"/>
      <c r="AR367" s="40"/>
      <c r="AS367" s="40"/>
      <c r="AT367" s="40"/>
      <c r="AU367" s="40"/>
      <c r="AV367" s="40"/>
      <c r="AW367" s="40"/>
      <c r="AX367" s="40"/>
      <c r="AY367" s="40"/>
      <c r="AZ367" s="40"/>
      <c r="BA367" s="5"/>
    </row>
    <row r="368" spans="1:53" ht="15" thickBot="1" x14ac:dyDescent="0.4">
      <c r="A368" s="30" t="s">
        <v>358</v>
      </c>
      <c r="B368" s="30" t="s">
        <v>359</v>
      </c>
      <c r="C368" s="30" t="s">
        <v>359</v>
      </c>
      <c r="D368" s="30" t="s">
        <v>359</v>
      </c>
      <c r="E368" s="30" t="s">
        <v>359</v>
      </c>
      <c r="F368" s="30" t="s">
        <v>359</v>
      </c>
      <c r="G368" s="30" t="s">
        <v>359</v>
      </c>
      <c r="H368" s="30" t="s">
        <v>359</v>
      </c>
      <c r="I368" s="263" t="s">
        <v>359</v>
      </c>
      <c r="J368" s="264" t="s">
        <v>1018</v>
      </c>
      <c r="K368" s="5" t="s">
        <v>999</v>
      </c>
      <c r="L368" s="5"/>
      <c r="M368" s="5" t="s">
        <v>445</v>
      </c>
      <c r="N368" s="5"/>
      <c r="O368" s="5"/>
      <c r="P368" s="405">
        <v>3</v>
      </c>
      <c r="Q368" s="110"/>
      <c r="R368" s="110"/>
      <c r="S368" s="110"/>
      <c r="T368" s="110"/>
      <c r="U368" s="110"/>
      <c r="V368" s="121">
        <f t="shared" si="6"/>
        <v>3</v>
      </c>
      <c r="W368" s="40"/>
      <c r="X368" s="40" t="s">
        <v>358</v>
      </c>
      <c r="Y368" s="40"/>
      <c r="Z368" s="40"/>
      <c r="AA368" s="40"/>
      <c r="AB368" s="40"/>
      <c r="AC368" s="40"/>
      <c r="AD368" s="40"/>
      <c r="AE368" s="40"/>
      <c r="AF368" s="40"/>
      <c r="AG368" s="40"/>
      <c r="AH368" s="40"/>
      <c r="AI368" s="40"/>
      <c r="AJ368" s="40"/>
      <c r="AK368" s="40"/>
      <c r="AL368" s="40"/>
      <c r="AM368" s="40"/>
      <c r="AN368" s="40"/>
      <c r="AO368" s="40"/>
      <c r="AP368" s="40"/>
      <c r="AQ368" s="40"/>
      <c r="AR368" s="40"/>
      <c r="AS368" s="40"/>
      <c r="AT368" s="40"/>
      <c r="AU368" s="40"/>
      <c r="AV368" s="40"/>
      <c r="AW368" s="40"/>
      <c r="AX368" s="40"/>
      <c r="AY368" s="40"/>
      <c r="AZ368" s="40"/>
      <c r="BA368" s="5"/>
    </row>
    <row r="369" spans="1:53" ht="15" thickBot="1" x14ac:dyDescent="0.4">
      <c r="A369" s="30" t="s">
        <v>358</v>
      </c>
      <c r="B369" s="30" t="s">
        <v>359</v>
      </c>
      <c r="C369" s="30" t="s">
        <v>359</v>
      </c>
      <c r="D369" s="30" t="s">
        <v>359</v>
      </c>
      <c r="E369" s="30" t="s">
        <v>359</v>
      </c>
      <c r="F369" s="30" t="s">
        <v>359</v>
      </c>
      <c r="G369" s="30" t="s">
        <v>359</v>
      </c>
      <c r="H369" s="30" t="s">
        <v>359</v>
      </c>
      <c r="I369" s="263" t="s">
        <v>359</v>
      </c>
      <c r="J369" s="264" t="s">
        <v>1018</v>
      </c>
      <c r="K369" s="5" t="s">
        <v>1000</v>
      </c>
      <c r="L369" s="5"/>
      <c r="M369" s="5" t="s">
        <v>445</v>
      </c>
      <c r="N369" s="5"/>
      <c r="O369" s="5"/>
      <c r="P369" s="405">
        <v>6.0000000000000001E-3</v>
      </c>
      <c r="Q369" s="110"/>
      <c r="R369" s="110"/>
      <c r="S369" s="110"/>
      <c r="T369" s="110"/>
      <c r="U369" s="110"/>
      <c r="V369" s="121">
        <f t="shared" si="6"/>
        <v>6.0000000000000001E-3</v>
      </c>
      <c r="W369" s="40"/>
      <c r="X369" s="40" t="s">
        <v>358</v>
      </c>
      <c r="Y369" s="40"/>
      <c r="Z369" s="40"/>
      <c r="AA369" s="40"/>
      <c r="AB369" s="40"/>
      <c r="AC369" s="40"/>
      <c r="AD369" s="40"/>
      <c r="AE369" s="40"/>
      <c r="AF369" s="40"/>
      <c r="AG369" s="40"/>
      <c r="AH369" s="40"/>
      <c r="AI369" s="40"/>
      <c r="AJ369" s="40"/>
      <c r="AK369" s="40"/>
      <c r="AL369" s="40"/>
      <c r="AM369" s="40"/>
      <c r="AN369" s="40"/>
      <c r="AO369" s="40"/>
      <c r="AP369" s="40"/>
      <c r="AQ369" s="40"/>
      <c r="AR369" s="40"/>
      <c r="AS369" s="40"/>
      <c r="AT369" s="40"/>
      <c r="AU369" s="40"/>
      <c r="AV369" s="40"/>
      <c r="AW369" s="40"/>
      <c r="AX369" s="40"/>
      <c r="AY369" s="40"/>
      <c r="AZ369" s="40"/>
      <c r="BA369" s="5"/>
    </row>
    <row r="370" spans="1:53" ht="15" thickBot="1" x14ac:dyDescent="0.4">
      <c r="A370" s="30" t="s">
        <v>358</v>
      </c>
      <c r="B370" s="30" t="s">
        <v>359</v>
      </c>
      <c r="C370" s="30" t="s">
        <v>359</v>
      </c>
      <c r="D370" s="30" t="s">
        <v>359</v>
      </c>
      <c r="E370" s="30" t="s">
        <v>359</v>
      </c>
      <c r="F370" s="30" t="s">
        <v>359</v>
      </c>
      <c r="G370" s="30" t="s">
        <v>359</v>
      </c>
      <c r="H370" s="30" t="s">
        <v>359</v>
      </c>
      <c r="I370" s="263" t="s">
        <v>359</v>
      </c>
      <c r="J370" s="264" t="s">
        <v>1018</v>
      </c>
      <c r="K370" s="5" t="s">
        <v>1001</v>
      </c>
      <c r="L370" s="5"/>
      <c r="M370" s="5" t="s">
        <v>445</v>
      </c>
      <c r="N370" s="5"/>
      <c r="O370" s="5"/>
      <c r="P370" s="405">
        <v>5</v>
      </c>
      <c r="Q370" s="110"/>
      <c r="R370" s="110"/>
      <c r="S370" s="110"/>
      <c r="T370" s="110"/>
      <c r="U370" s="110"/>
      <c r="V370" s="121">
        <f t="shared" si="6"/>
        <v>5</v>
      </c>
      <c r="W370" s="40"/>
      <c r="X370" s="40" t="s">
        <v>358</v>
      </c>
      <c r="Y370" s="40"/>
      <c r="Z370" s="40"/>
      <c r="AA370" s="40"/>
      <c r="AB370" s="40"/>
      <c r="AC370" s="40"/>
      <c r="AD370" s="40"/>
      <c r="AE370" s="40"/>
      <c r="AF370" s="40"/>
      <c r="AG370" s="40"/>
      <c r="AH370" s="40"/>
      <c r="AI370" s="40"/>
      <c r="AJ370" s="40"/>
      <c r="AK370" s="40"/>
      <c r="AL370" s="40"/>
      <c r="AM370" s="40"/>
      <c r="AN370" s="40"/>
      <c r="AO370" s="40"/>
      <c r="AP370" s="40"/>
      <c r="AQ370" s="40"/>
      <c r="AR370" s="40"/>
      <c r="AS370" s="40"/>
      <c r="AT370" s="40"/>
      <c r="AU370" s="40"/>
      <c r="AV370" s="40"/>
      <c r="AW370" s="40"/>
      <c r="AX370" s="40"/>
      <c r="AY370" s="40"/>
      <c r="AZ370" s="40"/>
      <c r="BA370" s="5"/>
    </row>
    <row r="371" spans="1:53" ht="15" thickBot="1" x14ac:dyDescent="0.4">
      <c r="A371" s="30" t="s">
        <v>358</v>
      </c>
      <c r="B371" s="30" t="s">
        <v>359</v>
      </c>
      <c r="C371" s="30" t="s">
        <v>359</v>
      </c>
      <c r="D371" s="30" t="s">
        <v>359</v>
      </c>
      <c r="E371" s="30" t="s">
        <v>359</v>
      </c>
      <c r="F371" s="30" t="s">
        <v>359</v>
      </c>
      <c r="G371" s="30" t="s">
        <v>359</v>
      </c>
      <c r="H371" s="30" t="s">
        <v>359</v>
      </c>
      <c r="I371" s="263" t="s">
        <v>359</v>
      </c>
      <c r="J371" s="264" t="s">
        <v>1018</v>
      </c>
      <c r="K371" s="5" t="s">
        <v>1002</v>
      </c>
      <c r="L371" s="5"/>
      <c r="M371" s="5" t="s">
        <v>445</v>
      </c>
      <c r="N371" s="5"/>
      <c r="O371" s="5"/>
      <c r="P371" s="405">
        <v>5</v>
      </c>
      <c r="Q371" s="110"/>
      <c r="R371" s="110"/>
      <c r="S371" s="110"/>
      <c r="T371" s="110"/>
      <c r="U371" s="110"/>
      <c r="V371" s="121">
        <f t="shared" si="6"/>
        <v>5</v>
      </c>
      <c r="W371" s="40"/>
      <c r="X371" s="40" t="s">
        <v>358</v>
      </c>
      <c r="Y371" s="40"/>
      <c r="Z371" s="40"/>
      <c r="AA371" s="40"/>
      <c r="AB371" s="40"/>
      <c r="AC371" s="40"/>
      <c r="AD371" s="40"/>
      <c r="AE371" s="40"/>
      <c r="AF371" s="40"/>
      <c r="AG371" s="40"/>
      <c r="AH371" s="40"/>
      <c r="AI371" s="40"/>
      <c r="AJ371" s="40"/>
      <c r="AK371" s="40"/>
      <c r="AL371" s="40"/>
      <c r="AM371" s="40"/>
      <c r="AN371" s="40"/>
      <c r="AO371" s="40"/>
      <c r="AP371" s="40"/>
      <c r="AQ371" s="40"/>
      <c r="AR371" s="40"/>
      <c r="AS371" s="40"/>
      <c r="AT371" s="40"/>
      <c r="AU371" s="40"/>
      <c r="AV371" s="40"/>
      <c r="AW371" s="40"/>
      <c r="AX371" s="40"/>
      <c r="AY371" s="40"/>
      <c r="AZ371" s="40"/>
      <c r="BA371" s="5"/>
    </row>
    <row r="372" spans="1:53" ht="15" thickBot="1" x14ac:dyDescent="0.4">
      <c r="A372" s="30" t="s">
        <v>358</v>
      </c>
      <c r="B372" s="30" t="s">
        <v>359</v>
      </c>
      <c r="C372" s="30" t="s">
        <v>359</v>
      </c>
      <c r="D372" s="30" t="s">
        <v>359</v>
      </c>
      <c r="E372" s="30" t="s">
        <v>359</v>
      </c>
      <c r="F372" s="30" t="s">
        <v>359</v>
      </c>
      <c r="G372" s="30" t="s">
        <v>359</v>
      </c>
      <c r="H372" s="30" t="s">
        <v>359</v>
      </c>
      <c r="I372" s="263" t="s">
        <v>359</v>
      </c>
      <c r="J372" s="264" t="s">
        <v>1018</v>
      </c>
      <c r="K372" s="5" t="s">
        <v>1003</v>
      </c>
      <c r="L372" s="5"/>
      <c r="M372" s="5" t="s">
        <v>445</v>
      </c>
      <c r="N372" s="5"/>
      <c r="O372" s="5"/>
      <c r="P372" s="405">
        <v>0.437</v>
      </c>
      <c r="Q372" s="110"/>
      <c r="R372" s="110"/>
      <c r="S372" s="110"/>
      <c r="T372" s="110"/>
      <c r="U372" s="110"/>
      <c r="V372" s="121">
        <f t="shared" si="6"/>
        <v>0.437</v>
      </c>
      <c r="W372" s="40"/>
      <c r="X372" s="40" t="s">
        <v>358</v>
      </c>
      <c r="Y372" s="40"/>
      <c r="Z372" s="40"/>
      <c r="AA372" s="40"/>
      <c r="AB372" s="40"/>
      <c r="AC372" s="40"/>
      <c r="AD372" s="40"/>
      <c r="AE372" s="40"/>
      <c r="AF372" s="40"/>
      <c r="AG372" s="40"/>
      <c r="AH372" s="40"/>
      <c r="AI372" s="40"/>
      <c r="AJ372" s="40"/>
      <c r="AK372" s="40"/>
      <c r="AL372" s="40"/>
      <c r="AM372" s="40"/>
      <c r="AN372" s="40"/>
      <c r="AO372" s="40"/>
      <c r="AP372" s="40"/>
      <c r="AQ372" s="40"/>
      <c r="AR372" s="40"/>
      <c r="AS372" s="40"/>
      <c r="AT372" s="40"/>
      <c r="AU372" s="40"/>
      <c r="AV372" s="40"/>
      <c r="AW372" s="40"/>
      <c r="AX372" s="40"/>
      <c r="AY372" s="40"/>
      <c r="AZ372" s="40"/>
      <c r="BA372" s="5"/>
    </row>
    <row r="373" spans="1:53" ht="15" thickBot="1" x14ac:dyDescent="0.4">
      <c r="A373" s="30" t="s">
        <v>358</v>
      </c>
      <c r="B373" s="30" t="s">
        <v>359</v>
      </c>
      <c r="C373" s="30" t="s">
        <v>359</v>
      </c>
      <c r="D373" s="30" t="s">
        <v>359</v>
      </c>
      <c r="E373" s="30" t="s">
        <v>359</v>
      </c>
      <c r="F373" s="30" t="s">
        <v>359</v>
      </c>
      <c r="G373" s="30" t="s">
        <v>359</v>
      </c>
      <c r="H373" s="30" t="s">
        <v>359</v>
      </c>
      <c r="I373" s="263" t="s">
        <v>359</v>
      </c>
      <c r="J373" s="264" t="s">
        <v>1018</v>
      </c>
      <c r="K373" s="5" t="s">
        <v>1004</v>
      </c>
      <c r="L373" s="5"/>
      <c r="M373" s="5" t="s">
        <v>445</v>
      </c>
      <c r="N373" s="5"/>
      <c r="O373" s="5"/>
      <c r="P373" s="405">
        <v>2</v>
      </c>
      <c r="Q373" s="110"/>
      <c r="R373" s="110"/>
      <c r="S373" s="110"/>
      <c r="T373" s="110"/>
      <c r="U373" s="110"/>
      <c r="V373" s="121">
        <f t="shared" ref="V373" si="7">ROUND(SUM(P373:U373),3)</f>
        <v>2</v>
      </c>
      <c r="W373" s="40"/>
      <c r="X373" s="40" t="s">
        <v>358</v>
      </c>
      <c r="Y373" s="40"/>
      <c r="Z373" s="40"/>
      <c r="AA373" s="40"/>
      <c r="AB373" s="40"/>
      <c r="AC373" s="40"/>
      <c r="AD373" s="40"/>
      <c r="AE373" s="40"/>
      <c r="AF373" s="40"/>
      <c r="AG373" s="40"/>
      <c r="AH373" s="40"/>
      <c r="AI373" s="40"/>
      <c r="AJ373" s="40"/>
      <c r="AK373" s="40"/>
      <c r="AL373" s="40"/>
      <c r="AM373" s="40"/>
      <c r="AN373" s="40"/>
      <c r="AO373" s="40"/>
      <c r="AP373" s="40"/>
      <c r="AQ373" s="40"/>
      <c r="AR373" s="40"/>
      <c r="AS373" s="40"/>
      <c r="AT373" s="40"/>
      <c r="AU373" s="40"/>
      <c r="AV373" s="40"/>
      <c r="AW373" s="40"/>
      <c r="AX373" s="40"/>
      <c r="AY373" s="40"/>
      <c r="AZ373" s="40"/>
      <c r="BA373" s="5"/>
    </row>
    <row r="374" spans="1:53" ht="26.5" thickBot="1" x14ac:dyDescent="0.4">
      <c r="A374" s="30" t="s">
        <v>358</v>
      </c>
      <c r="B374" s="30" t="s">
        <v>359</v>
      </c>
      <c r="C374" s="30" t="s">
        <v>359</v>
      </c>
      <c r="D374" s="30" t="s">
        <v>359</v>
      </c>
      <c r="E374" s="30" t="s">
        <v>359</v>
      </c>
      <c r="F374" s="30" t="s">
        <v>359</v>
      </c>
      <c r="G374" s="30" t="s">
        <v>359</v>
      </c>
      <c r="H374" s="30" t="s">
        <v>359</v>
      </c>
      <c r="I374" s="263" t="s">
        <v>359</v>
      </c>
      <c r="J374" s="264" t="s">
        <v>1018</v>
      </c>
      <c r="K374" s="5" t="s">
        <v>1030</v>
      </c>
      <c r="L374" s="5"/>
      <c r="M374" s="5" t="s">
        <v>445</v>
      </c>
      <c r="N374" s="5"/>
      <c r="O374" s="5"/>
      <c r="P374" s="405">
        <v>1</v>
      </c>
      <c r="Q374" s="110"/>
      <c r="R374" s="110"/>
      <c r="S374" s="110"/>
      <c r="T374" s="110"/>
      <c r="U374" s="110"/>
      <c r="V374" s="121">
        <f t="shared" ref="V374:V375" si="8">ROUND(SUM(P374:U374),3)</f>
        <v>1</v>
      </c>
      <c r="W374" s="40"/>
      <c r="X374" s="40" t="s">
        <v>358</v>
      </c>
      <c r="Y374" s="40"/>
      <c r="Z374" s="40"/>
      <c r="AA374" s="40"/>
      <c r="AB374" s="40"/>
      <c r="AC374" s="40"/>
      <c r="AD374" s="40"/>
      <c r="AE374" s="40"/>
      <c r="AF374" s="40"/>
      <c r="AG374" s="40"/>
      <c r="AH374" s="40"/>
      <c r="AI374" s="40"/>
      <c r="AJ374" s="40"/>
      <c r="AK374" s="40"/>
      <c r="AL374" s="40"/>
      <c r="AM374" s="40"/>
      <c r="AN374" s="40"/>
      <c r="AO374" s="40"/>
      <c r="AP374" s="40"/>
      <c r="AQ374" s="40"/>
      <c r="AR374" s="40"/>
      <c r="AS374" s="40"/>
      <c r="AT374" s="40"/>
      <c r="AU374" s="40"/>
      <c r="AV374" s="40"/>
      <c r="AW374" s="40"/>
      <c r="AX374" s="40"/>
      <c r="AY374" s="40"/>
      <c r="AZ374" s="40"/>
      <c r="BA374" s="5" t="s">
        <v>1032</v>
      </c>
    </row>
    <row r="375" spans="1:53" ht="26.5" thickBot="1" x14ac:dyDescent="0.4">
      <c r="A375" s="30" t="s">
        <v>358</v>
      </c>
      <c r="B375" s="30" t="s">
        <v>359</v>
      </c>
      <c r="C375" s="30" t="s">
        <v>359</v>
      </c>
      <c r="D375" s="30" t="s">
        <v>359</v>
      </c>
      <c r="E375" s="30" t="s">
        <v>359</v>
      </c>
      <c r="F375" s="30" t="s">
        <v>359</v>
      </c>
      <c r="G375" s="30" t="s">
        <v>359</v>
      </c>
      <c r="H375" s="30" t="s">
        <v>359</v>
      </c>
      <c r="I375" s="263" t="s">
        <v>359</v>
      </c>
      <c r="J375" s="264" t="s">
        <v>1018</v>
      </c>
      <c r="K375" s="5" t="s">
        <v>1031</v>
      </c>
      <c r="L375" s="5"/>
      <c r="M375" s="5" t="s">
        <v>445</v>
      </c>
      <c r="N375" s="5"/>
      <c r="O375" s="5"/>
      <c r="P375" s="405">
        <v>1</v>
      </c>
      <c r="Q375" s="110"/>
      <c r="R375" s="110"/>
      <c r="S375" s="110"/>
      <c r="T375" s="110"/>
      <c r="U375" s="110"/>
      <c r="V375" s="121">
        <f t="shared" si="8"/>
        <v>1</v>
      </c>
      <c r="W375" s="40"/>
      <c r="X375" s="40" t="s">
        <v>358</v>
      </c>
      <c r="Y375" s="40"/>
      <c r="Z375" s="40"/>
      <c r="AA375" s="40"/>
      <c r="AB375" s="40"/>
      <c r="AC375" s="40"/>
      <c r="AD375" s="40"/>
      <c r="AE375" s="40"/>
      <c r="AF375" s="40"/>
      <c r="AG375" s="40"/>
      <c r="AH375" s="40"/>
      <c r="AI375" s="40"/>
      <c r="AJ375" s="40"/>
      <c r="AK375" s="40"/>
      <c r="AL375" s="40"/>
      <c r="AM375" s="40"/>
      <c r="AN375" s="40"/>
      <c r="AO375" s="40"/>
      <c r="AP375" s="40"/>
      <c r="AQ375" s="40"/>
      <c r="AR375" s="40"/>
      <c r="AS375" s="40"/>
      <c r="AT375" s="40"/>
      <c r="AU375" s="40"/>
      <c r="AV375" s="40"/>
      <c r="AW375" s="40"/>
      <c r="AX375" s="40"/>
      <c r="AY375" s="40"/>
      <c r="AZ375" s="40"/>
      <c r="BA375" s="5" t="s">
        <v>1032</v>
      </c>
    </row>
    <row r="376" spans="1:53" ht="15" thickBot="1" x14ac:dyDescent="0.4">
      <c r="A376" s="30" t="s">
        <v>358</v>
      </c>
      <c r="B376" s="30" t="s">
        <v>359</v>
      </c>
      <c r="C376" s="30" t="s">
        <v>359</v>
      </c>
      <c r="D376" s="30" t="s">
        <v>359</v>
      </c>
      <c r="E376" s="30" t="s">
        <v>359</v>
      </c>
      <c r="F376" s="30" t="s">
        <v>359</v>
      </c>
      <c r="G376" s="30" t="s">
        <v>359</v>
      </c>
      <c r="H376" s="30" t="s">
        <v>359</v>
      </c>
      <c r="I376" s="263" t="s">
        <v>359</v>
      </c>
      <c r="J376" s="264" t="s">
        <v>1137</v>
      </c>
      <c r="K376" s="5" t="s">
        <v>1011</v>
      </c>
      <c r="L376" s="5"/>
      <c r="M376" s="5" t="s">
        <v>1139</v>
      </c>
      <c r="N376" s="5"/>
      <c r="O376" s="5"/>
      <c r="P376" s="405">
        <v>0.55900000000000005</v>
      </c>
      <c r="Q376" s="110"/>
      <c r="R376" s="110"/>
      <c r="S376" s="110"/>
      <c r="T376" s="110"/>
      <c r="U376" s="110"/>
      <c r="V376" s="121">
        <f t="shared" si="6"/>
        <v>0.55900000000000005</v>
      </c>
      <c r="W376" s="40"/>
      <c r="X376" s="40"/>
      <c r="Y376" s="40"/>
      <c r="Z376" s="40"/>
      <c r="AA376" s="40"/>
      <c r="AB376" s="40"/>
      <c r="AC376" s="40"/>
      <c r="AD376" s="40"/>
      <c r="AE376" s="40"/>
      <c r="AF376" s="40"/>
      <c r="AG376" s="40"/>
      <c r="AH376" s="40"/>
      <c r="AI376" s="40"/>
      <c r="AJ376" s="40"/>
      <c r="AK376" s="40"/>
      <c r="AL376" s="40"/>
      <c r="AM376" s="40"/>
      <c r="AN376" s="40"/>
      <c r="AO376" s="40"/>
      <c r="AP376" s="40"/>
      <c r="AQ376" s="40"/>
      <c r="AR376" s="40"/>
      <c r="AS376" s="40"/>
      <c r="AT376" s="40"/>
      <c r="AU376" s="40"/>
      <c r="AV376" s="40"/>
      <c r="AW376" s="40"/>
      <c r="AX376" s="40"/>
      <c r="AY376" s="40"/>
      <c r="AZ376" s="40" t="s">
        <v>358</v>
      </c>
      <c r="BA376" s="5"/>
    </row>
    <row r="377" spans="1:53" ht="15" thickBot="1" x14ac:dyDescent="0.4">
      <c r="A377" s="30" t="s">
        <v>358</v>
      </c>
      <c r="B377" s="30" t="s">
        <v>359</v>
      </c>
      <c r="C377" s="30" t="s">
        <v>359</v>
      </c>
      <c r="D377" s="30" t="s">
        <v>359</v>
      </c>
      <c r="E377" s="30" t="s">
        <v>359</v>
      </c>
      <c r="F377" s="30" t="s">
        <v>359</v>
      </c>
      <c r="G377" s="30" t="s">
        <v>359</v>
      </c>
      <c r="H377" s="30" t="s">
        <v>359</v>
      </c>
      <c r="I377" s="263" t="s">
        <v>359</v>
      </c>
      <c r="J377" s="264" t="s">
        <v>1137</v>
      </c>
      <c r="K377" s="5" t="s">
        <v>1138</v>
      </c>
      <c r="L377" s="5"/>
      <c r="M377" s="5" t="s">
        <v>1139</v>
      </c>
      <c r="N377" s="5"/>
      <c r="O377" s="5"/>
      <c r="P377" s="405">
        <v>0.27800000000000002</v>
      </c>
      <c r="Q377" s="110"/>
      <c r="R377" s="110"/>
      <c r="S377" s="110"/>
      <c r="T377" s="110"/>
      <c r="U377" s="110"/>
      <c r="V377" s="121">
        <f t="shared" si="6"/>
        <v>0.27800000000000002</v>
      </c>
      <c r="W377" s="40"/>
      <c r="X377" s="40"/>
      <c r="Y377" s="40"/>
      <c r="Z377" s="40"/>
      <c r="AA377" s="40"/>
      <c r="AB377" s="40"/>
      <c r="AC377" s="40"/>
      <c r="AD377" s="40"/>
      <c r="AE377" s="40"/>
      <c r="AF377" s="40"/>
      <c r="AG377" s="40"/>
      <c r="AH377" s="40"/>
      <c r="AI377" s="40"/>
      <c r="AJ377" s="40"/>
      <c r="AK377" s="40"/>
      <c r="AL377" s="40"/>
      <c r="AM377" s="40"/>
      <c r="AN377" s="40"/>
      <c r="AO377" s="40"/>
      <c r="AP377" s="40"/>
      <c r="AQ377" s="40"/>
      <c r="AR377" s="40"/>
      <c r="AS377" s="40"/>
      <c r="AT377" s="40"/>
      <c r="AU377" s="40"/>
      <c r="AV377" s="40"/>
      <c r="AW377" s="40"/>
      <c r="AX377" s="40"/>
      <c r="AY377" s="40"/>
      <c r="AZ377" s="40" t="s">
        <v>358</v>
      </c>
      <c r="BA377" s="5"/>
    </row>
    <row r="378" spans="1:53" ht="39.5" thickBot="1" x14ac:dyDescent="0.4">
      <c r="A378" s="30" t="s">
        <v>358</v>
      </c>
      <c r="B378" s="30" t="s">
        <v>359</v>
      </c>
      <c r="C378" s="30" t="s">
        <v>359</v>
      </c>
      <c r="D378" s="30" t="s">
        <v>359</v>
      </c>
      <c r="E378" s="30" t="s">
        <v>359</v>
      </c>
      <c r="F378" s="30" t="s">
        <v>359</v>
      </c>
      <c r="G378" s="30" t="s">
        <v>359</v>
      </c>
      <c r="H378" s="30" t="s">
        <v>359</v>
      </c>
      <c r="I378" s="263" t="s">
        <v>359</v>
      </c>
      <c r="J378" s="264" t="s">
        <v>1137</v>
      </c>
      <c r="K378" s="5" t="s">
        <v>1226</v>
      </c>
      <c r="L378" s="5"/>
      <c r="M378" s="5" t="s">
        <v>1139</v>
      </c>
      <c r="N378" s="5"/>
      <c r="O378" s="5"/>
      <c r="P378" s="408">
        <f>0.278/117.7</f>
        <v>2.3619371282922685E-3</v>
      </c>
      <c r="Q378" s="110"/>
      <c r="R378" s="110"/>
      <c r="S378" s="110"/>
      <c r="T378" s="110"/>
      <c r="U378" s="110"/>
      <c r="V378" s="121">
        <f t="shared" ref="V378" si="9">ROUND(SUM(P378:U378),3)</f>
        <v>2E-3</v>
      </c>
      <c r="W378" s="40"/>
      <c r="X378" s="40"/>
      <c r="Y378" s="40"/>
      <c r="Z378" s="40"/>
      <c r="AA378" s="40"/>
      <c r="AB378" s="40"/>
      <c r="AC378" s="40"/>
      <c r="AD378" s="40"/>
      <c r="AE378" s="40"/>
      <c r="AF378" s="40"/>
      <c r="AG378" s="40"/>
      <c r="AH378" s="40"/>
      <c r="AI378" s="40"/>
      <c r="AJ378" s="40"/>
      <c r="AK378" s="40"/>
      <c r="AL378" s="40"/>
      <c r="AM378" s="40"/>
      <c r="AN378" s="40"/>
      <c r="AO378" s="40"/>
      <c r="AP378" s="40"/>
      <c r="AQ378" s="40"/>
      <c r="AR378" s="40"/>
      <c r="AS378" s="40"/>
      <c r="AT378" s="40"/>
      <c r="AU378" s="40"/>
      <c r="AV378" s="40"/>
      <c r="AW378" s="40"/>
      <c r="AX378" s="40"/>
      <c r="AY378" s="40"/>
      <c r="AZ378" s="40" t="s">
        <v>358</v>
      </c>
      <c r="BA378" s="5" t="s">
        <v>1227</v>
      </c>
    </row>
    <row r="379" spans="1:53" ht="15" thickBot="1" x14ac:dyDescent="0.4">
      <c r="A379" s="30" t="s">
        <v>358</v>
      </c>
      <c r="B379" s="30" t="s">
        <v>359</v>
      </c>
      <c r="C379" s="30" t="s">
        <v>359</v>
      </c>
      <c r="D379" s="30" t="s">
        <v>359</v>
      </c>
      <c r="E379" s="30" t="s">
        <v>359</v>
      </c>
      <c r="F379" s="30" t="s">
        <v>359</v>
      </c>
      <c r="G379" s="30" t="s">
        <v>359</v>
      </c>
      <c r="H379" s="30" t="s">
        <v>359</v>
      </c>
      <c r="I379" s="263" t="s">
        <v>359</v>
      </c>
      <c r="J379" s="264" t="s">
        <v>1137</v>
      </c>
      <c r="K379" s="5" t="s">
        <v>1013</v>
      </c>
      <c r="L379" s="5"/>
      <c r="M379" s="5" t="s">
        <v>1139</v>
      </c>
      <c r="N379" s="5"/>
      <c r="O379" s="5"/>
      <c r="P379" s="405">
        <v>762.96</v>
      </c>
      <c r="Q379" s="110"/>
      <c r="R379" s="110"/>
      <c r="S379" s="110"/>
      <c r="T379" s="110"/>
      <c r="U379" s="110"/>
      <c r="V379" s="121">
        <f t="shared" ref="V379:V381" si="10">ROUND(SUM(P379:U379),3)</f>
        <v>762.96</v>
      </c>
      <c r="W379" s="40"/>
      <c r="X379" s="40"/>
      <c r="Y379" s="40"/>
      <c r="Z379" s="40"/>
      <c r="AA379" s="40"/>
      <c r="AB379" s="40"/>
      <c r="AC379" s="40"/>
      <c r="AD379" s="40"/>
      <c r="AE379" s="40"/>
      <c r="AF379" s="40"/>
      <c r="AG379" s="40"/>
      <c r="AH379" s="40"/>
      <c r="AI379" s="40"/>
      <c r="AJ379" s="40"/>
      <c r="AK379" s="40"/>
      <c r="AL379" s="40"/>
      <c r="AM379" s="40"/>
      <c r="AN379" s="40"/>
      <c r="AO379" s="40"/>
      <c r="AP379" s="40"/>
      <c r="AQ379" s="40"/>
      <c r="AR379" s="40"/>
      <c r="AS379" s="40"/>
      <c r="AT379" s="40"/>
      <c r="AU379" s="40"/>
      <c r="AV379" s="40"/>
      <c r="AW379" s="40"/>
      <c r="AX379" s="40"/>
      <c r="AY379" s="40"/>
      <c r="AZ379" s="40" t="s">
        <v>358</v>
      </c>
      <c r="BA379" s="5"/>
    </row>
    <row r="380" spans="1:53" ht="15" thickBot="1" x14ac:dyDescent="0.4">
      <c r="A380" s="30" t="s">
        <v>358</v>
      </c>
      <c r="B380" s="30" t="s">
        <v>359</v>
      </c>
      <c r="C380" s="30" t="s">
        <v>359</v>
      </c>
      <c r="D380" s="30" t="s">
        <v>359</v>
      </c>
      <c r="E380" s="30" t="s">
        <v>359</v>
      </c>
      <c r="F380" s="30" t="s">
        <v>359</v>
      </c>
      <c r="G380" s="30" t="s">
        <v>359</v>
      </c>
      <c r="H380" s="30" t="s">
        <v>359</v>
      </c>
      <c r="I380" s="263" t="s">
        <v>359</v>
      </c>
      <c r="J380" s="264" t="s">
        <v>1137</v>
      </c>
      <c r="K380" s="5" t="s">
        <v>1014</v>
      </c>
      <c r="L380" s="5"/>
      <c r="M380" s="5" t="s">
        <v>1139</v>
      </c>
      <c r="N380" s="5"/>
      <c r="O380" s="5"/>
      <c r="P380" s="405">
        <v>3721.1</v>
      </c>
      <c r="Q380" s="110"/>
      <c r="R380" s="110"/>
      <c r="S380" s="110"/>
      <c r="T380" s="110"/>
      <c r="U380" s="110"/>
      <c r="V380" s="121">
        <f t="shared" si="10"/>
        <v>3721.1</v>
      </c>
      <c r="W380" s="40"/>
      <c r="X380" s="40"/>
      <c r="Y380" s="40"/>
      <c r="Z380" s="40"/>
      <c r="AA380" s="40"/>
      <c r="AB380" s="40"/>
      <c r="AC380" s="40"/>
      <c r="AD380" s="40"/>
      <c r="AE380" s="40"/>
      <c r="AF380" s="40"/>
      <c r="AG380" s="40"/>
      <c r="AH380" s="40"/>
      <c r="AI380" s="40"/>
      <c r="AJ380" s="40"/>
      <c r="AK380" s="40"/>
      <c r="AL380" s="40"/>
      <c r="AM380" s="40"/>
      <c r="AN380" s="40"/>
      <c r="AO380" s="40"/>
      <c r="AP380" s="40"/>
      <c r="AQ380" s="40"/>
      <c r="AR380" s="40"/>
      <c r="AS380" s="40"/>
      <c r="AT380" s="40"/>
      <c r="AU380" s="40"/>
      <c r="AV380" s="40"/>
      <c r="AW380" s="40"/>
      <c r="AX380" s="40"/>
      <c r="AY380" s="40"/>
      <c r="AZ380" s="40" t="s">
        <v>358</v>
      </c>
      <c r="BA380" s="5"/>
    </row>
    <row r="381" spans="1:53" ht="15" thickBot="1" x14ac:dyDescent="0.4">
      <c r="A381" s="30" t="s">
        <v>358</v>
      </c>
      <c r="B381" s="30" t="s">
        <v>359</v>
      </c>
      <c r="C381" s="30" t="s">
        <v>359</v>
      </c>
      <c r="D381" s="30" t="s">
        <v>359</v>
      </c>
      <c r="E381" s="30" t="s">
        <v>359</v>
      </c>
      <c r="F381" s="30" t="s">
        <v>359</v>
      </c>
      <c r="G381" s="30" t="s">
        <v>359</v>
      </c>
      <c r="H381" s="30" t="s">
        <v>359</v>
      </c>
      <c r="I381" s="263" t="s">
        <v>359</v>
      </c>
      <c r="J381" s="264" t="s">
        <v>1137</v>
      </c>
      <c r="K381" s="5" t="s">
        <v>1015</v>
      </c>
      <c r="L381" s="5"/>
      <c r="M381" s="5" t="s">
        <v>1139</v>
      </c>
      <c r="N381" s="5"/>
      <c r="O381" s="5"/>
      <c r="P381" s="405">
        <v>197.86</v>
      </c>
      <c r="Q381" s="110"/>
      <c r="R381" s="110"/>
      <c r="S381" s="110"/>
      <c r="T381" s="110"/>
      <c r="U381" s="110"/>
      <c r="V381" s="121">
        <f t="shared" si="10"/>
        <v>197.86</v>
      </c>
      <c r="W381" s="40"/>
      <c r="X381" s="40"/>
      <c r="Y381" s="40"/>
      <c r="Z381" s="40"/>
      <c r="AA381" s="40"/>
      <c r="AB381" s="40"/>
      <c r="AC381" s="40"/>
      <c r="AD381" s="40"/>
      <c r="AE381" s="40"/>
      <c r="AF381" s="40"/>
      <c r="AG381" s="40"/>
      <c r="AH381" s="40"/>
      <c r="AI381" s="40"/>
      <c r="AJ381" s="40"/>
      <c r="AK381" s="40"/>
      <c r="AL381" s="40"/>
      <c r="AM381" s="40"/>
      <c r="AN381" s="40"/>
      <c r="AO381" s="40"/>
      <c r="AP381" s="40"/>
      <c r="AQ381" s="40"/>
      <c r="AR381" s="40"/>
      <c r="AS381" s="40"/>
      <c r="AT381" s="40"/>
      <c r="AU381" s="40"/>
      <c r="AV381" s="40"/>
      <c r="AW381" s="40"/>
      <c r="AX381" s="40"/>
      <c r="AY381" s="40"/>
      <c r="AZ381" s="40" t="s">
        <v>358</v>
      </c>
      <c r="BA381" s="5"/>
    </row>
  </sheetData>
  <sheetProtection algorithmName="SHA-512" hashValue="REFnWASkmItpCuX9ACemgTBUcy66vpKX2SxRYt8QnIuT77l8S8N63cCZl1Hc/AkbecVmIn7QmoUlKo5HyGhXZQ==" saltValue="RXmiZzk+rkiMXkt+jlEGWg==" spinCount="100000" sheet="1" objects="1" scenarios="1"/>
  <mergeCells count="2">
    <mergeCell ref="W1:AU1"/>
    <mergeCell ref="AV1:AX1"/>
  </mergeCells>
  <phoneticPr fontId="20" type="noConversion"/>
  <conditionalFormatting sqref="A3:I381">
    <cfRule type="containsText" dxfId="10" priority="9" operator="containsText" text="N">
      <formula>NOT(ISERROR(SEARCH("N",A3)))</formula>
    </cfRule>
    <cfRule type="containsText" dxfId="9" priority="10" operator="containsText" text="Y">
      <formula>NOT(ISERROR(SEARCH("Y",A3)))</formula>
    </cfRule>
  </conditionalFormatting>
  <conditionalFormatting sqref="W110:AH213">
    <cfRule type="containsText" dxfId="8" priority="16" operator="containsText" text="Y">
      <formula>NOT(ISERROR(SEARCH("Y",W110)))</formula>
    </cfRule>
    <cfRule type="containsBlanks" dxfId="7" priority="17">
      <formula>LEN(TRIM(W110))=0</formula>
    </cfRule>
  </conditionalFormatting>
  <conditionalFormatting sqref="W3:AZ108 W109:AI109 AJ109:AZ261 AI110:AI318 Y214:AH318 W214:X372 AJ262:AT318 AU262:AZ372 Y319:AT372 W373:AZ381">
    <cfRule type="containsText" dxfId="6" priority="19" operator="containsText" text="Y">
      <formula>NOT(ISERROR(SEARCH("Y",W3)))</formula>
    </cfRule>
    <cfRule type="containsBlanks" dxfId="5" priority="22">
      <formula>LEN(TRIM(W3))=0</formula>
    </cfRule>
  </conditionalFormatting>
  <dataValidations count="1">
    <dataValidation type="list" allowBlank="1" showInputMessage="1" showErrorMessage="1" sqref="W3:AZ381 A3:I381" xr:uid="{00000000-0002-0000-0900-000000000000}">
      <formula1>Yesno</formula1>
    </dataValidation>
  </dataValidation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85C51-8EF4-4259-8C17-945882D0DED8}">
  <sheetPr>
    <tabColor theme="7" tint="0.79998168889431442"/>
  </sheetPr>
  <dimension ref="B5:J20"/>
  <sheetViews>
    <sheetView workbookViewId="0">
      <selection activeCell="C2" sqref="C2"/>
    </sheetView>
  </sheetViews>
  <sheetFormatPr defaultColWidth="8.81640625" defaultRowHeight="14.5" x14ac:dyDescent="0.35"/>
  <cols>
    <col min="1" max="2" width="8.81640625" style="75"/>
    <col min="3" max="3" width="19.1796875" style="75" customWidth="1"/>
    <col min="4" max="4" width="14.81640625" style="75" customWidth="1"/>
    <col min="5" max="5" width="23.453125" style="75" customWidth="1"/>
    <col min="6" max="6" width="25.81640625" style="75" customWidth="1"/>
    <col min="7" max="7" width="24.54296875" style="75" customWidth="1"/>
    <col min="8" max="8" width="21.90625" style="75" customWidth="1"/>
    <col min="9" max="10" width="23" style="75" customWidth="1"/>
    <col min="11" max="16384" width="8.81640625" style="75"/>
  </cols>
  <sheetData>
    <row r="5" spans="2:10" ht="15" thickBot="1" x14ac:dyDescent="0.4">
      <c r="B5" s="175"/>
      <c r="C5" s="186" t="s">
        <v>1151</v>
      </c>
      <c r="D5" s="177"/>
      <c r="E5" s="1"/>
      <c r="F5" s="1"/>
      <c r="G5" s="1"/>
      <c r="H5" s="1"/>
      <c r="I5" s="1"/>
      <c r="J5" s="1"/>
    </row>
    <row r="6" spans="2:10" ht="15" thickBot="1" x14ac:dyDescent="0.4">
      <c r="B6" s="175"/>
      <c r="C6" s="176"/>
      <c r="D6" s="177"/>
      <c r="E6" s="1"/>
      <c r="F6" s="1"/>
      <c r="G6" s="1"/>
      <c r="H6" s="1"/>
      <c r="I6" s="1"/>
      <c r="J6" s="1"/>
    </row>
    <row r="7" spans="2:10" ht="15" thickBot="1" x14ac:dyDescent="0.4">
      <c r="B7" s="175"/>
      <c r="C7" s="1"/>
      <c r="D7" s="1"/>
      <c r="E7" s="178" t="s">
        <v>491</v>
      </c>
      <c r="F7" s="178" t="s">
        <v>491</v>
      </c>
      <c r="G7" s="178" t="s">
        <v>491</v>
      </c>
      <c r="H7" s="178" t="s">
        <v>491</v>
      </c>
      <c r="I7" s="178" t="s">
        <v>491</v>
      </c>
      <c r="J7" s="178" t="s">
        <v>491</v>
      </c>
    </row>
    <row r="8" spans="2:10" ht="15" thickBot="1" x14ac:dyDescent="0.4">
      <c r="B8" s="30"/>
      <c r="C8" s="178" t="s">
        <v>492</v>
      </c>
      <c r="D8" s="178" t="s">
        <v>186</v>
      </c>
      <c r="E8" s="178" t="s">
        <v>493</v>
      </c>
      <c r="F8" s="178" t="s">
        <v>494</v>
      </c>
      <c r="G8" s="178" t="s">
        <v>495</v>
      </c>
      <c r="H8" s="178" t="s">
        <v>496</v>
      </c>
      <c r="I8" s="178" t="s">
        <v>497</v>
      </c>
      <c r="J8" s="178" t="s">
        <v>498</v>
      </c>
    </row>
    <row r="9" spans="2:10" ht="15" thickBot="1" x14ac:dyDescent="0.4">
      <c r="B9" s="30" t="s">
        <v>358</v>
      </c>
      <c r="C9" s="367" t="s">
        <v>493</v>
      </c>
      <c r="D9" s="367" t="s">
        <v>499</v>
      </c>
      <c r="E9" s="368">
        <v>-5.4201946324939971</v>
      </c>
      <c r="F9" s="368">
        <v>-0.9513440929518896</v>
      </c>
      <c r="G9" s="368">
        <v>-0.61505712275549662</v>
      </c>
      <c r="H9" s="369" t="s">
        <v>1062</v>
      </c>
      <c r="I9" s="368">
        <v>-0.64924055447647011</v>
      </c>
      <c r="J9" s="369" t="s">
        <v>1062</v>
      </c>
    </row>
    <row r="10" spans="2:10" ht="15" thickBot="1" x14ac:dyDescent="0.4">
      <c r="B10" s="30" t="s">
        <v>358</v>
      </c>
      <c r="C10" s="367" t="s">
        <v>493</v>
      </c>
      <c r="D10" s="367" t="s">
        <v>500</v>
      </c>
      <c r="E10" s="368">
        <v>-7.2676167958633799</v>
      </c>
      <c r="F10" s="368">
        <v>0.31515735532347</v>
      </c>
      <c r="G10" s="368">
        <v>0.81778901155864037</v>
      </c>
      <c r="H10" s="369" t="s">
        <v>1062</v>
      </c>
      <c r="I10" s="368">
        <v>0.71094484851364315</v>
      </c>
      <c r="J10" s="369" t="s">
        <v>1062</v>
      </c>
    </row>
    <row r="11" spans="2:10" ht="15" thickBot="1" x14ac:dyDescent="0.4">
      <c r="B11" s="30" t="s">
        <v>358</v>
      </c>
      <c r="C11" s="367" t="s">
        <v>494</v>
      </c>
      <c r="D11" s="367" t="s">
        <v>499</v>
      </c>
      <c r="E11" s="368">
        <v>11.037152972613276</v>
      </c>
      <c r="F11" s="368">
        <v>1.0759157096950167</v>
      </c>
      <c r="G11" s="368">
        <v>4.522492155301963</v>
      </c>
      <c r="H11" s="369" t="s">
        <v>1062</v>
      </c>
      <c r="I11" s="368">
        <v>-3.8472916269113333</v>
      </c>
      <c r="J11" s="369" t="s">
        <v>1062</v>
      </c>
    </row>
    <row r="12" spans="2:10" ht="15" thickBot="1" x14ac:dyDescent="0.4">
      <c r="B12" s="30" t="s">
        <v>358</v>
      </c>
      <c r="C12" s="367" t="s">
        <v>494</v>
      </c>
      <c r="D12" s="367" t="s">
        <v>500</v>
      </c>
      <c r="E12" s="369" t="s">
        <v>1062</v>
      </c>
      <c r="F12" s="368">
        <v>18.340845631086658</v>
      </c>
      <c r="G12" s="368">
        <v>-0.25435112326414999</v>
      </c>
      <c r="H12" s="369" t="s">
        <v>1062</v>
      </c>
      <c r="I12" s="368">
        <v>-0.26954984311772001</v>
      </c>
      <c r="J12" s="369" t="s">
        <v>1062</v>
      </c>
    </row>
    <row r="13" spans="2:10" ht="15" thickBot="1" x14ac:dyDescent="0.4">
      <c r="B13" s="30" t="s">
        <v>358</v>
      </c>
      <c r="C13" s="367" t="s">
        <v>495</v>
      </c>
      <c r="D13" s="367" t="s">
        <v>499</v>
      </c>
      <c r="E13" s="368">
        <v>11.908039110349543</v>
      </c>
      <c r="F13" s="368">
        <v>-1.89302337208094</v>
      </c>
      <c r="G13" s="368">
        <v>-1.4406919896701931</v>
      </c>
      <c r="H13" s="369" t="s">
        <v>1062</v>
      </c>
      <c r="I13" s="368">
        <v>-6.7188489150450428</v>
      </c>
      <c r="J13" s="369" t="s">
        <v>1062</v>
      </c>
    </row>
    <row r="14" spans="2:10" ht="15" thickBot="1" x14ac:dyDescent="0.4">
      <c r="B14" s="30" t="s">
        <v>358</v>
      </c>
      <c r="C14" s="367" t="s">
        <v>495</v>
      </c>
      <c r="D14" s="367" t="s">
        <v>500</v>
      </c>
      <c r="E14" s="368">
        <v>6.9637246963319566</v>
      </c>
      <c r="F14" s="368">
        <v>0.27770669702750334</v>
      </c>
      <c r="G14" s="368">
        <v>1.555716669595E-2</v>
      </c>
      <c r="H14" s="369" t="s">
        <v>1062</v>
      </c>
      <c r="I14" s="368">
        <v>-0.14924774198902332</v>
      </c>
      <c r="J14" s="369" t="s">
        <v>1062</v>
      </c>
    </row>
    <row r="15" spans="2:10" ht="15" thickBot="1" x14ac:dyDescent="0.4">
      <c r="B15" s="30" t="s">
        <v>358</v>
      </c>
      <c r="C15" s="367" t="s">
        <v>496</v>
      </c>
      <c r="D15" s="367" t="s">
        <v>499</v>
      </c>
      <c r="E15" s="369" t="s">
        <v>1062</v>
      </c>
      <c r="F15" s="369" t="s">
        <v>1062</v>
      </c>
      <c r="G15" s="369" t="s">
        <v>1062</v>
      </c>
      <c r="H15" s="369" t="s">
        <v>1062</v>
      </c>
      <c r="I15" s="369" t="s">
        <v>1062</v>
      </c>
      <c r="J15" s="369" t="s">
        <v>1062</v>
      </c>
    </row>
    <row r="16" spans="2:10" ht="15" thickBot="1" x14ac:dyDescent="0.4">
      <c r="B16" s="30" t="s">
        <v>358</v>
      </c>
      <c r="C16" s="367" t="s">
        <v>496</v>
      </c>
      <c r="D16" s="367" t="s">
        <v>500</v>
      </c>
      <c r="E16" s="369" t="s">
        <v>1062</v>
      </c>
      <c r="F16" s="369" t="s">
        <v>1062</v>
      </c>
      <c r="G16" s="369" t="s">
        <v>1062</v>
      </c>
      <c r="H16" s="369" t="s">
        <v>1062</v>
      </c>
      <c r="I16" s="369" t="s">
        <v>1062</v>
      </c>
      <c r="J16" s="369" t="s">
        <v>1062</v>
      </c>
    </row>
    <row r="17" spans="2:10" ht="15" thickBot="1" x14ac:dyDescent="0.4">
      <c r="B17" s="30" t="s">
        <v>358</v>
      </c>
      <c r="C17" s="367" t="s">
        <v>497</v>
      </c>
      <c r="D17" s="367" t="s">
        <v>499</v>
      </c>
      <c r="E17" s="368">
        <v>39.397076682636673</v>
      </c>
      <c r="F17" s="368">
        <v>7.4848823862855536</v>
      </c>
      <c r="G17" s="368">
        <v>13.496644287326529</v>
      </c>
      <c r="H17" s="369" t="s">
        <v>1062</v>
      </c>
      <c r="I17" s="368">
        <v>2.1049486442023602</v>
      </c>
      <c r="J17" s="369" t="s">
        <v>1062</v>
      </c>
    </row>
    <row r="18" spans="2:10" ht="15" thickBot="1" x14ac:dyDescent="0.4">
      <c r="B18" s="30" t="s">
        <v>358</v>
      </c>
      <c r="C18" s="367" t="s">
        <v>497</v>
      </c>
      <c r="D18" s="367" t="s">
        <v>500</v>
      </c>
      <c r="E18" s="368">
        <v>15.936258760505932</v>
      </c>
      <c r="F18" s="368">
        <v>0.43039542581372331</v>
      </c>
      <c r="G18" s="368">
        <v>0.11860294168176699</v>
      </c>
      <c r="H18" s="369" t="s">
        <v>1062</v>
      </c>
      <c r="I18" s="369" t="s">
        <v>1062</v>
      </c>
      <c r="J18" s="369" t="s">
        <v>1062</v>
      </c>
    </row>
    <row r="19" spans="2:10" ht="15" thickBot="1" x14ac:dyDescent="0.4">
      <c r="B19" s="30" t="s">
        <v>358</v>
      </c>
      <c r="C19" s="367" t="s">
        <v>498</v>
      </c>
      <c r="D19" s="367" t="s">
        <v>499</v>
      </c>
      <c r="E19" s="369" t="s">
        <v>1062</v>
      </c>
      <c r="F19" s="369" t="s">
        <v>1062</v>
      </c>
      <c r="G19" s="369" t="s">
        <v>1062</v>
      </c>
      <c r="H19" s="369" t="s">
        <v>1062</v>
      </c>
      <c r="I19" s="369" t="s">
        <v>1062</v>
      </c>
      <c r="J19" s="369" t="s">
        <v>1062</v>
      </c>
    </row>
    <row r="20" spans="2:10" ht="15" thickBot="1" x14ac:dyDescent="0.4">
      <c r="B20" s="30" t="s">
        <v>358</v>
      </c>
      <c r="C20" s="367" t="s">
        <v>498</v>
      </c>
      <c r="D20" s="367" t="s">
        <v>500</v>
      </c>
      <c r="E20" s="369" t="s">
        <v>1062</v>
      </c>
      <c r="F20" s="369" t="s">
        <v>1062</v>
      </c>
      <c r="G20" s="369" t="s">
        <v>1062</v>
      </c>
      <c r="H20" s="369" t="s">
        <v>1062</v>
      </c>
      <c r="I20" s="369" t="s">
        <v>1062</v>
      </c>
      <c r="J20" s="369" t="s">
        <v>1062</v>
      </c>
    </row>
  </sheetData>
  <sheetProtection algorithmName="SHA-512" hashValue="zOoWH9H15fzA4YAyKCVgNOKs2n53vEj9lZDQUe6thpdCAh+DFfZ4WPp74BhBbZaa6wozxOJEIUz6Hgka5Q8AjA==" saltValue="cT+FDkbs9kDrbWbA3O4FnQ==" spinCount="100000" sheet="1" objects="1" scenarios="1"/>
  <conditionalFormatting sqref="B5:B20">
    <cfRule type="containsText" dxfId="4" priority="1" operator="containsText" text="N">
      <formula>NOT(ISERROR(SEARCH("N",B5)))</formula>
    </cfRule>
    <cfRule type="containsText" dxfId="3" priority="2" operator="containsText" text="Y">
      <formula>NOT(ISERROR(SEARCH("Y",B5)))</formula>
    </cfRule>
  </conditionalFormatting>
  <dataValidations count="1">
    <dataValidation type="list" allowBlank="1" showInputMessage="1" showErrorMessage="1" sqref="B5:B20" xr:uid="{0DB1DDD8-41B3-427E-9346-E9C4BDFB3271}">
      <formula1>Yesno</formula1>
    </dataValidation>
  </dataValidation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CD202-58E3-4DB8-8AA8-9EA4278A55F3}">
  <sheetPr>
    <tabColor theme="7" tint="0.79998168889431442"/>
  </sheetPr>
  <dimension ref="B1:T78"/>
  <sheetViews>
    <sheetView workbookViewId="0">
      <selection activeCell="B2" sqref="B2"/>
    </sheetView>
  </sheetViews>
  <sheetFormatPr defaultColWidth="8.81640625" defaultRowHeight="14.5" x14ac:dyDescent="0.35"/>
  <cols>
    <col min="1" max="1" width="8.81640625" style="75"/>
    <col min="2" max="2" width="30" style="75" customWidth="1"/>
    <col min="3" max="3" width="21.81640625" style="75" customWidth="1"/>
    <col min="4" max="4" width="30.08984375" style="75" customWidth="1"/>
    <col min="5" max="5" width="26.1796875" style="75" customWidth="1"/>
    <col min="6" max="11" width="8.81640625" style="75"/>
    <col min="12" max="12" width="17.1796875" style="75" customWidth="1"/>
    <col min="13" max="13" width="29.08984375" style="75" customWidth="1"/>
    <col min="14" max="14" width="27.81640625" style="75" customWidth="1"/>
    <col min="15" max="16" width="8.81640625" style="75"/>
    <col min="17" max="17" width="21.81640625" style="75" customWidth="1"/>
    <col min="18" max="18" width="19.54296875" style="75" customWidth="1"/>
    <col min="19" max="19" width="38.1796875" style="75" customWidth="1"/>
    <col min="20" max="16384" width="8.81640625" style="75"/>
  </cols>
  <sheetData>
    <row r="1" spans="2:20" x14ac:dyDescent="0.35">
      <c r="B1" s="93"/>
    </row>
    <row r="3" spans="2:20" ht="26.5" thickBot="1" x14ac:dyDescent="0.65">
      <c r="B3" s="228" t="s">
        <v>502</v>
      </c>
      <c r="C3" s="124"/>
      <c r="D3" s="124"/>
      <c r="E3" s="124"/>
    </row>
    <row r="4" spans="2:20" ht="18.5" x14ac:dyDescent="0.45">
      <c r="B4" s="229" t="s">
        <v>824</v>
      </c>
      <c r="C4" s="226"/>
      <c r="D4" s="226"/>
      <c r="E4" s="226"/>
    </row>
    <row r="5" spans="2:20" ht="18.5" x14ac:dyDescent="0.45">
      <c r="B5" s="230" t="s">
        <v>503</v>
      </c>
      <c r="C5" s="226"/>
      <c r="D5" s="226"/>
      <c r="E5" s="226"/>
    </row>
    <row r="6" spans="2:20" ht="18.5" x14ac:dyDescent="0.45">
      <c r="B6" s="230" t="s">
        <v>504</v>
      </c>
      <c r="C6" s="226"/>
      <c r="D6" s="226"/>
      <c r="E6" s="226"/>
    </row>
    <row r="7" spans="2:20" ht="18.5" x14ac:dyDescent="0.45">
      <c r="B7" s="231" t="s">
        <v>505</v>
      </c>
      <c r="C7" s="226"/>
      <c r="D7" s="226"/>
      <c r="E7" s="226"/>
    </row>
    <row r="8" spans="2:20" ht="18.5" x14ac:dyDescent="0.45">
      <c r="B8" s="231" t="s">
        <v>523</v>
      </c>
      <c r="C8" s="226"/>
      <c r="D8" s="226"/>
      <c r="E8" s="226"/>
    </row>
    <row r="9" spans="2:20" ht="18.5" x14ac:dyDescent="0.45">
      <c r="B9" s="231" t="s">
        <v>825</v>
      </c>
      <c r="C9" s="226"/>
      <c r="D9" s="226"/>
      <c r="E9" s="226"/>
    </row>
    <row r="11" spans="2:20" ht="19" customHeight="1" x14ac:dyDescent="0.35">
      <c r="B11" s="125" t="s">
        <v>503</v>
      </c>
      <c r="L11" s="125" t="s">
        <v>504</v>
      </c>
      <c r="Q11" s="125" t="s">
        <v>505</v>
      </c>
    </row>
    <row r="12" spans="2:20" ht="48" customHeight="1" x14ac:dyDescent="0.35">
      <c r="B12" s="589" t="s">
        <v>838</v>
      </c>
      <c r="C12" s="589"/>
      <c r="D12" s="589"/>
      <c r="E12" s="589"/>
      <c r="F12" s="589"/>
      <c r="G12" s="589"/>
      <c r="H12" s="589"/>
      <c r="I12" s="589"/>
      <c r="L12" s="583" t="s">
        <v>506</v>
      </c>
      <c r="M12" s="583"/>
      <c r="N12" s="583"/>
      <c r="O12" s="583"/>
      <c r="Q12" s="583" t="s">
        <v>507</v>
      </c>
      <c r="R12" s="583"/>
      <c r="S12" s="583"/>
      <c r="T12" s="583"/>
    </row>
    <row r="13" spans="2:20" ht="32" customHeight="1" x14ac:dyDescent="0.35">
      <c r="B13" s="227" t="s">
        <v>826</v>
      </c>
      <c r="L13" s="583"/>
      <c r="M13" s="583"/>
      <c r="N13" s="583"/>
      <c r="O13" s="583"/>
    </row>
    <row r="14" spans="2:20" ht="15" thickBot="1" x14ac:dyDescent="0.4">
      <c r="B14" s="225" t="s">
        <v>782</v>
      </c>
    </row>
    <row r="15" spans="2:20" ht="50.15" customHeight="1" thickBot="1" x14ac:dyDescent="0.4">
      <c r="B15" s="2" t="s">
        <v>508</v>
      </c>
      <c r="C15" s="3" t="s">
        <v>509</v>
      </c>
      <c r="D15" s="3" t="s">
        <v>780</v>
      </c>
      <c r="E15" s="3" t="s">
        <v>781</v>
      </c>
      <c r="F15" s="587"/>
      <c r="G15" s="588"/>
      <c r="H15" s="588"/>
      <c r="L15" s="2" t="s">
        <v>508</v>
      </c>
      <c r="M15" s="3" t="s">
        <v>1158</v>
      </c>
      <c r="N15" s="3" t="s">
        <v>1159</v>
      </c>
      <c r="Q15" s="2" t="s">
        <v>510</v>
      </c>
      <c r="R15" s="3" t="s">
        <v>511</v>
      </c>
      <c r="S15" s="3" t="s">
        <v>512</v>
      </c>
    </row>
    <row r="16" spans="2:20" ht="25.5" customHeight="1" thickBot="1" x14ac:dyDescent="0.4">
      <c r="B16" s="4" t="s">
        <v>750</v>
      </c>
      <c r="C16" s="5" t="s">
        <v>751</v>
      </c>
      <c r="D16" s="5">
        <v>132</v>
      </c>
      <c r="E16" s="5">
        <v>85</v>
      </c>
      <c r="L16" s="4" t="s">
        <v>513</v>
      </c>
      <c r="M16" s="5">
        <v>24</v>
      </c>
      <c r="N16" s="5">
        <v>36</v>
      </c>
      <c r="Q16" s="4" t="s">
        <v>514</v>
      </c>
      <c r="R16" s="128">
        <v>0.64</v>
      </c>
      <c r="S16" s="584" t="s">
        <v>515</v>
      </c>
    </row>
    <row r="17" spans="2:19" ht="42.65" customHeight="1" thickBot="1" x14ac:dyDescent="0.4">
      <c r="B17" s="4" t="s">
        <v>750</v>
      </c>
      <c r="C17" s="5" t="s">
        <v>752</v>
      </c>
      <c r="D17" s="5">
        <v>139</v>
      </c>
      <c r="E17" s="5">
        <v>47</v>
      </c>
      <c r="Q17" s="4" t="s">
        <v>516</v>
      </c>
      <c r="R17" s="129">
        <v>6.6000000000000003E-2</v>
      </c>
      <c r="S17" s="585"/>
    </row>
    <row r="18" spans="2:19" ht="49.5" customHeight="1" thickBot="1" x14ac:dyDescent="0.4">
      <c r="B18" s="4" t="s">
        <v>750</v>
      </c>
      <c r="C18" s="5" t="s">
        <v>753</v>
      </c>
      <c r="D18" s="5">
        <v>319</v>
      </c>
      <c r="E18" s="5">
        <v>83</v>
      </c>
      <c r="L18" s="590" t="s">
        <v>517</v>
      </c>
      <c r="M18" s="590"/>
      <c r="N18" s="590"/>
      <c r="O18" s="590"/>
      <c r="Q18" s="4" t="s">
        <v>518</v>
      </c>
      <c r="R18" s="129">
        <v>4.0000000000000001E-3</v>
      </c>
      <c r="S18" s="585"/>
    </row>
    <row r="19" spans="2:19" ht="39.5" customHeight="1" thickBot="1" x14ac:dyDescent="0.4">
      <c r="B19" s="4" t="s">
        <v>750</v>
      </c>
      <c r="C19" s="5" t="s">
        <v>754</v>
      </c>
      <c r="D19" s="5">
        <v>311</v>
      </c>
      <c r="E19" s="5">
        <v>39</v>
      </c>
      <c r="L19" s="2" t="s">
        <v>508</v>
      </c>
      <c r="M19" s="3" t="s">
        <v>519</v>
      </c>
      <c r="Q19" s="4" t="s">
        <v>520</v>
      </c>
      <c r="R19" s="129">
        <v>9.5000000000000001E-2</v>
      </c>
      <c r="S19" s="585"/>
    </row>
    <row r="20" spans="2:19" ht="42.65" customHeight="1" thickBot="1" x14ac:dyDescent="0.4">
      <c r="B20" s="4" t="s">
        <v>750</v>
      </c>
      <c r="C20" s="5" t="s">
        <v>755</v>
      </c>
      <c r="D20" s="5">
        <v>432</v>
      </c>
      <c r="E20" s="5">
        <v>68</v>
      </c>
      <c r="L20" s="4" t="s">
        <v>513</v>
      </c>
      <c r="M20" s="5" t="s">
        <v>521</v>
      </c>
      <c r="Q20" s="4" t="s">
        <v>522</v>
      </c>
      <c r="R20" s="129">
        <v>6.0000000000000001E-3</v>
      </c>
      <c r="S20" s="585"/>
    </row>
    <row r="21" spans="2:19" ht="52.5" customHeight="1" thickBot="1" x14ac:dyDescent="0.4">
      <c r="B21" s="4" t="s">
        <v>756</v>
      </c>
      <c r="C21" s="5" t="s">
        <v>757</v>
      </c>
      <c r="D21" s="5">
        <v>117</v>
      </c>
      <c r="E21" s="5">
        <v>76</v>
      </c>
      <c r="Q21" s="4" t="s">
        <v>427</v>
      </c>
      <c r="R21" s="129">
        <v>4.4999999999999998E-2</v>
      </c>
      <c r="S21" s="585"/>
    </row>
    <row r="22" spans="2:19" ht="15" thickBot="1" x14ac:dyDescent="0.4">
      <c r="B22" s="4" t="s">
        <v>756</v>
      </c>
      <c r="C22" s="5" t="s">
        <v>758</v>
      </c>
      <c r="D22" s="5">
        <v>121</v>
      </c>
      <c r="E22" s="5">
        <v>55</v>
      </c>
      <c r="L22" s="125" t="s">
        <v>523</v>
      </c>
      <c r="Q22" s="4" t="s">
        <v>430</v>
      </c>
      <c r="R22" s="129">
        <v>1.9E-2</v>
      </c>
      <c r="S22" s="585"/>
    </row>
    <row r="23" spans="2:19" ht="39.65" customHeight="1" thickBot="1" x14ac:dyDescent="0.4">
      <c r="B23" s="4" t="s">
        <v>756</v>
      </c>
      <c r="C23" s="5" t="s">
        <v>759</v>
      </c>
      <c r="D23" s="5">
        <v>223</v>
      </c>
      <c r="E23" s="5">
        <v>69</v>
      </c>
      <c r="L23" s="590" t="s">
        <v>524</v>
      </c>
      <c r="M23" s="590"/>
      <c r="N23" s="590"/>
      <c r="O23" s="590"/>
      <c r="Q23" s="4" t="s">
        <v>525</v>
      </c>
      <c r="R23" s="129">
        <v>1.4E-2</v>
      </c>
      <c r="S23" s="585"/>
    </row>
    <row r="24" spans="2:19" ht="15" thickBot="1" x14ac:dyDescent="0.4">
      <c r="B24" s="4" t="s">
        <v>756</v>
      </c>
      <c r="C24" s="5" t="s">
        <v>760</v>
      </c>
      <c r="D24" s="5">
        <v>190</v>
      </c>
      <c r="E24" s="5">
        <v>134</v>
      </c>
      <c r="Q24" s="4" t="s">
        <v>526</v>
      </c>
      <c r="R24" s="129">
        <v>0.104</v>
      </c>
      <c r="S24" s="585"/>
    </row>
    <row r="25" spans="2:19" ht="65.5" customHeight="1" thickBot="1" x14ac:dyDescent="0.4">
      <c r="B25" s="4" t="s">
        <v>513</v>
      </c>
      <c r="C25" s="5" t="s">
        <v>761</v>
      </c>
      <c r="D25" s="5">
        <v>108</v>
      </c>
      <c r="E25" s="5">
        <v>89</v>
      </c>
      <c r="L25" s="2" t="s">
        <v>510</v>
      </c>
      <c r="M25" s="3" t="s">
        <v>527</v>
      </c>
      <c r="N25" s="3" t="s">
        <v>512</v>
      </c>
      <c r="Q25" s="4" t="s">
        <v>528</v>
      </c>
      <c r="R25" s="129">
        <v>5.0000000000000001E-3</v>
      </c>
      <c r="S25" s="586"/>
    </row>
    <row r="26" spans="2:19" ht="52.5" customHeight="1" thickBot="1" x14ac:dyDescent="0.4">
      <c r="B26" s="4" t="s">
        <v>513</v>
      </c>
      <c r="C26" s="5" t="s">
        <v>762</v>
      </c>
      <c r="D26" s="5">
        <v>178</v>
      </c>
      <c r="E26" s="5">
        <v>226</v>
      </c>
      <c r="L26" s="4" t="s">
        <v>430</v>
      </c>
      <c r="M26" s="5">
        <v>0.16320000000000001</v>
      </c>
      <c r="N26" s="5" t="s">
        <v>529</v>
      </c>
    </row>
    <row r="27" spans="2:19" ht="90" customHeight="1" thickBot="1" x14ac:dyDescent="0.4">
      <c r="B27" s="4" t="s">
        <v>763</v>
      </c>
      <c r="C27" s="5" t="s">
        <v>764</v>
      </c>
      <c r="D27" s="5">
        <v>122</v>
      </c>
      <c r="E27" s="5">
        <v>43</v>
      </c>
      <c r="L27" s="4" t="s">
        <v>427</v>
      </c>
      <c r="M27" s="5">
        <v>0.31563917782861167</v>
      </c>
      <c r="N27" s="428" t="s">
        <v>1157</v>
      </c>
    </row>
    <row r="28" spans="2:19" ht="39.65" customHeight="1" thickBot="1" x14ac:dyDescent="0.4">
      <c r="B28" s="4" t="s">
        <v>763</v>
      </c>
      <c r="C28" s="5" t="s">
        <v>765</v>
      </c>
      <c r="D28" s="5">
        <v>113</v>
      </c>
      <c r="E28" s="5">
        <v>51</v>
      </c>
      <c r="L28" s="4" t="s">
        <v>422</v>
      </c>
      <c r="M28" s="126">
        <v>1.6935985083903047</v>
      </c>
      <c r="N28" s="428" t="s">
        <v>530</v>
      </c>
    </row>
    <row r="29" spans="2:19" ht="35.15" customHeight="1" thickBot="1" x14ac:dyDescent="0.4">
      <c r="B29" s="4" t="s">
        <v>763</v>
      </c>
      <c r="C29" s="5" t="s">
        <v>766</v>
      </c>
      <c r="D29" s="5">
        <v>157</v>
      </c>
      <c r="E29" s="5">
        <v>51</v>
      </c>
      <c r="L29" s="577" t="s">
        <v>531</v>
      </c>
      <c r="M29" s="577" t="s">
        <v>532</v>
      </c>
      <c r="N29" s="127" t="s">
        <v>533</v>
      </c>
    </row>
    <row r="30" spans="2:19" ht="52.5" customHeight="1" thickBot="1" x14ac:dyDescent="0.4">
      <c r="B30" s="4" t="s">
        <v>763</v>
      </c>
      <c r="C30" s="5" t="s">
        <v>767</v>
      </c>
      <c r="D30" s="5">
        <v>187</v>
      </c>
      <c r="E30" s="5">
        <v>36</v>
      </c>
      <c r="L30" s="578"/>
      <c r="M30" s="578"/>
      <c r="N30" s="580" t="s">
        <v>534</v>
      </c>
    </row>
    <row r="31" spans="2:19" ht="52" customHeight="1" thickBot="1" x14ac:dyDescent="0.4">
      <c r="B31" s="4" t="s">
        <v>768</v>
      </c>
      <c r="C31" s="5" t="s">
        <v>769</v>
      </c>
      <c r="D31" s="5">
        <v>303</v>
      </c>
      <c r="E31" s="5">
        <v>118</v>
      </c>
      <c r="L31" s="579"/>
      <c r="M31" s="579"/>
      <c r="N31" s="581"/>
    </row>
    <row r="32" spans="2:19" ht="52" customHeight="1" thickBot="1" x14ac:dyDescent="0.4">
      <c r="B32" s="4" t="s">
        <v>768</v>
      </c>
      <c r="C32" s="5" t="s">
        <v>770</v>
      </c>
      <c r="D32" s="5">
        <v>267</v>
      </c>
      <c r="E32" s="5">
        <v>132</v>
      </c>
      <c r="L32" s="223"/>
      <c r="M32" s="223"/>
      <c r="N32" s="224"/>
    </row>
    <row r="33" spans="2:14" ht="52" customHeight="1" thickBot="1" x14ac:dyDescent="0.4">
      <c r="B33" s="4" t="s">
        <v>768</v>
      </c>
      <c r="C33" s="5" t="s">
        <v>771</v>
      </c>
      <c r="D33" s="5">
        <v>492</v>
      </c>
      <c r="E33" s="5">
        <v>78</v>
      </c>
      <c r="L33" s="223"/>
      <c r="M33" s="223"/>
      <c r="N33" s="224"/>
    </row>
    <row r="34" spans="2:14" ht="15" thickBot="1" x14ac:dyDescent="0.4">
      <c r="B34" s="4" t="s">
        <v>772</v>
      </c>
      <c r="C34" s="5" t="s">
        <v>773</v>
      </c>
      <c r="D34" s="5">
        <v>118</v>
      </c>
      <c r="E34" s="5">
        <v>108</v>
      </c>
    </row>
    <row r="35" spans="2:14" ht="26.5" thickBot="1" x14ac:dyDescent="0.4">
      <c r="B35" s="4" t="s">
        <v>772</v>
      </c>
      <c r="C35" s="5" t="s">
        <v>774</v>
      </c>
      <c r="D35" s="5">
        <v>150</v>
      </c>
      <c r="E35" s="5">
        <v>93</v>
      </c>
    </row>
    <row r="36" spans="2:14" ht="15" thickBot="1" x14ac:dyDescent="0.4">
      <c r="B36" s="4" t="s">
        <v>772</v>
      </c>
      <c r="C36" s="5" t="s">
        <v>775</v>
      </c>
      <c r="D36" s="5">
        <v>112</v>
      </c>
      <c r="E36" s="5">
        <v>103</v>
      </c>
    </row>
    <row r="37" spans="2:14" ht="15" thickBot="1" x14ac:dyDescent="0.4">
      <c r="B37" s="4" t="s">
        <v>776</v>
      </c>
      <c r="C37" s="5" t="s">
        <v>777</v>
      </c>
      <c r="D37" s="5">
        <v>644</v>
      </c>
      <c r="E37" s="5">
        <v>192</v>
      </c>
    </row>
    <row r="38" spans="2:14" ht="15" thickBot="1" x14ac:dyDescent="0.4">
      <c r="B38" s="4" t="s">
        <v>776</v>
      </c>
      <c r="C38" s="5" t="s">
        <v>778</v>
      </c>
      <c r="D38" s="5">
        <v>598</v>
      </c>
      <c r="E38" s="5">
        <v>152</v>
      </c>
    </row>
    <row r="39" spans="2:14" ht="22" customHeight="1" thickBot="1" x14ac:dyDescent="0.4">
      <c r="B39" s="4" t="s">
        <v>776</v>
      </c>
      <c r="C39" s="5" t="s">
        <v>779</v>
      </c>
      <c r="D39" s="5">
        <v>343</v>
      </c>
      <c r="E39" s="5">
        <v>105</v>
      </c>
    </row>
    <row r="43" spans="2:14" ht="15.5" x14ac:dyDescent="0.35">
      <c r="B43" s="170" t="s">
        <v>535</v>
      </c>
      <c r="C43" s="146"/>
    </row>
    <row r="44" spans="2:14" ht="133" customHeight="1" x14ac:dyDescent="0.35">
      <c r="B44" s="582" t="s">
        <v>827</v>
      </c>
      <c r="C44" s="582"/>
      <c r="D44" s="582"/>
      <c r="E44" s="582"/>
      <c r="F44" s="582"/>
    </row>
    <row r="45" spans="2:14" ht="15" thickBot="1" x14ac:dyDescent="0.4">
      <c r="B45" s="147" t="s">
        <v>536</v>
      </c>
    </row>
    <row r="46" spans="2:14" ht="26.5" thickBot="1" x14ac:dyDescent="0.4">
      <c r="B46" s="2" t="s">
        <v>167</v>
      </c>
      <c r="C46" s="3" t="s">
        <v>537</v>
      </c>
      <c r="D46" s="3" t="s">
        <v>823</v>
      </c>
      <c r="E46" s="3" t="s">
        <v>538</v>
      </c>
    </row>
    <row r="47" spans="2:14" ht="63.5" customHeight="1" thickBot="1" x14ac:dyDescent="0.4">
      <c r="B47" s="4" t="s">
        <v>444</v>
      </c>
      <c r="C47" s="5" t="s">
        <v>783</v>
      </c>
      <c r="D47" s="5" t="s">
        <v>784</v>
      </c>
      <c r="E47" s="5">
        <v>0.66</v>
      </c>
    </row>
    <row r="48" spans="2:14" ht="51.5" customHeight="1" thickBot="1" x14ac:dyDescent="0.4">
      <c r="B48" s="4" t="s">
        <v>489</v>
      </c>
      <c r="C48" s="5" t="s">
        <v>785</v>
      </c>
      <c r="D48" s="5" t="s">
        <v>786</v>
      </c>
      <c r="E48" s="5">
        <v>0.28770000000000001</v>
      </c>
    </row>
    <row r="49" spans="2:5" ht="26.5" thickBot="1" x14ac:dyDescent="0.4">
      <c r="B49" s="4" t="s">
        <v>447</v>
      </c>
      <c r="C49" s="5" t="s">
        <v>787</v>
      </c>
      <c r="D49" s="5" t="s">
        <v>788</v>
      </c>
      <c r="E49" s="5">
        <v>0.28000000000000003</v>
      </c>
    </row>
    <row r="50" spans="2:5" ht="26.5" thickBot="1" x14ac:dyDescent="0.4">
      <c r="B50" s="4" t="s">
        <v>448</v>
      </c>
      <c r="C50" s="5" t="s">
        <v>789</v>
      </c>
      <c r="D50" s="5" t="s">
        <v>790</v>
      </c>
      <c r="E50" s="5">
        <v>0.9</v>
      </c>
    </row>
    <row r="51" spans="2:5" ht="39.5" thickBot="1" x14ac:dyDescent="0.4">
      <c r="B51" s="4" t="s">
        <v>446</v>
      </c>
      <c r="C51" s="5" t="s">
        <v>791</v>
      </c>
      <c r="D51" s="5" t="s">
        <v>792</v>
      </c>
      <c r="E51" s="5">
        <v>0.32</v>
      </c>
    </row>
    <row r="52" spans="2:5" ht="52.5" thickBot="1" x14ac:dyDescent="0.4">
      <c r="B52" s="4" t="s">
        <v>474</v>
      </c>
      <c r="C52" s="5" t="s">
        <v>793</v>
      </c>
      <c r="D52" s="5" t="s">
        <v>794</v>
      </c>
      <c r="E52" s="5">
        <v>1.35</v>
      </c>
    </row>
    <row r="53" spans="2:5" ht="15" thickBot="1" x14ac:dyDescent="0.4">
      <c r="B53" s="4" t="s">
        <v>449</v>
      </c>
      <c r="C53" s="5" t="s">
        <v>795</v>
      </c>
      <c r="D53" s="5" t="s">
        <v>796</v>
      </c>
      <c r="E53" s="5">
        <v>0.66</v>
      </c>
    </row>
    <row r="54" spans="2:5" ht="39.5" thickBot="1" x14ac:dyDescent="0.4">
      <c r="B54" s="4" t="s">
        <v>486</v>
      </c>
      <c r="C54" s="5" t="s">
        <v>797</v>
      </c>
      <c r="D54" s="5" t="s">
        <v>798</v>
      </c>
      <c r="E54" s="5">
        <v>0.22500000000000001</v>
      </c>
    </row>
    <row r="55" spans="2:5" ht="15" thickBot="1" x14ac:dyDescent="0.4">
      <c r="B55" s="4" t="s">
        <v>475</v>
      </c>
      <c r="C55" s="5" t="s">
        <v>544</v>
      </c>
      <c r="D55" s="5" t="s">
        <v>799</v>
      </c>
      <c r="E55" s="5">
        <v>0.2</v>
      </c>
    </row>
    <row r="56" spans="2:5" ht="15" thickBot="1" x14ac:dyDescent="0.4">
      <c r="B56" s="4" t="s">
        <v>465</v>
      </c>
      <c r="C56" s="5" t="s">
        <v>553</v>
      </c>
      <c r="D56" s="5" t="s">
        <v>554</v>
      </c>
      <c r="E56" s="5">
        <v>0.26</v>
      </c>
    </row>
    <row r="57" spans="2:5" ht="15" thickBot="1" x14ac:dyDescent="0.4">
      <c r="B57" s="4" t="s">
        <v>450</v>
      </c>
      <c r="C57" s="5" t="s">
        <v>800</v>
      </c>
      <c r="D57" s="5" t="s">
        <v>801</v>
      </c>
      <c r="E57" s="5">
        <v>0.93</v>
      </c>
    </row>
    <row r="58" spans="2:5" ht="15" thickBot="1" x14ac:dyDescent="0.4">
      <c r="B58" s="4" t="s">
        <v>170</v>
      </c>
      <c r="C58" s="5" t="s">
        <v>553</v>
      </c>
      <c r="D58" s="5" t="s">
        <v>554</v>
      </c>
      <c r="E58" s="5">
        <v>0.26</v>
      </c>
    </row>
    <row r="59" spans="2:5" ht="62.5" customHeight="1" thickBot="1" x14ac:dyDescent="0.4">
      <c r="B59" s="4" t="s">
        <v>484</v>
      </c>
      <c r="C59" s="5" t="s">
        <v>797</v>
      </c>
      <c r="D59" s="5" t="s">
        <v>798</v>
      </c>
      <c r="E59" s="5">
        <v>0.22500000000000001</v>
      </c>
    </row>
    <row r="60" spans="2:5" ht="26.5" thickBot="1" x14ac:dyDescent="0.4">
      <c r="B60" s="4" t="s">
        <v>451</v>
      </c>
      <c r="C60" s="5" t="s">
        <v>802</v>
      </c>
      <c r="D60" s="5" t="s">
        <v>803</v>
      </c>
      <c r="E60" s="5">
        <v>0.25</v>
      </c>
    </row>
    <row r="61" spans="2:5" ht="15" thickBot="1" x14ac:dyDescent="0.4">
      <c r="B61" s="4" t="s">
        <v>488</v>
      </c>
      <c r="C61" s="5" t="s">
        <v>804</v>
      </c>
      <c r="D61" s="5" t="s">
        <v>805</v>
      </c>
      <c r="E61" s="5">
        <v>0.19</v>
      </c>
    </row>
    <row r="62" spans="2:5" ht="26.5" thickBot="1" x14ac:dyDescent="0.4">
      <c r="B62" s="4" t="s">
        <v>490</v>
      </c>
      <c r="C62" s="5" t="s">
        <v>806</v>
      </c>
      <c r="D62" s="5" t="s">
        <v>807</v>
      </c>
      <c r="E62" s="5">
        <v>0.9</v>
      </c>
    </row>
    <row r="63" spans="2:5" ht="15" thickBot="1" x14ac:dyDescent="0.4">
      <c r="B63" s="4" t="s">
        <v>452</v>
      </c>
      <c r="C63" s="5" t="s">
        <v>808</v>
      </c>
      <c r="D63" s="5" t="s">
        <v>809</v>
      </c>
      <c r="E63" s="5">
        <v>0.27</v>
      </c>
    </row>
    <row r="64" spans="2:5" ht="26.5" thickBot="1" x14ac:dyDescent="0.4">
      <c r="B64" s="4" t="s">
        <v>454</v>
      </c>
      <c r="C64" s="5" t="s">
        <v>810</v>
      </c>
      <c r="D64" s="5" t="s">
        <v>811</v>
      </c>
      <c r="E64" s="5">
        <v>0.9</v>
      </c>
    </row>
    <row r="65" spans="2:5" ht="15" thickBot="1" x14ac:dyDescent="0.4">
      <c r="B65" s="4" t="s">
        <v>469</v>
      </c>
      <c r="C65" s="5" t="s">
        <v>541</v>
      </c>
      <c r="D65" s="5" t="s">
        <v>812</v>
      </c>
      <c r="E65" s="5">
        <v>0.3332</v>
      </c>
    </row>
    <row r="66" spans="2:5" ht="15" thickBot="1" x14ac:dyDescent="0.4">
      <c r="B66" s="4" t="s">
        <v>470</v>
      </c>
      <c r="C66" s="5" t="s">
        <v>550</v>
      </c>
      <c r="D66" s="5" t="s">
        <v>813</v>
      </c>
      <c r="E66" s="5">
        <v>0.23</v>
      </c>
    </row>
    <row r="67" spans="2:5" ht="15" thickBot="1" x14ac:dyDescent="0.4">
      <c r="B67" s="4" t="s">
        <v>471</v>
      </c>
      <c r="C67" s="5" t="s">
        <v>539</v>
      </c>
      <c r="D67" s="5" t="s">
        <v>540</v>
      </c>
      <c r="E67" s="5">
        <v>0.21049999999999999</v>
      </c>
    </row>
    <row r="68" spans="2:5" ht="15" thickBot="1" x14ac:dyDescent="0.4">
      <c r="B68" s="4" t="s">
        <v>468</v>
      </c>
      <c r="C68" s="5" t="s">
        <v>549</v>
      </c>
      <c r="D68" s="5" t="s">
        <v>814</v>
      </c>
      <c r="E68" s="5">
        <v>0.14000000000000001</v>
      </c>
    </row>
    <row r="69" spans="2:5" ht="15" thickBot="1" x14ac:dyDescent="0.4">
      <c r="B69" s="4" t="s">
        <v>472</v>
      </c>
      <c r="C69" s="5" t="s">
        <v>553</v>
      </c>
      <c r="D69" s="5" t="s">
        <v>554</v>
      </c>
      <c r="E69" s="5">
        <v>0.26</v>
      </c>
    </row>
    <row r="70" spans="2:5" ht="52.5" thickBot="1" x14ac:dyDescent="0.4">
      <c r="B70" s="4" t="s">
        <v>173</v>
      </c>
      <c r="C70" s="5" t="s">
        <v>545</v>
      </c>
      <c r="D70" s="5" t="s">
        <v>546</v>
      </c>
      <c r="E70" s="5">
        <v>0.21310000000000001</v>
      </c>
    </row>
    <row r="71" spans="2:5" ht="65.5" thickBot="1" x14ac:dyDescent="0.4">
      <c r="B71" s="4" t="s">
        <v>483</v>
      </c>
      <c r="C71" s="5" t="s">
        <v>815</v>
      </c>
      <c r="D71" s="5" t="s">
        <v>816</v>
      </c>
      <c r="E71" s="5">
        <v>0.21</v>
      </c>
    </row>
    <row r="72" spans="2:5" ht="26.5" thickBot="1" x14ac:dyDescent="0.4">
      <c r="B72" s="4" t="s">
        <v>476</v>
      </c>
      <c r="C72" s="5" t="s">
        <v>542</v>
      </c>
      <c r="D72" s="5" t="s">
        <v>543</v>
      </c>
      <c r="E72" s="5">
        <v>0.2</v>
      </c>
    </row>
    <row r="73" spans="2:5" ht="15" thickBot="1" x14ac:dyDescent="0.4">
      <c r="B73" s="4" t="s">
        <v>481</v>
      </c>
      <c r="C73" s="5" t="s">
        <v>551</v>
      </c>
      <c r="D73" s="5" t="s">
        <v>552</v>
      </c>
      <c r="E73" s="5">
        <v>0.38</v>
      </c>
    </row>
    <row r="74" spans="2:5" ht="15" thickBot="1" x14ac:dyDescent="0.4">
      <c r="B74" s="4" t="s">
        <v>482</v>
      </c>
      <c r="C74" s="5" t="s">
        <v>551</v>
      </c>
      <c r="D74" s="5" t="s">
        <v>552</v>
      </c>
      <c r="E74" s="5">
        <v>0.38</v>
      </c>
    </row>
    <row r="75" spans="2:5" ht="26.5" thickBot="1" x14ac:dyDescent="0.4">
      <c r="B75" s="4" t="s">
        <v>456</v>
      </c>
      <c r="C75" s="5" t="s">
        <v>817</v>
      </c>
      <c r="D75" s="5" t="s">
        <v>818</v>
      </c>
      <c r="E75" s="5">
        <v>0.24</v>
      </c>
    </row>
    <row r="76" spans="2:5" ht="15" thickBot="1" x14ac:dyDescent="0.4">
      <c r="B76" s="4" t="s">
        <v>701</v>
      </c>
      <c r="C76" s="5" t="s">
        <v>819</v>
      </c>
      <c r="D76" s="5" t="s">
        <v>820</v>
      </c>
      <c r="E76" s="5">
        <v>0.86</v>
      </c>
    </row>
    <row r="77" spans="2:5" ht="15" thickBot="1" x14ac:dyDescent="0.4">
      <c r="B77" s="4" t="s">
        <v>457</v>
      </c>
      <c r="C77" s="5" t="s">
        <v>821</v>
      </c>
      <c r="D77" s="5" t="s">
        <v>822</v>
      </c>
      <c r="E77" s="5">
        <v>0.4657</v>
      </c>
    </row>
    <row r="78" spans="2:5" ht="26.5" thickBot="1" x14ac:dyDescent="0.4">
      <c r="B78" s="4" t="s">
        <v>458</v>
      </c>
      <c r="C78" s="5" t="s">
        <v>547</v>
      </c>
      <c r="D78" s="5" t="s">
        <v>548</v>
      </c>
      <c r="E78" s="5">
        <v>0.1855</v>
      </c>
    </row>
  </sheetData>
  <sheetProtection algorithmName="SHA-512" hashValue="pyK9FvcmXwHm3VZF8nN1+JkX+Ga/9jz9joF+btNkG+Nnxeq4wvhcTzwL8l1aeOX7uAqk1uVGPSVo+qeybgInBA==" saltValue="J62pM1WqeQHUvJFNsKzPbA==" spinCount="100000" sheet="1" objects="1" scenarios="1"/>
  <mergeCells count="11">
    <mergeCell ref="L29:L31"/>
    <mergeCell ref="M29:M31"/>
    <mergeCell ref="N30:N31"/>
    <mergeCell ref="B44:F44"/>
    <mergeCell ref="Q12:T12"/>
    <mergeCell ref="L12:O13"/>
    <mergeCell ref="S16:S25"/>
    <mergeCell ref="F15:H15"/>
    <mergeCell ref="B12:I12"/>
    <mergeCell ref="L18:O18"/>
    <mergeCell ref="L23:O23"/>
  </mergeCells>
  <phoneticPr fontId="20" type="noConversion"/>
  <hyperlinks>
    <hyperlink ref="N29" r:id="rId1" xr:uid="{8AD7C04D-31DE-45D9-96F9-3C598DA6AE69}"/>
    <hyperlink ref="S16" r:id="rId2" tooltip="https://www.racfoundation.org/assets/rac_foundation/content/downloadables/car-and-the-commute-web-version.pdf" xr:uid="{DF6309F5-E672-445E-87A2-B9681DFD242E}"/>
    <hyperlink ref="B5" location="'Benchmarking data'!B12" display="Energy use in building benchmarks" xr:uid="{D94A95FB-3796-429F-96A9-8F5D977B8642}"/>
    <hyperlink ref="B6" location="'Benchmarking data'!M9" display="Water use and waste benchmarks" xr:uid="{74B1615E-21AD-4033-8D7A-4990F1A5C9ED}"/>
    <hyperlink ref="B7" location="'Benchmarking data'!R10" display="Commuting benchmarks" xr:uid="{33D00ED8-4222-4814-8CD3-D62D57641738}"/>
    <hyperlink ref="B8" location="'Benchmarking data'!M23" display="Public transport £/passenger km benchmarks" xr:uid="{9F5BB970-3726-4722-950C-E1D6715F3CCE}"/>
    <hyperlink ref="B9" location="'Benchmarking data'!B45" display="Waste density factors" xr:uid="{3ED7302D-E16E-4D8E-82E7-B548BE1DA441}"/>
    <hyperlink ref="B13" r:id="rId3" xr:uid="{CF60AF85-E6A6-4F80-903B-83AEFDFBF7C2}"/>
    <hyperlink ref="N27" r:id="rId4" xr:uid="{F0912822-F02E-471D-8A80-1FEC78402DB9}"/>
    <hyperlink ref="N28" r:id="rId5" xr:uid="{29562139-5F7C-4C60-9864-3D0AD8201926}"/>
  </hyperlinks>
  <pageMargins left="0.7" right="0.7" top="0.75" bottom="0.75" header="0.3" footer="0.3"/>
  <pageSetup paperSize="9" orientation="portrait" r:id="rId6"/>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CBCBCB"/>
  </sheetPr>
  <dimension ref="B2:BC248"/>
  <sheetViews>
    <sheetView topLeftCell="A66" workbookViewId="0">
      <selection activeCell="R87" sqref="R87"/>
    </sheetView>
  </sheetViews>
  <sheetFormatPr defaultColWidth="8.81640625" defaultRowHeight="14.5" x14ac:dyDescent="0.35"/>
  <cols>
    <col min="1" max="1" width="5.54296875" style="1" customWidth="1"/>
    <col min="2" max="3" width="8.81640625" style="1"/>
    <col min="4" max="4" width="37.1796875" style="1" customWidth="1"/>
    <col min="5" max="12" width="8.81640625" style="1"/>
    <col min="13" max="14" width="18.1796875" style="1" customWidth="1"/>
    <col min="15" max="17" width="24.1796875" style="1" customWidth="1"/>
    <col min="18" max="19" width="28.81640625" style="1" customWidth="1"/>
    <col min="20" max="20" width="8.81640625" style="1"/>
    <col min="21" max="21" width="32" style="1" customWidth="1"/>
    <col min="22" max="24" width="28" style="1" customWidth="1"/>
    <col min="25" max="25" width="18.81640625" style="1" customWidth="1"/>
    <col min="26" max="30" width="8.81640625" style="1"/>
    <col min="31" max="34" width="17.81640625" style="1" customWidth="1"/>
    <col min="35" max="36" width="24.54296875" style="1" customWidth="1"/>
    <col min="37" max="37" width="8.81640625" style="1"/>
    <col min="38" max="38" width="27.54296875" style="1" customWidth="1"/>
    <col min="39" max="48" width="8.81640625" style="1"/>
    <col min="49" max="49" width="8.81640625" style="281"/>
    <col min="50" max="50" width="8.81640625" style="1"/>
    <col min="51" max="51" width="18.54296875" style="1" customWidth="1"/>
    <col min="52" max="52" width="15" style="1" customWidth="1"/>
    <col min="53" max="16384" width="8.81640625" style="1"/>
  </cols>
  <sheetData>
    <row r="2" spans="2:55" ht="18.5" x14ac:dyDescent="0.45">
      <c r="B2" s="591" t="s">
        <v>555</v>
      </c>
      <c r="C2" s="592"/>
      <c r="D2" s="593"/>
      <c r="E2" s="119"/>
      <c r="F2" s="120"/>
      <c r="G2" s="594" t="s">
        <v>556</v>
      </c>
      <c r="H2" s="595"/>
      <c r="I2" s="595"/>
      <c r="J2" s="596"/>
      <c r="L2" s="117" t="s">
        <v>332</v>
      </c>
      <c r="M2" s="118"/>
      <c r="O2" s="134" t="s">
        <v>56</v>
      </c>
      <c r="P2" s="134"/>
      <c r="Q2" s="134"/>
      <c r="R2" s="135"/>
      <c r="S2" s="135"/>
      <c r="U2" s="108" t="s">
        <v>73</v>
      </c>
      <c r="V2" s="108"/>
      <c r="W2" s="108"/>
      <c r="X2" s="108"/>
      <c r="AE2" s="90" t="s">
        <v>557</v>
      </c>
      <c r="AF2" s="91"/>
      <c r="AG2" s="91"/>
      <c r="AH2" s="91"/>
      <c r="AI2" s="91"/>
      <c r="AJ2" s="91"/>
      <c r="AL2" s="44" t="s">
        <v>78</v>
      </c>
      <c r="AP2" s="90" t="s">
        <v>558</v>
      </c>
      <c r="AQ2" s="91"/>
      <c r="AU2" s="85" t="s">
        <v>559</v>
      </c>
      <c r="AV2" s="84"/>
      <c r="AZ2" s="90" t="s">
        <v>560</v>
      </c>
      <c r="BA2" s="90"/>
    </row>
    <row r="3" spans="2:55" ht="15" thickBot="1" x14ac:dyDescent="0.4">
      <c r="B3" s="15" t="s">
        <v>115</v>
      </c>
      <c r="C3" s="15" t="s">
        <v>116</v>
      </c>
      <c r="D3" s="15" t="s">
        <v>561</v>
      </c>
      <c r="E3" s="15" t="s">
        <v>562</v>
      </c>
      <c r="F3" s="15"/>
      <c r="G3" s="15" t="s">
        <v>147</v>
      </c>
      <c r="H3" s="15"/>
      <c r="I3" s="15" t="s">
        <v>563</v>
      </c>
      <c r="J3" s="15"/>
      <c r="K3" s="15"/>
      <c r="L3" s="15" t="s">
        <v>564</v>
      </c>
      <c r="M3" s="15" t="s">
        <v>186</v>
      </c>
      <c r="N3" s="15"/>
      <c r="O3" s="15" t="s">
        <v>565</v>
      </c>
      <c r="P3" s="15" t="s">
        <v>144</v>
      </c>
      <c r="Q3" s="15" t="s">
        <v>146</v>
      </c>
      <c r="R3" s="15" t="s">
        <v>150</v>
      </c>
      <c r="S3" s="15" t="s">
        <v>152</v>
      </c>
      <c r="U3" s="15" t="s">
        <v>566</v>
      </c>
      <c r="V3" s="15" t="s">
        <v>567</v>
      </c>
      <c r="W3" s="15" t="s">
        <v>568</v>
      </c>
      <c r="X3" s="15" t="s">
        <v>569</v>
      </c>
      <c r="Y3" s="15"/>
      <c r="AA3" s="15"/>
      <c r="AB3" s="15"/>
      <c r="AC3" s="15"/>
      <c r="AD3" s="15"/>
      <c r="AE3" s="15" t="s">
        <v>570</v>
      </c>
      <c r="AF3" s="15" t="s">
        <v>71</v>
      </c>
      <c r="AG3" s="15" t="s">
        <v>72</v>
      </c>
      <c r="AH3" s="15"/>
      <c r="AL3" s="15" t="s">
        <v>1196</v>
      </c>
      <c r="AM3" s="15" t="s">
        <v>324</v>
      </c>
      <c r="AP3" s="15" t="s">
        <v>199</v>
      </c>
      <c r="AU3" s="1" t="s">
        <v>1033</v>
      </c>
      <c r="AV3" s="1" t="s">
        <v>87</v>
      </c>
      <c r="AW3" s="281" t="s">
        <v>204</v>
      </c>
      <c r="BA3" s="15" t="s">
        <v>131</v>
      </c>
      <c r="BB3" s="15" t="s">
        <v>163</v>
      </c>
      <c r="BC3" s="15" t="s">
        <v>134</v>
      </c>
    </row>
    <row r="4" spans="2:55" ht="15" thickBot="1" x14ac:dyDescent="0.4">
      <c r="B4" s="1" t="s">
        <v>131</v>
      </c>
      <c r="C4" s="438">
        <v>0.01</v>
      </c>
      <c r="D4" s="1" t="s">
        <v>145</v>
      </c>
      <c r="E4" s="1" t="s">
        <v>358</v>
      </c>
      <c r="G4" s="1" t="s">
        <v>1136</v>
      </c>
      <c r="I4" s="1" t="s">
        <v>1074</v>
      </c>
      <c r="L4" s="1" t="s">
        <v>493</v>
      </c>
      <c r="M4" s="1" t="s">
        <v>499</v>
      </c>
      <c r="O4" s="1" t="s">
        <v>128</v>
      </c>
      <c r="P4" s="1" t="s">
        <v>571</v>
      </c>
      <c r="Q4" s="1" t="s">
        <v>412</v>
      </c>
      <c r="R4" s="1" t="s">
        <v>412</v>
      </c>
      <c r="S4" s="1" t="s">
        <v>393</v>
      </c>
      <c r="U4" s="1" t="s">
        <v>465</v>
      </c>
      <c r="V4" s="1" t="s">
        <v>170</v>
      </c>
      <c r="W4" s="1" t="s">
        <v>444</v>
      </c>
      <c r="X4" s="1" t="s">
        <v>172</v>
      </c>
      <c r="AE4" s="1" t="s">
        <v>416</v>
      </c>
      <c r="AF4" s="1" t="s">
        <v>416</v>
      </c>
      <c r="AG4" s="1" t="s">
        <v>72</v>
      </c>
      <c r="AL4" s="1" t="s">
        <v>319</v>
      </c>
      <c r="AM4" s="1" t="s">
        <v>327</v>
      </c>
      <c r="AP4" s="45" t="s">
        <v>87</v>
      </c>
      <c r="AU4" s="1" t="s">
        <v>1034</v>
      </c>
      <c r="AV4" s="1" t="s">
        <v>87</v>
      </c>
      <c r="AW4" s="281" t="s">
        <v>205</v>
      </c>
      <c r="AY4" s="1" t="s">
        <v>572</v>
      </c>
      <c r="AZ4" s="1" t="s">
        <v>129</v>
      </c>
      <c r="BA4" s="122">
        <v>2.5000000000000001E-2</v>
      </c>
      <c r="BB4" s="122">
        <v>0.05</v>
      </c>
      <c r="BC4" s="122">
        <v>0.1</v>
      </c>
    </row>
    <row r="5" spans="2:55" ht="15" thickBot="1" x14ac:dyDescent="0.4">
      <c r="B5" s="1" t="s">
        <v>163</v>
      </c>
      <c r="C5" s="438">
        <v>0.02</v>
      </c>
      <c r="D5" s="1" t="s">
        <v>133</v>
      </c>
      <c r="E5" s="1" t="s">
        <v>359</v>
      </c>
      <c r="G5" s="1" t="s">
        <v>1220</v>
      </c>
      <c r="I5" s="1" t="s">
        <v>1075</v>
      </c>
      <c r="L5" s="1" t="s">
        <v>494</v>
      </c>
      <c r="M5" s="1" t="s">
        <v>500</v>
      </c>
      <c r="O5" s="1" t="s">
        <v>573</v>
      </c>
      <c r="P5" s="1" t="s">
        <v>574</v>
      </c>
      <c r="Q5" s="1" t="s">
        <v>401</v>
      </c>
      <c r="R5" s="1" t="s">
        <v>401</v>
      </c>
      <c r="S5" s="1" t="s">
        <v>388</v>
      </c>
      <c r="U5" s="1" t="s">
        <v>482</v>
      </c>
      <c r="V5" s="1" t="s">
        <v>465</v>
      </c>
      <c r="W5" s="1" t="s">
        <v>446</v>
      </c>
      <c r="X5" s="1" t="s">
        <v>445</v>
      </c>
      <c r="AE5" s="1" t="s">
        <v>420</v>
      </c>
      <c r="AF5" s="1" t="s">
        <v>160</v>
      </c>
      <c r="AL5" s="1" t="s">
        <v>321</v>
      </c>
      <c r="AM5" s="1" t="s">
        <v>329</v>
      </c>
      <c r="AP5" s="46" t="s">
        <v>89</v>
      </c>
      <c r="AU5" s="1" t="s">
        <v>1035</v>
      </c>
      <c r="AV5" s="1" t="s">
        <v>87</v>
      </c>
      <c r="AW5" s="281" t="s">
        <v>206</v>
      </c>
      <c r="AY5" s="1" t="s">
        <v>572</v>
      </c>
      <c r="AZ5" s="1" t="s">
        <v>141</v>
      </c>
      <c r="BA5" s="122">
        <v>0.05</v>
      </c>
      <c r="BB5" s="123">
        <v>7.4999999999999997E-2</v>
      </c>
      <c r="BC5" s="122">
        <v>0.125</v>
      </c>
    </row>
    <row r="6" spans="2:55" ht="15" thickBot="1" x14ac:dyDescent="0.4">
      <c r="B6" s="1" t="s">
        <v>134</v>
      </c>
      <c r="C6" s="438">
        <v>0.03</v>
      </c>
      <c r="D6" s="1" t="s">
        <v>575</v>
      </c>
      <c r="G6" s="56" t="s">
        <v>580</v>
      </c>
      <c r="L6" s="1" t="s">
        <v>495</v>
      </c>
      <c r="O6" s="1" t="s">
        <v>576</v>
      </c>
      <c r="P6" s="1" t="s">
        <v>577</v>
      </c>
      <c r="Q6" s="1" t="s">
        <v>407</v>
      </c>
      <c r="R6" s="1" t="s">
        <v>407</v>
      </c>
      <c r="U6" s="1" t="s">
        <v>476</v>
      </c>
      <c r="V6" s="1" t="s">
        <v>482</v>
      </c>
      <c r="W6" s="1" t="s">
        <v>447</v>
      </c>
      <c r="AE6" s="1" t="s">
        <v>160</v>
      </c>
      <c r="AF6" s="1" t="s">
        <v>578</v>
      </c>
      <c r="AL6" s="1" t="s">
        <v>322</v>
      </c>
      <c r="AP6" s="46" t="s">
        <v>90</v>
      </c>
      <c r="AU6" s="1" t="s">
        <v>1036</v>
      </c>
      <c r="AV6" s="1" t="s">
        <v>89</v>
      </c>
      <c r="AW6" s="281" t="s">
        <v>207</v>
      </c>
      <c r="AY6" s="1" t="s">
        <v>572</v>
      </c>
      <c r="AZ6" s="1" t="s">
        <v>135</v>
      </c>
      <c r="BA6" s="122">
        <v>0.05</v>
      </c>
      <c r="BB6" s="123">
        <v>7.4999999999999997E-2</v>
      </c>
      <c r="BC6" s="122">
        <v>0.125</v>
      </c>
    </row>
    <row r="7" spans="2:55" ht="16" thickBot="1" x14ac:dyDescent="0.4">
      <c r="C7" s="438">
        <v>0.04</v>
      </c>
      <c r="D7" s="1" t="s">
        <v>579</v>
      </c>
      <c r="G7" s="1" t="s">
        <v>3</v>
      </c>
      <c r="L7" s="1" t="s">
        <v>496</v>
      </c>
      <c r="O7" s="56" t="s">
        <v>581</v>
      </c>
      <c r="P7" s="116"/>
      <c r="Q7" s="1" t="s">
        <v>582</v>
      </c>
      <c r="U7" s="1" t="s">
        <v>481</v>
      </c>
      <c r="V7" s="1" t="s">
        <v>476</v>
      </c>
      <c r="W7" s="1" t="s">
        <v>448</v>
      </c>
      <c r="AE7" s="1" t="s">
        <v>578</v>
      </c>
      <c r="AL7" s="1" t="s">
        <v>583</v>
      </c>
      <c r="AP7" s="46" t="s">
        <v>91</v>
      </c>
      <c r="AU7" s="1" t="s">
        <v>1037</v>
      </c>
      <c r="AV7" s="1" t="s">
        <v>89</v>
      </c>
      <c r="AW7" s="281" t="s">
        <v>1056</v>
      </c>
      <c r="AY7" s="1" t="s">
        <v>572</v>
      </c>
      <c r="AZ7" s="1" t="s">
        <v>137</v>
      </c>
      <c r="BA7" s="122">
        <v>0.05</v>
      </c>
      <c r="BB7" s="123">
        <v>7.4999999999999997E-2</v>
      </c>
      <c r="BC7" s="122">
        <v>0.125</v>
      </c>
    </row>
    <row r="8" spans="2:55" ht="16" thickBot="1" x14ac:dyDescent="0.4">
      <c r="B8" s="1" t="s">
        <v>584</v>
      </c>
      <c r="C8" s="438">
        <v>0.05</v>
      </c>
      <c r="D8" s="1" t="s">
        <v>585</v>
      </c>
      <c r="G8" s="1" t="s">
        <v>1076</v>
      </c>
      <c r="L8" s="1" t="s">
        <v>497</v>
      </c>
      <c r="O8" s="56" t="s">
        <v>586</v>
      </c>
      <c r="P8" s="116"/>
      <c r="Q8" s="1" t="s">
        <v>149</v>
      </c>
      <c r="U8" s="1" t="s">
        <v>173</v>
      </c>
      <c r="V8" s="1" t="s">
        <v>481</v>
      </c>
      <c r="W8" s="1" t="s">
        <v>449</v>
      </c>
      <c r="AE8" s="1" t="s">
        <v>438</v>
      </c>
      <c r="AL8" s="15" t="s">
        <v>587</v>
      </c>
      <c r="AM8" s="15" t="s">
        <v>588</v>
      </c>
      <c r="AP8" s="46" t="s">
        <v>92</v>
      </c>
      <c r="AU8" s="1" t="s">
        <v>209</v>
      </c>
      <c r="AV8" s="1" t="s">
        <v>89</v>
      </c>
      <c r="AW8" s="281" t="s">
        <v>208</v>
      </c>
      <c r="AY8" s="1" t="s">
        <v>572</v>
      </c>
      <c r="AZ8" s="1" t="s">
        <v>379</v>
      </c>
      <c r="BA8" s="122">
        <v>0.05</v>
      </c>
      <c r="BB8" s="123">
        <v>7.4999999999999997E-2</v>
      </c>
      <c r="BC8" s="123">
        <v>0.125</v>
      </c>
    </row>
    <row r="9" spans="2:55" ht="16" thickBot="1" x14ac:dyDescent="0.4">
      <c r="B9" s="1" t="s">
        <v>134</v>
      </c>
      <c r="C9" s="439">
        <v>7.4999999999999997E-2</v>
      </c>
      <c r="D9" s="1" t="s">
        <v>589</v>
      </c>
      <c r="G9" s="1" t="s">
        <v>1073</v>
      </c>
      <c r="L9" s="1" t="s">
        <v>498</v>
      </c>
      <c r="O9" s="56" t="s">
        <v>590</v>
      </c>
      <c r="P9" s="116"/>
      <c r="Q9" s="1" t="s">
        <v>591</v>
      </c>
      <c r="U9" s="1" t="s">
        <v>468</v>
      </c>
      <c r="V9" s="1" t="s">
        <v>173</v>
      </c>
      <c r="W9" s="1" t="s">
        <v>450</v>
      </c>
      <c r="AE9" s="1" t="s">
        <v>401</v>
      </c>
      <c r="AL9" s="1" t="s">
        <v>592</v>
      </c>
      <c r="AM9" s="1" t="s">
        <v>328</v>
      </c>
      <c r="AP9" s="46" t="s">
        <v>93</v>
      </c>
      <c r="AU9" s="1" t="s">
        <v>211</v>
      </c>
      <c r="AV9" s="1" t="s">
        <v>89</v>
      </c>
      <c r="AW9" s="281" t="s">
        <v>210</v>
      </c>
      <c r="AY9" s="1" t="s">
        <v>572</v>
      </c>
      <c r="AZ9" s="1" t="s">
        <v>162</v>
      </c>
      <c r="BA9" s="122">
        <v>0.05</v>
      </c>
      <c r="BB9" s="123">
        <v>7.4999999999999997E-2</v>
      </c>
      <c r="BC9" s="123">
        <v>0.125</v>
      </c>
    </row>
    <row r="10" spans="2:55" ht="16" thickBot="1" x14ac:dyDescent="0.4">
      <c r="C10" s="438">
        <v>0.1</v>
      </c>
      <c r="D10" s="1" t="s">
        <v>593</v>
      </c>
      <c r="G10" s="1" t="s">
        <v>1077</v>
      </c>
      <c r="O10" s="116"/>
      <c r="P10" s="116"/>
      <c r="U10" s="1" t="s">
        <v>469</v>
      </c>
      <c r="V10" s="1" t="s">
        <v>468</v>
      </c>
      <c r="W10" s="1" t="s">
        <v>451</v>
      </c>
      <c r="AL10" s="1" t="s">
        <v>320</v>
      </c>
      <c r="AM10" s="1" t="s">
        <v>595</v>
      </c>
      <c r="AP10" s="46" t="s">
        <v>94</v>
      </c>
      <c r="AU10" s="1" t="s">
        <v>213</v>
      </c>
      <c r="AV10" s="1" t="s">
        <v>90</v>
      </c>
      <c r="AW10" s="281" t="s">
        <v>212</v>
      </c>
      <c r="AY10" s="1" t="s">
        <v>572</v>
      </c>
      <c r="AZ10" s="1" t="s">
        <v>335</v>
      </c>
      <c r="BA10" s="122">
        <v>0.05</v>
      </c>
      <c r="BB10" s="122">
        <v>7.4999999999999997E-2</v>
      </c>
      <c r="BC10" s="123">
        <v>0.125</v>
      </c>
    </row>
    <row r="11" spans="2:55" ht="16" thickBot="1" x14ac:dyDescent="0.4">
      <c r="B11" s="1" t="s">
        <v>596</v>
      </c>
      <c r="C11" s="439">
        <v>0.125</v>
      </c>
      <c r="G11" s="1" t="s">
        <v>1135</v>
      </c>
      <c r="O11" s="116"/>
      <c r="P11" s="116"/>
      <c r="U11" s="1" t="s">
        <v>471</v>
      </c>
      <c r="V11" s="1" t="s">
        <v>469</v>
      </c>
      <c r="W11" s="1" t="s">
        <v>452</v>
      </c>
      <c r="AL11" s="1" t="s">
        <v>597</v>
      </c>
      <c r="AM11" s="1" t="s">
        <v>598</v>
      </c>
      <c r="AP11" s="46" t="s">
        <v>95</v>
      </c>
      <c r="AU11" s="1" t="s">
        <v>214</v>
      </c>
      <c r="AV11" s="1" t="s">
        <v>90</v>
      </c>
      <c r="AW11" s="281" t="s">
        <v>1057</v>
      </c>
      <c r="AY11" s="1" t="s">
        <v>572</v>
      </c>
      <c r="AZ11" s="1" t="s">
        <v>337</v>
      </c>
      <c r="BA11" s="122">
        <v>0.05</v>
      </c>
      <c r="BB11" s="122">
        <v>0.1</v>
      </c>
      <c r="BC11" s="123">
        <v>0.15</v>
      </c>
    </row>
    <row r="12" spans="2:55" ht="16" thickBot="1" x14ac:dyDescent="0.4">
      <c r="B12" s="1" t="s">
        <v>134</v>
      </c>
      <c r="C12" s="438">
        <v>0.2</v>
      </c>
      <c r="G12" s="76" t="s">
        <v>594</v>
      </c>
      <c r="O12" s="116"/>
      <c r="P12" s="116"/>
      <c r="U12" s="1" t="s">
        <v>470</v>
      </c>
      <c r="V12" s="1" t="s">
        <v>471</v>
      </c>
      <c r="W12" s="1" t="s">
        <v>453</v>
      </c>
      <c r="AE12" s="15" t="s">
        <v>600</v>
      </c>
      <c r="AF12" s="15" t="s">
        <v>601</v>
      </c>
      <c r="AG12" s="15" t="s">
        <v>602</v>
      </c>
      <c r="AI12" s="15" t="s">
        <v>1063</v>
      </c>
      <c r="AJ12" s="15" t="s">
        <v>1064</v>
      </c>
      <c r="AL12" s="1" t="s">
        <v>603</v>
      </c>
      <c r="AP12" s="46" t="s">
        <v>96</v>
      </c>
      <c r="AU12" s="1" t="s">
        <v>216</v>
      </c>
      <c r="AV12" s="1" t="s">
        <v>90</v>
      </c>
      <c r="AW12" s="281" t="s">
        <v>215</v>
      </c>
      <c r="AY12" s="1" t="s">
        <v>572</v>
      </c>
      <c r="AZ12" s="1" t="s">
        <v>501</v>
      </c>
      <c r="BA12" s="122">
        <v>0.05</v>
      </c>
      <c r="BB12" s="122">
        <v>0.1</v>
      </c>
      <c r="BC12" s="123">
        <v>0.15</v>
      </c>
    </row>
    <row r="13" spans="2:55" ht="16" thickBot="1" x14ac:dyDescent="0.4">
      <c r="B13" s="1" t="s">
        <v>163</v>
      </c>
      <c r="C13" s="438">
        <v>0.15</v>
      </c>
      <c r="O13" s="116"/>
      <c r="P13" s="116"/>
      <c r="Q13" s="29"/>
      <c r="S13" s="15" t="s">
        <v>604</v>
      </c>
      <c r="U13" s="1" t="s">
        <v>472</v>
      </c>
      <c r="V13" s="1" t="s">
        <v>470</v>
      </c>
      <c r="W13" s="1" t="s">
        <v>454</v>
      </c>
      <c r="AE13" s="1" t="s">
        <v>403</v>
      </c>
      <c r="AF13" s="1" t="s">
        <v>417</v>
      </c>
      <c r="AG13" s="1" t="s">
        <v>379</v>
      </c>
      <c r="AI13" s="1" t="s">
        <v>161</v>
      </c>
      <c r="AJ13" s="1" t="s">
        <v>379</v>
      </c>
      <c r="AL13" s="1" t="s">
        <v>605</v>
      </c>
      <c r="AP13" s="46" t="s">
        <v>97</v>
      </c>
      <c r="AU13" s="1" t="s">
        <v>218</v>
      </c>
      <c r="AV13" s="1" t="s">
        <v>90</v>
      </c>
      <c r="AW13" s="281" t="s">
        <v>217</v>
      </c>
      <c r="AY13" s="1" t="s">
        <v>572</v>
      </c>
      <c r="AZ13" s="1" t="s">
        <v>372</v>
      </c>
      <c r="BA13" s="122">
        <v>0.05</v>
      </c>
      <c r="BB13" s="122">
        <v>7.4999999999999997E-2</v>
      </c>
      <c r="BC13" s="123">
        <v>0.125</v>
      </c>
    </row>
    <row r="14" spans="2:55" ht="15" thickBot="1" x14ac:dyDescent="0.4">
      <c r="C14" s="438">
        <v>0.2</v>
      </c>
      <c r="G14" s="57" t="s">
        <v>599</v>
      </c>
      <c r="O14" s="15" t="s">
        <v>110</v>
      </c>
      <c r="P14" s="57" t="s">
        <v>143</v>
      </c>
      <c r="Q14" s="15" t="s">
        <v>607</v>
      </c>
      <c r="R14" s="15" t="s">
        <v>608</v>
      </c>
      <c r="S14" s="1" t="s">
        <v>395</v>
      </c>
      <c r="U14" s="1" t="s">
        <v>474</v>
      </c>
      <c r="V14" s="1" t="s">
        <v>472</v>
      </c>
      <c r="W14" s="1" t="s">
        <v>456</v>
      </c>
      <c r="AE14" s="1" t="s">
        <v>404</v>
      </c>
      <c r="AF14" s="1" t="s">
        <v>418</v>
      </c>
      <c r="AG14" s="1" t="s">
        <v>162</v>
      </c>
      <c r="AJ14" s="1" t="s">
        <v>162</v>
      </c>
      <c r="AL14" s="1" t="s">
        <v>609</v>
      </c>
      <c r="AP14" s="46" t="s">
        <v>98</v>
      </c>
      <c r="AU14" s="1" t="s">
        <v>220</v>
      </c>
      <c r="AV14" s="1" t="s">
        <v>90</v>
      </c>
      <c r="AW14" s="281" t="s">
        <v>219</v>
      </c>
      <c r="AY14" s="1" t="s">
        <v>572</v>
      </c>
      <c r="AZ14" s="1" t="s">
        <v>383</v>
      </c>
      <c r="BA14" s="122">
        <v>0.05</v>
      </c>
      <c r="BB14" s="123">
        <v>7.4999999999999997E-2</v>
      </c>
      <c r="BC14" s="122">
        <v>0.125</v>
      </c>
    </row>
    <row r="15" spans="2:55" ht="15" thickBot="1" x14ac:dyDescent="0.4">
      <c r="B15" s="1" t="s">
        <v>610</v>
      </c>
      <c r="C15" s="438">
        <v>0.25</v>
      </c>
      <c r="G15" s="1" t="s">
        <v>17</v>
      </c>
      <c r="O15" s="1" t="s">
        <v>129</v>
      </c>
      <c r="P15" s="1" t="s">
        <v>139</v>
      </c>
      <c r="Q15" s="1" t="s">
        <v>379</v>
      </c>
      <c r="R15" s="1" t="s">
        <v>161</v>
      </c>
      <c r="S15" s="15" t="s">
        <v>612</v>
      </c>
      <c r="U15" s="1" t="s">
        <v>475</v>
      </c>
      <c r="V15" s="1" t="s">
        <v>474</v>
      </c>
      <c r="W15" s="1" t="s">
        <v>457</v>
      </c>
      <c r="AF15" s="1" t="s">
        <v>419</v>
      </c>
      <c r="AG15" s="1" t="s">
        <v>413</v>
      </c>
      <c r="AJ15" s="1" t="s">
        <v>135</v>
      </c>
      <c r="AP15" s="46" t="s">
        <v>99</v>
      </c>
      <c r="AU15" s="1" t="s">
        <v>222</v>
      </c>
      <c r="AV15" s="1" t="s">
        <v>90</v>
      </c>
      <c r="AW15" s="281" t="s">
        <v>221</v>
      </c>
      <c r="AY15" s="1" t="s">
        <v>572</v>
      </c>
      <c r="AZ15" s="1" t="s">
        <v>386</v>
      </c>
      <c r="BA15" s="122">
        <v>0.05</v>
      </c>
      <c r="BB15" s="123">
        <v>7.4999999999999997E-2</v>
      </c>
      <c r="BC15" s="122">
        <v>0.125</v>
      </c>
    </row>
    <row r="16" spans="2:55" ht="15" thickBot="1" x14ac:dyDescent="0.4">
      <c r="B16" s="1" t="s">
        <v>163</v>
      </c>
      <c r="G16" s="1" t="s">
        <v>606</v>
      </c>
      <c r="O16" s="1" t="s">
        <v>139</v>
      </c>
      <c r="Q16" s="1" t="s">
        <v>162</v>
      </c>
      <c r="S16" s="1" t="s">
        <v>390</v>
      </c>
      <c r="U16" s="1" t="s">
        <v>446</v>
      </c>
      <c r="V16" s="1" t="s">
        <v>475</v>
      </c>
      <c r="W16" s="1" t="s">
        <v>458</v>
      </c>
      <c r="AF16" s="1" t="s">
        <v>161</v>
      </c>
      <c r="AG16" s="1" t="s">
        <v>414</v>
      </c>
      <c r="AJ16" s="1" t="s">
        <v>405</v>
      </c>
      <c r="AL16" s="15" t="s">
        <v>614</v>
      </c>
      <c r="AM16" s="15" t="s">
        <v>615</v>
      </c>
      <c r="AP16" s="46" t="s">
        <v>100</v>
      </c>
      <c r="AU16" s="1" t="s">
        <v>224</v>
      </c>
      <c r="AV16" s="1" t="s">
        <v>90</v>
      </c>
      <c r="AW16" s="281" t="s">
        <v>223</v>
      </c>
      <c r="AY16" s="1" t="s">
        <v>572</v>
      </c>
      <c r="AZ16" s="1" t="s">
        <v>412</v>
      </c>
      <c r="BA16" s="122">
        <v>0.05</v>
      </c>
      <c r="BB16" s="123">
        <v>7.4999999999999997E-2</v>
      </c>
      <c r="BC16" s="122">
        <v>0.125</v>
      </c>
    </row>
    <row r="17" spans="2:55" ht="15" thickBot="1" x14ac:dyDescent="0.4">
      <c r="G17" s="1" t="s">
        <v>611</v>
      </c>
      <c r="O17" s="1" t="s">
        <v>135</v>
      </c>
      <c r="Q17" s="1" t="s">
        <v>383</v>
      </c>
      <c r="S17" s="1" t="s">
        <v>391</v>
      </c>
      <c r="U17" s="1" t="s">
        <v>483</v>
      </c>
      <c r="V17" s="1" t="s">
        <v>483</v>
      </c>
      <c r="W17" s="1" t="s">
        <v>465</v>
      </c>
      <c r="AG17" s="1" t="s">
        <v>405</v>
      </c>
      <c r="AJ17" s="1" t="s">
        <v>406</v>
      </c>
      <c r="AL17" s="1" t="s">
        <v>617</v>
      </c>
      <c r="AM17" s="1" t="s">
        <v>618</v>
      </c>
      <c r="AP17" s="46" t="s">
        <v>101</v>
      </c>
      <c r="AU17" s="1" t="s">
        <v>225</v>
      </c>
      <c r="AV17" s="1" t="s">
        <v>90</v>
      </c>
      <c r="AW17" s="281">
        <v>10.9</v>
      </c>
      <c r="AY17" s="1" t="s">
        <v>572</v>
      </c>
      <c r="AZ17" s="1" t="s">
        <v>401</v>
      </c>
      <c r="BA17" s="122">
        <v>0.05</v>
      </c>
      <c r="BB17" s="123">
        <v>7.4999999999999997E-2</v>
      </c>
      <c r="BC17" s="122">
        <v>0.125</v>
      </c>
    </row>
    <row r="18" spans="2:55" ht="15" thickBot="1" x14ac:dyDescent="0.4">
      <c r="B18" s="1" t="s">
        <v>619</v>
      </c>
      <c r="G18" s="1" t="s">
        <v>613</v>
      </c>
      <c r="O18" s="1" t="s">
        <v>141</v>
      </c>
      <c r="Q18" s="1" t="s">
        <v>386</v>
      </c>
      <c r="U18" s="1" t="s">
        <v>484</v>
      </c>
      <c r="AG18" s="1" t="s">
        <v>415</v>
      </c>
      <c r="AL18" s="1" t="s">
        <v>1146</v>
      </c>
      <c r="AM18" s="1" t="s">
        <v>620</v>
      </c>
      <c r="AP18" s="46" t="s">
        <v>102</v>
      </c>
      <c r="AU18" s="1" t="s">
        <v>227</v>
      </c>
      <c r="AV18" s="1" t="s">
        <v>90</v>
      </c>
      <c r="AW18" s="281" t="s">
        <v>226</v>
      </c>
      <c r="AY18" s="1" t="s">
        <v>572</v>
      </c>
      <c r="AZ18" s="1" t="s">
        <v>407</v>
      </c>
      <c r="BA18" s="122">
        <v>0.05</v>
      </c>
      <c r="BB18" s="123">
        <v>7.4999999999999997E-2</v>
      </c>
      <c r="BC18" s="122">
        <v>0.125</v>
      </c>
    </row>
    <row r="19" spans="2:55" ht="15" thickBot="1" x14ac:dyDescent="0.4">
      <c r="B19" s="1" t="s">
        <v>163</v>
      </c>
      <c r="G19" s="1" t="s">
        <v>616</v>
      </c>
      <c r="H19" s="18"/>
      <c r="O19" s="1" t="s">
        <v>137</v>
      </c>
      <c r="P19" s="15"/>
      <c r="Q19" s="1" t="s">
        <v>137</v>
      </c>
      <c r="S19" s="15" t="s">
        <v>393</v>
      </c>
      <c r="U19" s="1" t="s">
        <v>486</v>
      </c>
      <c r="W19" s="15"/>
      <c r="X19" s="15"/>
      <c r="AL19" s="1" t="s">
        <v>1147</v>
      </c>
      <c r="AM19" s="1" t="s">
        <v>622</v>
      </c>
      <c r="AP19" s="46" t="s">
        <v>103</v>
      </c>
      <c r="AU19" s="1" t="s">
        <v>228</v>
      </c>
      <c r="AV19" s="1" t="s">
        <v>90</v>
      </c>
      <c r="AW19" s="281">
        <v>11.07</v>
      </c>
      <c r="AY19" s="1" t="s">
        <v>572</v>
      </c>
      <c r="AZ19" s="1" t="s">
        <v>139</v>
      </c>
      <c r="BA19" s="122">
        <v>2.5000000000000001E-2</v>
      </c>
      <c r="BB19" s="123">
        <v>0.05</v>
      </c>
      <c r="BC19" s="122">
        <v>0.1</v>
      </c>
    </row>
    <row r="20" spans="2:55" ht="15" thickBot="1" x14ac:dyDescent="0.4">
      <c r="B20" s="1" t="s">
        <v>131</v>
      </c>
      <c r="O20" s="1" t="s">
        <v>335</v>
      </c>
      <c r="Q20" s="1" t="s">
        <v>135</v>
      </c>
      <c r="S20" s="1" t="s">
        <v>394</v>
      </c>
      <c r="U20" s="1" t="s">
        <v>488</v>
      </c>
      <c r="V20" s="15"/>
      <c r="AE20" s="15" t="s">
        <v>624</v>
      </c>
      <c r="AF20" s="15" t="s">
        <v>625</v>
      </c>
      <c r="AG20" s="15" t="s">
        <v>626</v>
      </c>
      <c r="AL20" s="1" t="s">
        <v>1160</v>
      </c>
      <c r="AM20" s="1" t="s">
        <v>627</v>
      </c>
      <c r="AP20" s="46" t="s">
        <v>104</v>
      </c>
      <c r="AU20" s="1" t="s">
        <v>229</v>
      </c>
      <c r="AV20" s="1" t="s">
        <v>90</v>
      </c>
      <c r="AW20" s="281">
        <v>12</v>
      </c>
      <c r="AY20" s="1" t="s">
        <v>619</v>
      </c>
      <c r="AZ20" s="1" t="s">
        <v>420</v>
      </c>
      <c r="BA20" s="122">
        <v>7.4999999999999997E-2</v>
      </c>
      <c r="BB20" s="123">
        <v>0.125</v>
      </c>
      <c r="BC20" s="122"/>
    </row>
    <row r="21" spans="2:55" ht="15" thickBot="1" x14ac:dyDescent="0.4">
      <c r="G21" s="15" t="s">
        <v>1186</v>
      </c>
      <c r="H21" s="15" t="s">
        <v>1124</v>
      </c>
      <c r="O21" s="1" t="s">
        <v>501</v>
      </c>
      <c r="Q21" s="1" t="s">
        <v>139</v>
      </c>
      <c r="S21" s="1" t="s">
        <v>396</v>
      </c>
      <c r="U21" s="1" t="s">
        <v>489</v>
      </c>
      <c r="AE21" s="1" t="s">
        <v>403</v>
      </c>
      <c r="AF21" s="1" t="s">
        <v>417</v>
      </c>
      <c r="AG21" s="1" t="s">
        <v>379</v>
      </c>
      <c r="AL21" s="1" t="s">
        <v>621</v>
      </c>
      <c r="AM21" s="1" t="s">
        <v>629</v>
      </c>
      <c r="AP21" s="46" t="s">
        <v>105</v>
      </c>
      <c r="AU21" s="1" t="s">
        <v>1038</v>
      </c>
      <c r="AV21" s="1" t="s">
        <v>90</v>
      </c>
      <c r="AW21" s="281">
        <v>13</v>
      </c>
      <c r="AY21" s="1" t="s">
        <v>619</v>
      </c>
      <c r="AZ21" s="1" t="s">
        <v>416</v>
      </c>
      <c r="BA21" s="122">
        <v>7.4999999999999997E-2</v>
      </c>
      <c r="BB21" s="123">
        <v>0.125</v>
      </c>
      <c r="BC21" s="122"/>
    </row>
    <row r="22" spans="2:55" ht="15" thickBot="1" x14ac:dyDescent="0.4">
      <c r="B22" s="1" t="s">
        <v>630</v>
      </c>
      <c r="G22" s="1" t="s">
        <v>1136</v>
      </c>
      <c r="H22" s="56" t="s">
        <v>1085</v>
      </c>
      <c r="O22" s="1" t="s">
        <v>337</v>
      </c>
      <c r="S22" s="1" t="s">
        <v>397</v>
      </c>
      <c r="U22" s="1" t="s">
        <v>490</v>
      </c>
      <c r="W22" s="15"/>
      <c r="X22" s="15"/>
      <c r="AE22" s="1" t="s">
        <v>404</v>
      </c>
      <c r="AF22" s="1" t="s">
        <v>418</v>
      </c>
      <c r="AG22" s="1" t="s">
        <v>162</v>
      </c>
      <c r="AP22" s="46" t="s">
        <v>106</v>
      </c>
      <c r="AU22" s="1" t="s">
        <v>230</v>
      </c>
      <c r="AV22" s="1" t="s">
        <v>90</v>
      </c>
      <c r="AW22" s="281">
        <v>14</v>
      </c>
      <c r="AY22" s="1" t="s">
        <v>619</v>
      </c>
      <c r="AZ22" s="1" t="s">
        <v>438</v>
      </c>
      <c r="BA22" s="122">
        <v>7.4999999999999997E-2</v>
      </c>
      <c r="BB22" s="123">
        <v>0.125</v>
      </c>
      <c r="BC22" s="122"/>
    </row>
    <row r="23" spans="2:55" ht="15" thickBot="1" x14ac:dyDescent="0.4">
      <c r="B23" s="1" t="s">
        <v>131</v>
      </c>
      <c r="G23" s="1" t="s">
        <v>1136</v>
      </c>
      <c r="H23" s="56" t="s">
        <v>1125</v>
      </c>
      <c r="O23" s="1" t="s">
        <v>372</v>
      </c>
      <c r="P23" s="56"/>
      <c r="Q23" s="15" t="s">
        <v>632</v>
      </c>
      <c r="R23" s="15" t="s">
        <v>633</v>
      </c>
      <c r="S23" s="1" t="s">
        <v>398</v>
      </c>
      <c r="W23" s="15"/>
      <c r="X23" s="15"/>
      <c r="AF23" s="1" t="s">
        <v>419</v>
      </c>
      <c r="AG23" s="1" t="s">
        <v>413</v>
      </c>
      <c r="AL23" s="15" t="s">
        <v>834</v>
      </c>
      <c r="AP23" s="46" t="s">
        <v>107</v>
      </c>
      <c r="AU23" s="1" t="s">
        <v>1039</v>
      </c>
      <c r="AV23" s="1" t="s">
        <v>90</v>
      </c>
      <c r="AW23" s="281">
        <v>15</v>
      </c>
      <c r="AY23" s="1" t="s">
        <v>619</v>
      </c>
      <c r="AZ23" s="1" t="s">
        <v>160</v>
      </c>
      <c r="BA23" s="122">
        <v>7.4999999999999997E-2</v>
      </c>
      <c r="BB23" s="123">
        <v>0.125</v>
      </c>
      <c r="BC23" s="122"/>
    </row>
    <row r="24" spans="2:55" x14ac:dyDescent="0.35">
      <c r="G24" s="1" t="s">
        <v>1136</v>
      </c>
      <c r="H24" s="56" t="s">
        <v>1126</v>
      </c>
      <c r="O24" s="1" t="s">
        <v>383</v>
      </c>
      <c r="P24" s="56"/>
      <c r="Q24" s="1" t="s">
        <v>379</v>
      </c>
      <c r="R24" s="1" t="s">
        <v>161</v>
      </c>
      <c r="S24" s="1" t="s">
        <v>399</v>
      </c>
      <c r="U24" s="15" t="s">
        <v>167</v>
      </c>
      <c r="V24" s="15" t="s">
        <v>637</v>
      </c>
      <c r="W24" s="18"/>
      <c r="AF24" s="1" t="s">
        <v>161</v>
      </c>
      <c r="AG24" s="1" t="s">
        <v>414</v>
      </c>
      <c r="AL24" s="1" t="s">
        <v>323</v>
      </c>
      <c r="AU24" s="1" t="s">
        <v>1040</v>
      </c>
      <c r="AV24" s="1" t="s">
        <v>90</v>
      </c>
      <c r="AW24" s="281">
        <v>16</v>
      </c>
      <c r="AY24" s="1" t="s">
        <v>619</v>
      </c>
      <c r="AZ24" s="1" t="s">
        <v>578</v>
      </c>
      <c r="BA24" s="122">
        <v>0.1</v>
      </c>
      <c r="BB24" s="123">
        <v>0.15</v>
      </c>
      <c r="BC24" s="122"/>
    </row>
    <row r="25" spans="2:55" ht="15" thickBot="1" x14ac:dyDescent="0.4">
      <c r="G25" s="1" t="s">
        <v>1136</v>
      </c>
      <c r="H25" s="56" t="s">
        <v>1127</v>
      </c>
      <c r="O25" s="15" t="s">
        <v>636</v>
      </c>
      <c r="P25" s="56"/>
      <c r="Q25" s="1" t="s">
        <v>162</v>
      </c>
      <c r="S25" s="1" t="s">
        <v>400</v>
      </c>
      <c r="U25" s="1" t="s">
        <v>444</v>
      </c>
      <c r="V25" s="5" t="s">
        <v>174</v>
      </c>
      <c r="W25" s="5" t="s">
        <v>171</v>
      </c>
      <c r="X25" s="5"/>
      <c r="Y25" s="5"/>
      <c r="Z25" s="5"/>
      <c r="AG25" s="1" t="s">
        <v>405</v>
      </c>
      <c r="AL25" s="1" t="s">
        <v>634</v>
      </c>
      <c r="AP25" s="18"/>
      <c r="AQ25" s="18"/>
      <c r="AR25" s="18"/>
      <c r="AS25" s="18"/>
      <c r="AU25" s="1" t="s">
        <v>231</v>
      </c>
      <c r="AV25" s="1" t="s">
        <v>90</v>
      </c>
      <c r="AW25" s="281">
        <v>17</v>
      </c>
      <c r="AY25" s="1" t="s">
        <v>619</v>
      </c>
      <c r="AZ25" s="1" t="s">
        <v>71</v>
      </c>
      <c r="BA25" s="122">
        <v>0.125</v>
      </c>
      <c r="BB25" s="123">
        <v>0.15</v>
      </c>
      <c r="BC25" s="122"/>
    </row>
    <row r="26" spans="2:55" ht="15" thickBot="1" x14ac:dyDescent="0.4">
      <c r="B26" s="15" t="s">
        <v>833</v>
      </c>
      <c r="G26" s="1" t="s">
        <v>1136</v>
      </c>
      <c r="H26" s="56" t="s">
        <v>1128</v>
      </c>
      <c r="O26" s="1" t="s">
        <v>129</v>
      </c>
      <c r="P26" s="56"/>
      <c r="Q26" s="1" t="s">
        <v>383</v>
      </c>
      <c r="U26" s="1" t="s">
        <v>489</v>
      </c>
      <c r="V26" s="5" t="s">
        <v>487</v>
      </c>
      <c r="W26" s="5"/>
      <c r="X26" s="5"/>
      <c r="Y26" s="5"/>
      <c r="Z26" s="5"/>
      <c r="AG26" s="1" t="s">
        <v>415</v>
      </c>
      <c r="AP26" s="18"/>
      <c r="AQ26" s="18"/>
      <c r="AR26" s="18"/>
      <c r="AS26" s="18"/>
      <c r="AU26" s="1" t="s">
        <v>232</v>
      </c>
      <c r="AV26" s="1" t="s">
        <v>90</v>
      </c>
      <c r="AW26" s="281">
        <v>18</v>
      </c>
      <c r="AY26" s="1" t="s">
        <v>610</v>
      </c>
      <c r="AZ26" s="1" t="s">
        <v>72</v>
      </c>
      <c r="BA26" s="122"/>
      <c r="BB26" s="123">
        <v>0.2</v>
      </c>
      <c r="BC26" s="122"/>
    </row>
    <row r="27" spans="2:55" ht="15" thickBot="1" x14ac:dyDescent="0.4">
      <c r="B27" s="136">
        <v>0.2</v>
      </c>
      <c r="G27" s="1" t="s">
        <v>1136</v>
      </c>
      <c r="H27" s="56" t="s">
        <v>1129</v>
      </c>
      <c r="O27" s="1" t="s">
        <v>640</v>
      </c>
      <c r="P27" s="56"/>
      <c r="Q27" s="1" t="s">
        <v>386</v>
      </c>
      <c r="S27" s="15" t="s">
        <v>642</v>
      </c>
      <c r="U27" s="1" t="s">
        <v>447</v>
      </c>
      <c r="V27" s="5" t="s">
        <v>171</v>
      </c>
      <c r="W27" s="5"/>
      <c r="X27" s="5"/>
      <c r="Y27" s="5"/>
      <c r="Z27" s="5"/>
      <c r="AL27" s="15" t="s">
        <v>835</v>
      </c>
      <c r="AP27" s="18"/>
      <c r="AQ27" s="18"/>
      <c r="AR27" s="18"/>
      <c r="AS27" s="18"/>
      <c r="AU27" s="1" t="s">
        <v>233</v>
      </c>
      <c r="AV27" s="1" t="s">
        <v>90</v>
      </c>
      <c r="AW27" s="281">
        <v>19</v>
      </c>
      <c r="AZ27" s="1" t="s">
        <v>74</v>
      </c>
      <c r="BA27" s="136">
        <v>0.05</v>
      </c>
      <c r="BB27" s="136">
        <v>0.1</v>
      </c>
      <c r="BC27" s="136">
        <v>0.15</v>
      </c>
    </row>
    <row r="28" spans="2:55" ht="15" thickBot="1" x14ac:dyDescent="0.4">
      <c r="B28" s="136">
        <v>0.15</v>
      </c>
      <c r="G28" s="1" t="s">
        <v>1136</v>
      </c>
      <c r="H28" s="56" t="s">
        <v>1130</v>
      </c>
      <c r="O28" s="1" t="s">
        <v>379</v>
      </c>
      <c r="P28" s="56"/>
      <c r="Q28" s="1" t="s">
        <v>137</v>
      </c>
      <c r="S28" s="1" t="s">
        <v>392</v>
      </c>
      <c r="U28" s="1" t="s">
        <v>448</v>
      </c>
      <c r="V28" s="5" t="s">
        <v>174</v>
      </c>
      <c r="W28" s="5" t="s">
        <v>171</v>
      </c>
      <c r="X28" s="5"/>
      <c r="Y28" s="5"/>
      <c r="Z28" s="5"/>
      <c r="AE28" s="15" t="s">
        <v>644</v>
      </c>
      <c r="AF28" s="15" t="s">
        <v>645</v>
      </c>
      <c r="AG28" s="15" t="s">
        <v>646</v>
      </c>
      <c r="AL28" s="1" t="s">
        <v>323</v>
      </c>
      <c r="AP28" s="18"/>
      <c r="AQ28" s="18"/>
      <c r="AR28" s="18"/>
      <c r="AS28" s="18"/>
      <c r="AU28" s="1" t="s">
        <v>237</v>
      </c>
      <c r="AV28" s="1" t="s">
        <v>90</v>
      </c>
      <c r="AW28" s="281">
        <v>20.3</v>
      </c>
      <c r="AZ28" s="1" t="s">
        <v>75</v>
      </c>
      <c r="BA28" s="136">
        <v>0.05</v>
      </c>
      <c r="BB28" s="136">
        <v>0.1</v>
      </c>
      <c r="BC28" s="136">
        <v>0.15</v>
      </c>
    </row>
    <row r="29" spans="2:55" ht="15" thickBot="1" x14ac:dyDescent="0.4">
      <c r="B29" s="136">
        <v>0.1</v>
      </c>
      <c r="G29" s="1" t="s">
        <v>1136</v>
      </c>
      <c r="H29" s="56" t="s">
        <v>1131</v>
      </c>
      <c r="O29" s="1" t="s">
        <v>137</v>
      </c>
      <c r="P29" s="56"/>
      <c r="Q29" s="1" t="s">
        <v>135</v>
      </c>
      <c r="S29" s="1" t="s">
        <v>389</v>
      </c>
      <c r="U29" s="1" t="s">
        <v>446</v>
      </c>
      <c r="V29" s="5" t="s">
        <v>174</v>
      </c>
      <c r="W29" s="5"/>
      <c r="X29" s="5"/>
      <c r="Y29" s="5"/>
      <c r="Z29" s="5"/>
      <c r="AE29" s="1" t="s">
        <v>403</v>
      </c>
      <c r="AF29" s="1" t="s">
        <v>417</v>
      </c>
      <c r="AG29" s="1" t="s">
        <v>162</v>
      </c>
      <c r="AL29" s="1" t="s">
        <v>634</v>
      </c>
      <c r="AU29" s="1" t="s">
        <v>238</v>
      </c>
      <c r="AV29" s="1" t="s">
        <v>90</v>
      </c>
      <c r="AW29" s="281">
        <v>20.399999999999999</v>
      </c>
      <c r="AZ29" s="1" t="s">
        <v>76</v>
      </c>
      <c r="BA29" s="136">
        <v>0.05</v>
      </c>
      <c r="BB29" s="136">
        <v>0.1</v>
      </c>
      <c r="BC29" s="136">
        <v>0.15</v>
      </c>
    </row>
    <row r="30" spans="2:55" ht="15" thickBot="1" x14ac:dyDescent="0.4">
      <c r="G30" s="1" t="s">
        <v>1136</v>
      </c>
      <c r="H30" s="1" t="s">
        <v>1185</v>
      </c>
      <c r="O30" s="1" t="s">
        <v>141</v>
      </c>
      <c r="P30" s="56"/>
      <c r="Q30" s="1" t="s">
        <v>139</v>
      </c>
      <c r="R30" s="15" t="s">
        <v>650</v>
      </c>
      <c r="S30" s="15"/>
      <c r="U30" s="1" t="s">
        <v>474</v>
      </c>
      <c r="V30" s="5" t="s">
        <v>174</v>
      </c>
      <c r="W30" s="5" t="s">
        <v>171</v>
      </c>
      <c r="X30" s="5"/>
      <c r="Y30" s="5"/>
      <c r="Z30" s="5"/>
      <c r="AE30" s="1" t="s">
        <v>404</v>
      </c>
      <c r="AF30" s="1" t="s">
        <v>418</v>
      </c>
      <c r="AU30" s="1" t="s">
        <v>1041</v>
      </c>
      <c r="AV30" s="1" t="s">
        <v>90</v>
      </c>
      <c r="AW30" s="281">
        <v>20.5</v>
      </c>
      <c r="AY30" s="1" t="s">
        <v>584</v>
      </c>
      <c r="AZ30" s="1" t="s">
        <v>393</v>
      </c>
      <c r="BA30" s="136"/>
      <c r="BB30" s="136"/>
      <c r="BC30" s="136">
        <v>0.2</v>
      </c>
    </row>
    <row r="31" spans="2:55" ht="15" thickBot="1" x14ac:dyDescent="0.4">
      <c r="G31" s="1" t="s">
        <v>1136</v>
      </c>
      <c r="H31" s="56" t="s">
        <v>1132</v>
      </c>
      <c r="O31" s="15"/>
      <c r="P31" s="57"/>
      <c r="R31" s="1" t="s">
        <v>408</v>
      </c>
      <c r="U31" s="1" t="s">
        <v>449</v>
      </c>
      <c r="V31" s="5" t="s">
        <v>174</v>
      </c>
      <c r="W31" s="5" t="s">
        <v>171</v>
      </c>
      <c r="X31" s="5"/>
      <c r="Y31" s="5"/>
      <c r="Z31" s="5"/>
      <c r="AF31" s="1" t="s">
        <v>419</v>
      </c>
      <c r="AU31" s="1" t="s">
        <v>647</v>
      </c>
      <c r="AV31" s="1" t="s">
        <v>90</v>
      </c>
      <c r="AW31" s="281" t="s">
        <v>234</v>
      </c>
      <c r="AY31" s="1" t="s">
        <v>584</v>
      </c>
      <c r="AZ31" s="1" t="s">
        <v>652</v>
      </c>
      <c r="BC31" s="136">
        <v>0.2</v>
      </c>
    </row>
    <row r="32" spans="2:55" ht="15" thickBot="1" x14ac:dyDescent="0.4">
      <c r="G32" s="1" t="s">
        <v>1136</v>
      </c>
      <c r="H32" s="56" t="s">
        <v>1133</v>
      </c>
      <c r="O32" s="15" t="s">
        <v>654</v>
      </c>
      <c r="P32" s="57" t="s">
        <v>655</v>
      </c>
      <c r="Q32" s="15" t="s">
        <v>656</v>
      </c>
      <c r="R32" s="1" t="s">
        <v>410</v>
      </c>
      <c r="U32" s="1" t="s">
        <v>486</v>
      </c>
      <c r="V32" s="5" t="s">
        <v>487</v>
      </c>
      <c r="W32" s="5"/>
      <c r="X32" s="5"/>
      <c r="Y32" s="5"/>
      <c r="Z32" s="5"/>
      <c r="AF32" s="1" t="s">
        <v>161</v>
      </c>
      <c r="AL32" s="15" t="s">
        <v>1162</v>
      </c>
      <c r="AU32" s="1" t="s">
        <v>649</v>
      </c>
      <c r="AV32" s="1" t="s">
        <v>90</v>
      </c>
      <c r="AW32" s="281" t="s">
        <v>235</v>
      </c>
      <c r="AY32" s="1" t="s">
        <v>572</v>
      </c>
      <c r="AZ32" s="76" t="s">
        <v>319</v>
      </c>
      <c r="BA32" s="181">
        <v>0.05</v>
      </c>
      <c r="BB32" s="181">
        <v>0.1</v>
      </c>
      <c r="BC32" s="181">
        <v>0.15</v>
      </c>
    </row>
    <row r="33" spans="4:55" ht="15" thickBot="1" x14ac:dyDescent="0.4">
      <c r="G33" s="1" t="s">
        <v>1136</v>
      </c>
      <c r="H33" s="56" t="s">
        <v>680</v>
      </c>
      <c r="O33" s="1" t="s">
        <v>132</v>
      </c>
      <c r="P33" s="56" t="s">
        <v>130</v>
      </c>
      <c r="Q33" s="1" t="s">
        <v>379</v>
      </c>
      <c r="R33" s="1" t="s">
        <v>411</v>
      </c>
      <c r="U33" s="1" t="s">
        <v>475</v>
      </c>
      <c r="V33" s="5" t="s">
        <v>174</v>
      </c>
      <c r="W33" s="5" t="s">
        <v>455</v>
      </c>
      <c r="X33" s="5" t="s">
        <v>171</v>
      </c>
      <c r="Y33" s="5"/>
      <c r="Z33" s="5"/>
      <c r="AL33" s="1" t="s">
        <v>1163</v>
      </c>
      <c r="AU33" s="1" t="s">
        <v>651</v>
      </c>
      <c r="AV33" s="1" t="s">
        <v>90</v>
      </c>
      <c r="AW33" s="281" t="s">
        <v>236</v>
      </c>
      <c r="AY33" s="1" t="s">
        <v>572</v>
      </c>
      <c r="AZ33" s="76" t="s">
        <v>321</v>
      </c>
      <c r="BA33" s="181">
        <v>2.5000000000000001E-2</v>
      </c>
      <c r="BB33" s="181">
        <v>0.05</v>
      </c>
      <c r="BC33" s="181">
        <v>0.1</v>
      </c>
    </row>
    <row r="34" spans="4:55" ht="15" thickBot="1" x14ac:dyDescent="0.4">
      <c r="G34" s="1" t="s">
        <v>1136</v>
      </c>
      <c r="H34" s="56" t="s">
        <v>1134</v>
      </c>
      <c r="O34" s="1" t="s">
        <v>361</v>
      </c>
      <c r="P34" s="57"/>
      <c r="Q34" s="1" t="s">
        <v>383</v>
      </c>
      <c r="U34" s="1" t="s">
        <v>465</v>
      </c>
      <c r="V34" s="5" t="s">
        <v>174</v>
      </c>
      <c r="W34" s="5" t="s">
        <v>455</v>
      </c>
      <c r="X34" s="5" t="s">
        <v>171</v>
      </c>
      <c r="Y34" s="5"/>
      <c r="Z34" s="282"/>
      <c r="AE34" s="15" t="s">
        <v>659</v>
      </c>
      <c r="AF34" s="15" t="s">
        <v>660</v>
      </c>
      <c r="AG34" s="15" t="s">
        <v>661</v>
      </c>
      <c r="AH34" s="15" t="s">
        <v>662</v>
      </c>
      <c r="AI34" s="15" t="s">
        <v>663</v>
      </c>
      <c r="AJ34" s="15" t="s">
        <v>664</v>
      </c>
      <c r="AL34" s="1" t="s">
        <v>1164</v>
      </c>
      <c r="AU34" s="1" t="s">
        <v>239</v>
      </c>
      <c r="AV34" s="1" t="s">
        <v>90</v>
      </c>
      <c r="AW34" s="281">
        <v>21</v>
      </c>
      <c r="AY34" s="1" t="s">
        <v>572</v>
      </c>
      <c r="AZ34" s="1" t="s">
        <v>583</v>
      </c>
      <c r="BA34" s="181">
        <v>0.05</v>
      </c>
      <c r="BB34" s="181">
        <v>0.1</v>
      </c>
      <c r="BC34" s="181">
        <v>0.15</v>
      </c>
    </row>
    <row r="35" spans="4:55" ht="15" thickBot="1" x14ac:dyDescent="0.4">
      <c r="G35" s="1" t="s">
        <v>1220</v>
      </c>
      <c r="H35" s="1" t="s">
        <v>1221</v>
      </c>
      <c r="P35" s="56"/>
      <c r="Q35" s="15" t="s">
        <v>666</v>
      </c>
      <c r="U35" s="1" t="s">
        <v>450</v>
      </c>
      <c r="V35" s="5" t="s">
        <v>174</v>
      </c>
      <c r="W35" s="5" t="s">
        <v>171</v>
      </c>
      <c r="X35" s="5"/>
      <c r="Y35" s="5"/>
      <c r="Z35" s="5"/>
      <c r="AE35" s="1" t="s">
        <v>424</v>
      </c>
      <c r="AF35" s="1" t="s">
        <v>422</v>
      </c>
      <c r="AG35" s="1" t="s">
        <v>423</v>
      </c>
      <c r="AH35" s="1" t="s">
        <v>428</v>
      </c>
      <c r="AI35" s="1" t="s">
        <v>431</v>
      </c>
      <c r="AJ35" s="1" t="s">
        <v>436</v>
      </c>
      <c r="AL35" s="1" t="s">
        <v>1165</v>
      </c>
      <c r="AU35" s="1" t="s">
        <v>240</v>
      </c>
      <c r="AV35" s="1" t="s">
        <v>90</v>
      </c>
      <c r="AW35" s="281">
        <v>22</v>
      </c>
      <c r="AY35" s="1" t="s">
        <v>572</v>
      </c>
      <c r="AZ35" s="1" t="s">
        <v>322</v>
      </c>
      <c r="BA35" s="181">
        <v>2.5000000000000001E-2</v>
      </c>
      <c r="BB35" s="181">
        <v>0.05</v>
      </c>
      <c r="BC35" s="181">
        <v>0.1</v>
      </c>
    </row>
    <row r="36" spans="4:55" ht="15" customHeight="1" thickBot="1" x14ac:dyDescent="0.4">
      <c r="G36" s="1" t="s">
        <v>1220</v>
      </c>
      <c r="H36" s="1" t="s">
        <v>1222</v>
      </c>
      <c r="O36" s="15" t="s">
        <v>668</v>
      </c>
      <c r="P36" s="57" t="s">
        <v>669</v>
      </c>
      <c r="Q36" s="1" t="s">
        <v>379</v>
      </c>
      <c r="R36" s="15" t="s">
        <v>670</v>
      </c>
      <c r="S36" s="15"/>
      <c r="U36" s="1" t="s">
        <v>170</v>
      </c>
      <c r="V36" s="5" t="s">
        <v>171</v>
      </c>
      <c r="W36" s="5" t="s">
        <v>455</v>
      </c>
      <c r="X36" s="5"/>
      <c r="Y36" s="5"/>
      <c r="Z36" s="5"/>
      <c r="AE36" s="1" t="s">
        <v>425</v>
      </c>
      <c r="AF36" s="1" t="s">
        <v>427</v>
      </c>
      <c r="AG36" s="1" t="s">
        <v>426</v>
      </c>
      <c r="AH36" s="1" t="s">
        <v>429</v>
      </c>
      <c r="AI36" s="1" t="s">
        <v>432</v>
      </c>
      <c r="AJ36" s="1" t="s">
        <v>437</v>
      </c>
      <c r="AL36" s="1" t="s">
        <v>1166</v>
      </c>
      <c r="AU36" s="1" t="s">
        <v>1042</v>
      </c>
      <c r="AV36" s="1" t="s">
        <v>90</v>
      </c>
      <c r="AW36" s="281" t="s">
        <v>242</v>
      </c>
      <c r="AY36" s="1" t="s">
        <v>630</v>
      </c>
      <c r="AZ36" s="1" t="s">
        <v>327</v>
      </c>
      <c r="BA36" s="181">
        <v>0.05</v>
      </c>
    </row>
    <row r="37" spans="4:55" ht="16" customHeight="1" thickBot="1" x14ac:dyDescent="0.4">
      <c r="G37" s="1" t="s">
        <v>1220</v>
      </c>
      <c r="H37" s="1" t="s">
        <v>1223</v>
      </c>
      <c r="O37" s="1" t="s">
        <v>132</v>
      </c>
      <c r="P37" s="56" t="s">
        <v>136</v>
      </c>
      <c r="Q37" s="1" t="s">
        <v>162</v>
      </c>
      <c r="R37" s="1" t="s">
        <v>379</v>
      </c>
      <c r="U37" s="1" t="s">
        <v>484</v>
      </c>
      <c r="V37" s="5" t="s">
        <v>485</v>
      </c>
      <c r="W37" s="5"/>
      <c r="X37" s="5"/>
      <c r="Y37" s="5"/>
      <c r="Z37" s="5"/>
      <c r="AF37" s="1" t="s">
        <v>430</v>
      </c>
      <c r="AI37" s="1" t="s">
        <v>433</v>
      </c>
      <c r="AL37" s="1" t="s">
        <v>1167</v>
      </c>
      <c r="AU37" s="1" t="s">
        <v>671</v>
      </c>
      <c r="AV37" s="1" t="s">
        <v>90</v>
      </c>
      <c r="AW37" s="281" t="s">
        <v>241</v>
      </c>
      <c r="AY37" s="1" t="s">
        <v>630</v>
      </c>
      <c r="AZ37" s="1" t="s">
        <v>329</v>
      </c>
      <c r="BA37" s="181">
        <v>2.5000000000000001E-2</v>
      </c>
    </row>
    <row r="38" spans="4:55" ht="15" thickBot="1" x14ac:dyDescent="0.4">
      <c r="G38" s="1" t="s">
        <v>1220</v>
      </c>
      <c r="H38" s="1" t="s">
        <v>1224</v>
      </c>
      <c r="O38" s="1" t="s">
        <v>363</v>
      </c>
      <c r="P38" s="56"/>
      <c r="Q38" s="1" t="s">
        <v>383</v>
      </c>
      <c r="R38" s="1" t="s">
        <v>162</v>
      </c>
      <c r="U38" s="1" t="s">
        <v>451</v>
      </c>
      <c r="V38" s="5" t="s">
        <v>174</v>
      </c>
      <c r="W38" s="5" t="s">
        <v>171</v>
      </c>
      <c r="X38" s="5"/>
      <c r="Y38" s="5"/>
      <c r="Z38" s="5"/>
      <c r="AF38" s="1" t="s">
        <v>435</v>
      </c>
      <c r="AI38" s="1" t="s">
        <v>434</v>
      </c>
      <c r="AL38" s="1" t="s">
        <v>406</v>
      </c>
      <c r="AU38" s="1" t="s">
        <v>244</v>
      </c>
      <c r="AV38" s="1" t="s">
        <v>90</v>
      </c>
      <c r="AW38" s="281" t="s">
        <v>243</v>
      </c>
      <c r="AY38" s="1" t="s">
        <v>630</v>
      </c>
      <c r="AZ38" s="1" t="s">
        <v>1018</v>
      </c>
      <c r="BA38" s="136">
        <v>0.1</v>
      </c>
    </row>
    <row r="39" spans="4:55" ht="15" thickBot="1" x14ac:dyDescent="0.4">
      <c r="D39" s="18"/>
      <c r="G39" s="56" t="s">
        <v>580</v>
      </c>
      <c r="H39" s="1" t="s">
        <v>1087</v>
      </c>
      <c r="P39" s="56"/>
      <c r="Q39" s="1" t="s">
        <v>386</v>
      </c>
      <c r="R39" s="1" t="s">
        <v>413</v>
      </c>
      <c r="U39" s="1" t="s">
        <v>488</v>
      </c>
      <c r="V39" s="5" t="s">
        <v>487</v>
      </c>
      <c r="W39" s="5"/>
      <c r="X39" s="5"/>
      <c r="Y39" s="5"/>
      <c r="Z39" s="5"/>
      <c r="AU39" s="1" t="s">
        <v>246</v>
      </c>
      <c r="AV39" s="1" t="s">
        <v>90</v>
      </c>
      <c r="AW39" s="281" t="s">
        <v>245</v>
      </c>
      <c r="AY39" s="1" t="s">
        <v>630</v>
      </c>
      <c r="AZ39" s="1" t="s">
        <v>1137</v>
      </c>
      <c r="BA39" s="181">
        <v>0.1</v>
      </c>
    </row>
    <row r="40" spans="4:55" ht="15" thickBot="1" x14ac:dyDescent="0.4">
      <c r="D40" s="18"/>
      <c r="G40" s="56" t="s">
        <v>580</v>
      </c>
      <c r="H40" s="1" t="s">
        <v>1088</v>
      </c>
      <c r="P40" s="56"/>
      <c r="Q40" s="1" t="s">
        <v>137</v>
      </c>
      <c r="R40" s="1" t="s">
        <v>414</v>
      </c>
      <c r="U40" s="1" t="s">
        <v>490</v>
      </c>
      <c r="V40" s="5" t="s">
        <v>487</v>
      </c>
      <c r="W40" s="5"/>
      <c r="X40" s="5"/>
      <c r="Y40" s="5"/>
      <c r="Z40" s="5"/>
      <c r="AU40" s="1" t="s">
        <v>248</v>
      </c>
      <c r="AV40" s="1" t="s">
        <v>90</v>
      </c>
      <c r="AW40" s="281">
        <v>25.4</v>
      </c>
    </row>
    <row r="41" spans="4:55" ht="15" thickBot="1" x14ac:dyDescent="0.4">
      <c r="G41" s="56" t="s">
        <v>580</v>
      </c>
      <c r="H41" s="1" t="s">
        <v>1089</v>
      </c>
      <c r="O41" s="15" t="s">
        <v>678</v>
      </c>
      <c r="P41" s="57" t="s">
        <v>679</v>
      </c>
      <c r="Q41" s="1" t="s">
        <v>135</v>
      </c>
      <c r="R41" s="1" t="s">
        <v>405</v>
      </c>
      <c r="U41" s="1" t="s">
        <v>452</v>
      </c>
      <c r="V41" s="5" t="s">
        <v>174</v>
      </c>
      <c r="W41" s="5" t="s">
        <v>171</v>
      </c>
      <c r="X41" s="5"/>
      <c r="Y41" s="5"/>
      <c r="Z41" s="5"/>
      <c r="AU41" s="1" t="s">
        <v>676</v>
      </c>
      <c r="AV41" s="1" t="s">
        <v>90</v>
      </c>
      <c r="AW41" s="281" t="s">
        <v>247</v>
      </c>
    </row>
    <row r="42" spans="4:55" ht="15" thickBot="1" x14ac:dyDescent="0.4">
      <c r="G42" s="1" t="s">
        <v>3</v>
      </c>
      <c r="H42" s="56" t="s">
        <v>623</v>
      </c>
      <c r="O42" s="1" t="s">
        <v>132</v>
      </c>
      <c r="P42" s="56" t="s">
        <v>142</v>
      </c>
      <c r="Q42" s="1" t="s">
        <v>139</v>
      </c>
      <c r="R42" s="1" t="s">
        <v>415</v>
      </c>
      <c r="U42" s="1" t="s">
        <v>454</v>
      </c>
      <c r="V42" s="5" t="s">
        <v>174</v>
      </c>
      <c r="W42" s="5" t="s">
        <v>171</v>
      </c>
      <c r="X42" s="5"/>
      <c r="Y42" s="5"/>
      <c r="Z42" s="5"/>
      <c r="AU42" s="1" t="s">
        <v>249</v>
      </c>
      <c r="AV42" s="1" t="s">
        <v>90</v>
      </c>
      <c r="AW42" s="281">
        <v>26</v>
      </c>
    </row>
    <row r="43" spans="4:55" ht="15" thickBot="1" x14ac:dyDescent="0.4">
      <c r="G43" s="1" t="s">
        <v>3</v>
      </c>
      <c r="H43" s="56" t="s">
        <v>628</v>
      </c>
      <c r="O43" s="1" t="s">
        <v>363</v>
      </c>
      <c r="P43" s="56"/>
      <c r="U43" s="1" t="s">
        <v>469</v>
      </c>
      <c r="V43" s="5" t="s">
        <v>174</v>
      </c>
      <c r="W43" s="265"/>
      <c r="X43" s="265"/>
      <c r="Y43" s="265"/>
      <c r="Z43" s="5"/>
      <c r="AU43" s="1" t="s">
        <v>250</v>
      </c>
      <c r="AV43" s="1" t="s">
        <v>90</v>
      </c>
      <c r="AW43" s="281">
        <v>27</v>
      </c>
    </row>
    <row r="44" spans="4:55" ht="15" thickBot="1" x14ac:dyDescent="0.4">
      <c r="G44" s="1" t="s">
        <v>3</v>
      </c>
      <c r="H44" s="56" t="s">
        <v>1078</v>
      </c>
      <c r="P44" s="56"/>
      <c r="Q44" s="15" t="s">
        <v>683</v>
      </c>
      <c r="U44" s="1" t="s">
        <v>470</v>
      </c>
      <c r="V44" s="5" t="s">
        <v>174</v>
      </c>
      <c r="W44" s="265"/>
      <c r="X44" s="265"/>
      <c r="Y44" s="265"/>
      <c r="Z44" s="5"/>
      <c r="AU44" s="1" t="s">
        <v>251</v>
      </c>
      <c r="AV44" s="1" t="s">
        <v>90</v>
      </c>
      <c r="AW44" s="281">
        <v>28</v>
      </c>
    </row>
    <row r="45" spans="4:55" ht="15" thickBot="1" x14ac:dyDescent="0.4">
      <c r="G45" s="1" t="s">
        <v>3</v>
      </c>
      <c r="H45" s="56" t="s">
        <v>631</v>
      </c>
      <c r="O45" s="15" t="s">
        <v>137</v>
      </c>
      <c r="P45" s="57" t="s">
        <v>685</v>
      </c>
      <c r="Q45" s="1" t="s">
        <v>379</v>
      </c>
      <c r="R45" s="15" t="s">
        <v>686</v>
      </c>
      <c r="S45" s="15"/>
      <c r="U45" s="1" t="s">
        <v>471</v>
      </c>
      <c r="V45" s="5" t="s">
        <v>174</v>
      </c>
      <c r="W45" s="265" t="s">
        <v>459</v>
      </c>
      <c r="X45" s="265"/>
      <c r="Y45" s="265"/>
      <c r="Z45" s="5"/>
      <c r="AU45" s="1" t="s">
        <v>252</v>
      </c>
      <c r="AV45" s="1" t="s">
        <v>90</v>
      </c>
      <c r="AW45" s="281">
        <v>29</v>
      </c>
    </row>
    <row r="46" spans="4:55" ht="15" thickBot="1" x14ac:dyDescent="0.4">
      <c r="G46" s="1" t="s">
        <v>3</v>
      </c>
      <c r="H46" s="56" t="s">
        <v>635</v>
      </c>
      <c r="O46" s="56" t="s">
        <v>132</v>
      </c>
      <c r="P46" s="56" t="s">
        <v>138</v>
      </c>
      <c r="Q46" s="1" t="s">
        <v>162</v>
      </c>
      <c r="R46" s="1" t="s">
        <v>379</v>
      </c>
      <c r="U46" s="1" t="s">
        <v>468</v>
      </c>
      <c r="V46" s="5" t="s">
        <v>174</v>
      </c>
      <c r="W46" s="265"/>
      <c r="X46" s="265"/>
      <c r="Y46" s="265"/>
      <c r="Z46" s="5"/>
      <c r="AU46" s="1" t="s">
        <v>253</v>
      </c>
      <c r="AV46" s="1" t="s">
        <v>90</v>
      </c>
      <c r="AW46" s="281">
        <v>30.1</v>
      </c>
    </row>
    <row r="47" spans="4:55" ht="15" thickBot="1" x14ac:dyDescent="0.4">
      <c r="G47" s="1" t="s">
        <v>3</v>
      </c>
      <c r="H47" s="56" t="s">
        <v>638</v>
      </c>
      <c r="O47" s="56" t="s">
        <v>363</v>
      </c>
      <c r="Q47" s="1" t="s">
        <v>383</v>
      </c>
      <c r="R47" s="1" t="s">
        <v>162</v>
      </c>
      <c r="U47" s="1" t="s">
        <v>472</v>
      </c>
      <c r="V47" s="5" t="s">
        <v>174</v>
      </c>
      <c r="W47" s="5"/>
      <c r="X47" s="5"/>
      <c r="Y47" s="5"/>
      <c r="Z47" s="5"/>
      <c r="AU47" s="1" t="s">
        <v>254</v>
      </c>
      <c r="AV47" s="1" t="s">
        <v>90</v>
      </c>
      <c r="AW47" s="281">
        <v>30.3</v>
      </c>
    </row>
    <row r="48" spans="4:55" ht="15" thickBot="1" x14ac:dyDescent="0.4">
      <c r="G48" s="1" t="s">
        <v>3</v>
      </c>
      <c r="H48" s="56" t="s">
        <v>641</v>
      </c>
      <c r="Q48" s="1" t="s">
        <v>386</v>
      </c>
      <c r="R48" s="1" t="s">
        <v>135</v>
      </c>
      <c r="U48" s="1" t="s">
        <v>173</v>
      </c>
      <c r="V48" s="5" t="s">
        <v>174</v>
      </c>
      <c r="W48" s="5" t="s">
        <v>455</v>
      </c>
      <c r="X48" s="5" t="s">
        <v>171</v>
      </c>
      <c r="Y48" s="5"/>
      <c r="Z48" s="5"/>
      <c r="AH48" s="15" t="s">
        <v>690</v>
      </c>
      <c r="AU48" s="1" t="s">
        <v>256</v>
      </c>
      <c r="AV48" s="1" t="s">
        <v>90</v>
      </c>
      <c r="AW48" s="281" t="s">
        <v>255</v>
      </c>
    </row>
    <row r="49" spans="7:49" ht="15" thickBot="1" x14ac:dyDescent="0.4">
      <c r="G49" s="1" t="s">
        <v>3</v>
      </c>
      <c r="H49" s="56" t="s">
        <v>643</v>
      </c>
      <c r="O49" s="15" t="s">
        <v>379</v>
      </c>
      <c r="P49" s="15" t="s">
        <v>691</v>
      </c>
      <c r="Q49" s="1" t="s">
        <v>137</v>
      </c>
      <c r="R49" s="1" t="s">
        <v>405</v>
      </c>
      <c r="U49" s="1" t="s">
        <v>483</v>
      </c>
      <c r="V49" s="5" t="s">
        <v>455</v>
      </c>
      <c r="W49" s="5"/>
      <c r="X49" s="5"/>
      <c r="Y49" s="5"/>
      <c r="Z49" s="5"/>
      <c r="AE49" s="15" t="s">
        <v>692</v>
      </c>
      <c r="AF49" s="15" t="s">
        <v>693</v>
      </c>
      <c r="AG49" s="15" t="s">
        <v>694</v>
      </c>
      <c r="AH49" s="15" t="s">
        <v>695</v>
      </c>
      <c r="AI49" s="18"/>
      <c r="AJ49" s="18"/>
      <c r="AU49" s="1" t="s">
        <v>257</v>
      </c>
      <c r="AV49" s="1" t="s">
        <v>90</v>
      </c>
      <c r="AW49" s="281">
        <v>31</v>
      </c>
    </row>
    <row r="50" spans="7:49" ht="15" thickBot="1" x14ac:dyDescent="0.4">
      <c r="G50" s="1" t="s">
        <v>3</v>
      </c>
      <c r="H50" s="56" t="s">
        <v>648</v>
      </c>
      <c r="O50" s="1" t="s">
        <v>132</v>
      </c>
      <c r="P50" s="1" t="s">
        <v>380</v>
      </c>
      <c r="Q50" s="1" t="s">
        <v>135</v>
      </c>
      <c r="R50" s="1" t="s">
        <v>406</v>
      </c>
      <c r="U50" s="1" t="s">
        <v>476</v>
      </c>
      <c r="V50" s="5" t="s">
        <v>455</v>
      </c>
      <c r="W50" s="5" t="s">
        <v>459</v>
      </c>
      <c r="X50" s="5" t="s">
        <v>171</v>
      </c>
      <c r="Y50" s="5" t="s">
        <v>460</v>
      </c>
      <c r="Z50" s="5"/>
      <c r="AE50" s="1" t="s">
        <v>424</v>
      </c>
      <c r="AF50" s="1" t="s">
        <v>439</v>
      </c>
      <c r="AG50" s="1" t="s">
        <v>161</v>
      </c>
      <c r="AH50" s="1" t="s">
        <v>161</v>
      </c>
      <c r="AU50" s="1" t="s">
        <v>258</v>
      </c>
      <c r="AV50" s="1" t="s">
        <v>90</v>
      </c>
      <c r="AW50" s="281">
        <v>32</v>
      </c>
    </row>
    <row r="51" spans="7:49" ht="15" thickBot="1" x14ac:dyDescent="0.4">
      <c r="G51" s="1" t="s">
        <v>3</v>
      </c>
      <c r="H51" s="56" t="s">
        <v>1079</v>
      </c>
      <c r="O51" s="1" t="s">
        <v>363</v>
      </c>
      <c r="P51" s="1" t="s">
        <v>381</v>
      </c>
      <c r="Q51" s="1" t="s">
        <v>139</v>
      </c>
      <c r="U51" s="1" t="s">
        <v>481</v>
      </c>
      <c r="V51" s="5" t="s">
        <v>455</v>
      </c>
      <c r="W51" s="5" t="s">
        <v>459</v>
      </c>
      <c r="X51" s="5" t="s">
        <v>171</v>
      </c>
      <c r="Y51" s="5" t="s">
        <v>460</v>
      </c>
      <c r="Z51" s="5"/>
      <c r="AE51" s="1" t="s">
        <v>425</v>
      </c>
      <c r="AF51" s="1" t="s">
        <v>696</v>
      </c>
      <c r="AH51" s="1" t="s">
        <v>440</v>
      </c>
      <c r="AU51" s="1" t="s">
        <v>259</v>
      </c>
      <c r="AV51" s="1" t="s">
        <v>90</v>
      </c>
      <c r="AW51" s="281">
        <v>33.15</v>
      </c>
    </row>
    <row r="52" spans="7:49" ht="15" thickBot="1" x14ac:dyDescent="0.4">
      <c r="G52" s="1" t="s">
        <v>3</v>
      </c>
      <c r="H52" s="1" t="s">
        <v>6</v>
      </c>
      <c r="Q52" s="15" t="s">
        <v>697</v>
      </c>
      <c r="R52" s="15" t="s">
        <v>698</v>
      </c>
      <c r="S52" s="15"/>
      <c r="U52" s="1" t="s">
        <v>482</v>
      </c>
      <c r="V52" s="5" t="s">
        <v>455</v>
      </c>
      <c r="W52" s="5" t="s">
        <v>459</v>
      </c>
      <c r="X52" s="5" t="s">
        <v>171</v>
      </c>
      <c r="Y52" s="5" t="s">
        <v>460</v>
      </c>
      <c r="Z52" s="5"/>
      <c r="AF52" s="1" t="s">
        <v>699</v>
      </c>
      <c r="AH52" s="1" t="s">
        <v>441</v>
      </c>
      <c r="AU52" s="1" t="s">
        <v>260</v>
      </c>
      <c r="AV52" s="1" t="s">
        <v>90</v>
      </c>
      <c r="AW52" s="281">
        <v>33.159999999999997</v>
      </c>
    </row>
    <row r="53" spans="7:49" ht="15" thickBot="1" x14ac:dyDescent="0.4">
      <c r="G53" s="1" t="s">
        <v>3</v>
      </c>
      <c r="H53" s="1" t="s">
        <v>653</v>
      </c>
      <c r="O53" s="15" t="s">
        <v>162</v>
      </c>
      <c r="P53" s="15" t="s">
        <v>700</v>
      </c>
      <c r="Q53" s="1" t="s">
        <v>379</v>
      </c>
      <c r="R53" s="1" t="s">
        <v>379</v>
      </c>
      <c r="U53" s="1" t="s">
        <v>456</v>
      </c>
      <c r="V53" s="5" t="s">
        <v>174</v>
      </c>
      <c r="W53" s="5" t="s">
        <v>171</v>
      </c>
      <c r="X53" s="5"/>
      <c r="Y53" s="5"/>
      <c r="Z53" s="5"/>
      <c r="AU53" s="1" t="s">
        <v>262</v>
      </c>
      <c r="AV53" s="1" t="s">
        <v>90</v>
      </c>
      <c r="AW53" s="281" t="s">
        <v>261</v>
      </c>
    </row>
    <row r="54" spans="7:49" ht="15" thickBot="1" x14ac:dyDescent="0.4">
      <c r="G54" s="1" t="s">
        <v>3</v>
      </c>
      <c r="H54" s="1" t="s">
        <v>657</v>
      </c>
      <c r="O54" s="1" t="s">
        <v>132</v>
      </c>
      <c r="P54" s="1" t="s">
        <v>380</v>
      </c>
      <c r="Q54" s="1" t="s">
        <v>162</v>
      </c>
      <c r="U54" s="1" t="s">
        <v>701</v>
      </c>
      <c r="V54" s="5" t="s">
        <v>174</v>
      </c>
      <c r="W54" s="5" t="s">
        <v>171</v>
      </c>
      <c r="X54" s="5"/>
      <c r="Y54" s="5"/>
      <c r="Z54" s="5"/>
      <c r="AU54" s="1" t="s">
        <v>263</v>
      </c>
      <c r="AV54" s="1" t="s">
        <v>91</v>
      </c>
      <c r="AW54" s="281">
        <v>35.1</v>
      </c>
    </row>
    <row r="55" spans="7:49" ht="15" thickBot="1" x14ac:dyDescent="0.4">
      <c r="G55" s="1" t="s">
        <v>3</v>
      </c>
      <c r="H55" s="1" t="s">
        <v>658</v>
      </c>
      <c r="O55" s="1" t="s">
        <v>363</v>
      </c>
      <c r="P55" s="1" t="s">
        <v>382</v>
      </c>
      <c r="Q55" s="1" t="s">
        <v>383</v>
      </c>
      <c r="U55" s="1" t="s">
        <v>457</v>
      </c>
      <c r="V55" s="5" t="s">
        <v>174</v>
      </c>
      <c r="W55" s="5" t="s">
        <v>171</v>
      </c>
      <c r="X55" s="5"/>
      <c r="Y55" s="5"/>
      <c r="Z55" s="5"/>
      <c r="AU55" s="1" t="s">
        <v>1043</v>
      </c>
      <c r="AV55" s="1" t="s">
        <v>91</v>
      </c>
      <c r="AW55" s="281" t="s">
        <v>264</v>
      </c>
    </row>
    <row r="56" spans="7:49" ht="15" thickBot="1" x14ac:dyDescent="0.4">
      <c r="G56" s="1" t="s">
        <v>3</v>
      </c>
      <c r="H56" s="1" t="s">
        <v>665</v>
      </c>
      <c r="Q56" s="1" t="s">
        <v>386</v>
      </c>
      <c r="R56" s="15" t="s">
        <v>702</v>
      </c>
      <c r="S56" s="15"/>
      <c r="U56" s="1" t="s">
        <v>458</v>
      </c>
      <c r="V56" s="5" t="s">
        <v>174</v>
      </c>
      <c r="W56" s="5" t="s">
        <v>455</v>
      </c>
      <c r="X56" s="5" t="s">
        <v>459</v>
      </c>
      <c r="Y56" s="5" t="s">
        <v>171</v>
      </c>
      <c r="Z56" s="5"/>
      <c r="AU56" s="1" t="s">
        <v>265</v>
      </c>
      <c r="AV56" s="1" t="s">
        <v>92</v>
      </c>
      <c r="AW56" s="281">
        <v>36</v>
      </c>
    </row>
    <row r="57" spans="7:49" x14ac:dyDescent="0.35">
      <c r="G57" s="1" t="s">
        <v>3</v>
      </c>
      <c r="H57" s="1" t="s">
        <v>667</v>
      </c>
      <c r="O57" s="15" t="s">
        <v>704</v>
      </c>
      <c r="P57" s="57" t="s">
        <v>705</v>
      </c>
      <c r="Q57" s="1" t="s">
        <v>137</v>
      </c>
      <c r="R57" s="1" t="s">
        <v>403</v>
      </c>
      <c r="AU57" s="1" t="s">
        <v>266</v>
      </c>
      <c r="AV57" s="1" t="s">
        <v>92</v>
      </c>
      <c r="AW57" s="281">
        <v>37</v>
      </c>
    </row>
    <row r="58" spans="7:49" x14ac:dyDescent="0.35">
      <c r="G58" s="1" t="s">
        <v>3</v>
      </c>
      <c r="H58" s="1" t="s">
        <v>672</v>
      </c>
      <c r="O58" s="1" t="s">
        <v>132</v>
      </c>
      <c r="P58" s="1" t="s">
        <v>140</v>
      </c>
      <c r="Q58" s="1" t="s">
        <v>135</v>
      </c>
      <c r="R58" s="1" t="s">
        <v>404</v>
      </c>
      <c r="AU58" s="1" t="s">
        <v>267</v>
      </c>
      <c r="AV58" s="1" t="s">
        <v>92</v>
      </c>
      <c r="AW58" s="281">
        <v>38</v>
      </c>
    </row>
    <row r="59" spans="7:49" x14ac:dyDescent="0.35">
      <c r="G59" s="1" t="s">
        <v>3</v>
      </c>
      <c r="H59" s="1" t="s">
        <v>674</v>
      </c>
      <c r="O59" s="1" t="s">
        <v>363</v>
      </c>
      <c r="AU59" s="1" t="s">
        <v>268</v>
      </c>
      <c r="AV59" s="1" t="s">
        <v>92</v>
      </c>
      <c r="AW59" s="281">
        <v>39</v>
      </c>
    </row>
    <row r="60" spans="7:49" x14ac:dyDescent="0.35">
      <c r="G60" s="1" t="s">
        <v>3</v>
      </c>
      <c r="H60" s="1" t="s">
        <v>639</v>
      </c>
      <c r="O60" s="15" t="s">
        <v>709</v>
      </c>
      <c r="P60" s="15" t="s">
        <v>710</v>
      </c>
      <c r="R60" s="15" t="s">
        <v>711</v>
      </c>
      <c r="S60" s="15"/>
      <c r="AU60" s="1" t="s">
        <v>1044</v>
      </c>
      <c r="AV60" s="1" t="s">
        <v>93</v>
      </c>
      <c r="AW60" s="281">
        <v>41.2</v>
      </c>
    </row>
    <row r="61" spans="7:49" x14ac:dyDescent="0.35">
      <c r="G61" s="1" t="s">
        <v>3</v>
      </c>
      <c r="H61" s="1" t="s">
        <v>673</v>
      </c>
      <c r="O61" s="1" t="s">
        <v>132</v>
      </c>
      <c r="P61" s="1" t="s">
        <v>368</v>
      </c>
      <c r="R61" s="1" t="s">
        <v>403</v>
      </c>
      <c r="AU61" s="1" t="s">
        <v>1045</v>
      </c>
      <c r="AV61" s="1" t="s">
        <v>93</v>
      </c>
      <c r="AW61" s="281" t="s">
        <v>1058</v>
      </c>
    </row>
    <row r="62" spans="7:49" x14ac:dyDescent="0.35">
      <c r="G62" s="1" t="s">
        <v>3</v>
      </c>
      <c r="H62" s="1" t="s">
        <v>675</v>
      </c>
      <c r="O62" s="1" t="s">
        <v>363</v>
      </c>
      <c r="P62" s="1" t="s">
        <v>370</v>
      </c>
      <c r="R62" s="1" t="s">
        <v>404</v>
      </c>
      <c r="AU62" s="1" t="s">
        <v>1046</v>
      </c>
      <c r="AV62" s="1" t="s">
        <v>93</v>
      </c>
      <c r="AW62" s="281">
        <v>42.99</v>
      </c>
    </row>
    <row r="63" spans="7:49" x14ac:dyDescent="0.35">
      <c r="G63" s="1" t="s">
        <v>3</v>
      </c>
      <c r="H63" s="1" t="s">
        <v>677</v>
      </c>
      <c r="O63" s="57" t="s">
        <v>713</v>
      </c>
      <c r="AU63" s="1" t="s">
        <v>269</v>
      </c>
      <c r="AV63" s="1" t="s">
        <v>94</v>
      </c>
      <c r="AW63" s="281">
        <v>45</v>
      </c>
    </row>
    <row r="64" spans="7:49" x14ac:dyDescent="0.35">
      <c r="G64" s="1" t="s">
        <v>1076</v>
      </c>
      <c r="H64" s="1" t="s">
        <v>740</v>
      </c>
      <c r="O64" s="1" t="s">
        <v>132</v>
      </c>
      <c r="P64" s="15" t="s">
        <v>715</v>
      </c>
      <c r="R64" s="15" t="s">
        <v>716</v>
      </c>
      <c r="S64" s="15"/>
      <c r="X64" s="15"/>
      <c r="AU64" s="1" t="s">
        <v>270</v>
      </c>
      <c r="AV64" s="1" t="s">
        <v>94</v>
      </c>
      <c r="AW64" s="281">
        <v>46</v>
      </c>
    </row>
    <row r="65" spans="7:49" x14ac:dyDescent="0.35">
      <c r="G65" s="1" t="s">
        <v>1076</v>
      </c>
      <c r="H65" s="1" t="s">
        <v>741</v>
      </c>
      <c r="O65" s="56"/>
      <c r="P65" s="1" t="s">
        <v>366</v>
      </c>
      <c r="R65" s="1" t="s">
        <v>403</v>
      </c>
      <c r="AU65" s="1" t="s">
        <v>271</v>
      </c>
      <c r="AV65" s="1" t="s">
        <v>94</v>
      </c>
      <c r="AW65" s="281">
        <v>47</v>
      </c>
    </row>
    <row r="66" spans="7:49" x14ac:dyDescent="0.35">
      <c r="G66" s="1" t="s">
        <v>1076</v>
      </c>
      <c r="H66" s="1" t="s">
        <v>742</v>
      </c>
      <c r="O66" s="57" t="s">
        <v>719</v>
      </c>
      <c r="P66" s="1" t="s">
        <v>364</v>
      </c>
      <c r="R66" s="1" t="s">
        <v>404</v>
      </c>
      <c r="AU66" s="1" t="s">
        <v>1047</v>
      </c>
      <c r="AV66" s="1" t="s">
        <v>95</v>
      </c>
      <c r="AW66" s="281" t="s">
        <v>272</v>
      </c>
    </row>
    <row r="67" spans="7:49" x14ac:dyDescent="0.35">
      <c r="G67" s="1" t="s">
        <v>1073</v>
      </c>
      <c r="H67" s="1" t="s">
        <v>735</v>
      </c>
      <c r="O67" s="56" t="s">
        <v>132</v>
      </c>
      <c r="P67" s="1" t="s">
        <v>365</v>
      </c>
      <c r="AU67" s="1" t="s">
        <v>1048</v>
      </c>
      <c r="AV67" s="1" t="s">
        <v>95</v>
      </c>
      <c r="AW67" s="281" t="s">
        <v>273</v>
      </c>
    </row>
    <row r="68" spans="7:49" x14ac:dyDescent="0.35">
      <c r="G68" s="1" t="s">
        <v>1073</v>
      </c>
      <c r="H68" s="1" t="s">
        <v>725</v>
      </c>
      <c r="AU68" s="1" t="s">
        <v>1049</v>
      </c>
      <c r="AV68" s="1" t="s">
        <v>95</v>
      </c>
      <c r="AW68" s="281">
        <v>50</v>
      </c>
    </row>
    <row r="69" spans="7:49" x14ac:dyDescent="0.35">
      <c r="G69" s="1" t="s">
        <v>1073</v>
      </c>
      <c r="H69" s="1" t="s">
        <v>726</v>
      </c>
      <c r="P69" s="15" t="s">
        <v>722</v>
      </c>
      <c r="AU69" s="1" t="s">
        <v>1050</v>
      </c>
      <c r="AV69" s="1" t="s">
        <v>95</v>
      </c>
      <c r="AW69" s="281">
        <v>51</v>
      </c>
    </row>
    <row r="70" spans="7:49" x14ac:dyDescent="0.35">
      <c r="G70" s="1" t="s">
        <v>1073</v>
      </c>
      <c r="H70" s="1" t="s">
        <v>727</v>
      </c>
      <c r="O70" s="15" t="s">
        <v>724</v>
      </c>
      <c r="P70" s="1" t="s">
        <v>373</v>
      </c>
      <c r="AU70" s="1" t="s">
        <v>274</v>
      </c>
      <c r="AV70" s="1" t="s">
        <v>95</v>
      </c>
      <c r="AW70" s="281">
        <v>52</v>
      </c>
    </row>
    <row r="71" spans="7:49" x14ac:dyDescent="0.35">
      <c r="G71" s="1" t="s">
        <v>1073</v>
      </c>
      <c r="H71" s="1" t="s">
        <v>732</v>
      </c>
      <c r="O71" s="1" t="s">
        <v>132</v>
      </c>
      <c r="P71" s="1" t="s">
        <v>374</v>
      </c>
      <c r="X71" s="15"/>
      <c r="AU71" s="1" t="s">
        <v>275</v>
      </c>
      <c r="AV71" s="1" t="s">
        <v>95</v>
      </c>
      <c r="AW71" s="281">
        <v>53</v>
      </c>
    </row>
    <row r="72" spans="7:49" x14ac:dyDescent="0.35">
      <c r="G72" s="1" t="s">
        <v>1073</v>
      </c>
      <c r="H72" s="1" t="s">
        <v>728</v>
      </c>
      <c r="O72" s="1" t="s">
        <v>172</v>
      </c>
      <c r="P72" s="1" t="s">
        <v>375</v>
      </c>
      <c r="AU72" s="1" t="s">
        <v>276</v>
      </c>
      <c r="AV72" s="1" t="s">
        <v>96</v>
      </c>
      <c r="AW72" s="281">
        <v>55</v>
      </c>
    </row>
    <row r="73" spans="7:49" x14ac:dyDescent="0.35">
      <c r="G73" s="1" t="s">
        <v>1073</v>
      </c>
      <c r="H73" s="1" t="s">
        <v>731</v>
      </c>
      <c r="P73" s="1" t="s">
        <v>377</v>
      </c>
      <c r="AU73" s="1" t="s">
        <v>277</v>
      </c>
      <c r="AV73" s="1" t="s">
        <v>96</v>
      </c>
      <c r="AW73" s="281">
        <v>56</v>
      </c>
    </row>
    <row r="74" spans="7:49" x14ac:dyDescent="0.35">
      <c r="G74" s="1" t="s">
        <v>1073</v>
      </c>
      <c r="H74" s="1" t="s">
        <v>1187</v>
      </c>
      <c r="AU74" s="1" t="s">
        <v>278</v>
      </c>
      <c r="AV74" s="1" t="s">
        <v>97</v>
      </c>
      <c r="AW74" s="281">
        <v>58</v>
      </c>
    </row>
    <row r="75" spans="7:49" x14ac:dyDescent="0.35">
      <c r="G75" s="1" t="s">
        <v>1073</v>
      </c>
      <c r="H75" s="1" t="s">
        <v>736</v>
      </c>
      <c r="O75" s="57" t="s">
        <v>729</v>
      </c>
      <c r="P75" s="15" t="s">
        <v>730</v>
      </c>
      <c r="AU75" s="1" t="s">
        <v>1051</v>
      </c>
      <c r="AV75" s="1" t="s">
        <v>97</v>
      </c>
      <c r="AW75" s="281">
        <v>59</v>
      </c>
    </row>
    <row r="76" spans="7:49" x14ac:dyDescent="0.35">
      <c r="G76" s="1" t="s">
        <v>1073</v>
      </c>
      <c r="H76" s="1" t="s">
        <v>738</v>
      </c>
      <c r="O76" s="1" t="s">
        <v>361</v>
      </c>
      <c r="P76" s="1" t="s">
        <v>387</v>
      </c>
      <c r="X76" s="15"/>
      <c r="AU76" s="1" t="s">
        <v>1052</v>
      </c>
      <c r="AV76" s="1" t="s">
        <v>97</v>
      </c>
      <c r="AW76" s="281">
        <v>60</v>
      </c>
    </row>
    <row r="77" spans="7:49" x14ac:dyDescent="0.35">
      <c r="G77" s="1" t="s">
        <v>1073</v>
      </c>
      <c r="H77" s="1" t="s">
        <v>734</v>
      </c>
      <c r="O77" s="1" t="s">
        <v>363</v>
      </c>
      <c r="AU77" s="1" t="s">
        <v>279</v>
      </c>
      <c r="AV77" s="1" t="s">
        <v>97</v>
      </c>
      <c r="AW77" s="281">
        <v>61</v>
      </c>
    </row>
    <row r="78" spans="7:49" x14ac:dyDescent="0.35">
      <c r="G78" s="1" t="s">
        <v>1073</v>
      </c>
      <c r="H78" s="1" t="s">
        <v>1080</v>
      </c>
      <c r="P78" s="15" t="s">
        <v>733</v>
      </c>
      <c r="AU78" s="1" t="s">
        <v>280</v>
      </c>
      <c r="AV78" s="1" t="s">
        <v>97</v>
      </c>
      <c r="AW78" s="281">
        <v>62</v>
      </c>
    </row>
    <row r="79" spans="7:49" x14ac:dyDescent="0.35">
      <c r="G79" s="1" t="s">
        <v>1073</v>
      </c>
      <c r="H79" s="1" t="s">
        <v>737</v>
      </c>
      <c r="O79" s="15" t="s">
        <v>745</v>
      </c>
      <c r="P79" s="1" t="s">
        <v>384</v>
      </c>
      <c r="AU79" s="1" t="s">
        <v>281</v>
      </c>
      <c r="AV79" s="1" t="s">
        <v>97</v>
      </c>
      <c r="AW79" s="281">
        <v>63</v>
      </c>
    </row>
    <row r="80" spans="7:49" x14ac:dyDescent="0.35">
      <c r="G80" s="1" t="s">
        <v>1077</v>
      </c>
      <c r="H80" s="1" t="s">
        <v>720</v>
      </c>
      <c r="O80" s="1" t="s">
        <v>132</v>
      </c>
      <c r="P80" s="1" t="s">
        <v>385</v>
      </c>
      <c r="AU80" s="1" t="s">
        <v>282</v>
      </c>
      <c r="AV80" s="1" t="s">
        <v>98</v>
      </c>
      <c r="AW80" s="281">
        <v>64</v>
      </c>
    </row>
    <row r="81" spans="7:49" x14ac:dyDescent="0.35">
      <c r="G81" s="1" t="s">
        <v>1077</v>
      </c>
      <c r="H81" s="1" t="s">
        <v>839</v>
      </c>
      <c r="O81" s="1" t="s">
        <v>172</v>
      </c>
      <c r="AU81" s="1" t="s">
        <v>1053</v>
      </c>
      <c r="AV81" s="1" t="s">
        <v>98</v>
      </c>
      <c r="AW81" s="281" t="s">
        <v>1059</v>
      </c>
    </row>
    <row r="82" spans="7:49" x14ac:dyDescent="0.35">
      <c r="G82" s="1" t="s">
        <v>1077</v>
      </c>
      <c r="H82" s="1" t="s">
        <v>1081</v>
      </c>
      <c r="P82" s="15" t="s">
        <v>746</v>
      </c>
      <c r="X82" s="15"/>
      <c r="AU82" s="1" t="s">
        <v>283</v>
      </c>
      <c r="AV82" s="1" t="s">
        <v>98</v>
      </c>
      <c r="AW82" s="281">
        <v>66</v>
      </c>
    </row>
    <row r="83" spans="7:49" x14ac:dyDescent="0.35">
      <c r="G83" s="1" t="s">
        <v>1077</v>
      </c>
      <c r="H83" s="1" t="s">
        <v>712</v>
      </c>
      <c r="O83" s="15" t="s">
        <v>1017</v>
      </c>
      <c r="P83" s="1" t="s">
        <v>439</v>
      </c>
      <c r="AU83" s="1" t="s">
        <v>284</v>
      </c>
      <c r="AV83" s="1" t="s">
        <v>99</v>
      </c>
      <c r="AW83" s="281">
        <v>68.12</v>
      </c>
    </row>
    <row r="84" spans="7:49" x14ac:dyDescent="0.35">
      <c r="G84" s="1" t="s">
        <v>1077</v>
      </c>
      <c r="H84" s="1" t="s">
        <v>706</v>
      </c>
      <c r="O84" s="1" t="s">
        <v>1018</v>
      </c>
      <c r="AU84" s="1" t="s">
        <v>286</v>
      </c>
      <c r="AV84" s="1" t="s">
        <v>99</v>
      </c>
      <c r="AW84" s="281" t="s">
        <v>285</v>
      </c>
    </row>
    <row r="85" spans="7:49" x14ac:dyDescent="0.35">
      <c r="G85" s="1" t="s">
        <v>1077</v>
      </c>
      <c r="H85" s="1" t="s">
        <v>840</v>
      </c>
      <c r="O85" s="1" t="s">
        <v>1012</v>
      </c>
      <c r="AU85" s="1" t="s">
        <v>287</v>
      </c>
      <c r="AV85" s="1" t="s">
        <v>99</v>
      </c>
      <c r="AW85" s="281">
        <v>68.3</v>
      </c>
    </row>
    <row r="86" spans="7:49" x14ac:dyDescent="0.35">
      <c r="G86" s="1" t="s">
        <v>1077</v>
      </c>
      <c r="H86" s="1" t="s">
        <v>707</v>
      </c>
      <c r="AU86" s="1" t="s">
        <v>288</v>
      </c>
      <c r="AV86" s="1" t="s">
        <v>100</v>
      </c>
      <c r="AW86" s="281">
        <v>69.099999999999994</v>
      </c>
    </row>
    <row r="87" spans="7:49" x14ac:dyDescent="0.35">
      <c r="G87" s="1" t="s">
        <v>1077</v>
      </c>
      <c r="H87" s="1" t="s">
        <v>723</v>
      </c>
      <c r="O87" s="15" t="s">
        <v>843</v>
      </c>
      <c r="P87" s="15" t="s">
        <v>1019</v>
      </c>
      <c r="X87" s="15"/>
      <c r="AU87" s="1" t="s">
        <v>289</v>
      </c>
      <c r="AV87" s="1" t="s">
        <v>100</v>
      </c>
      <c r="AW87" s="281">
        <v>69.2</v>
      </c>
    </row>
    <row r="88" spans="7:49" x14ac:dyDescent="0.35">
      <c r="G88" s="1" t="s">
        <v>1077</v>
      </c>
      <c r="H88" s="1" t="s">
        <v>708</v>
      </c>
      <c r="O88" s="1" t="s">
        <v>844</v>
      </c>
      <c r="P88" s="1" t="s">
        <v>445</v>
      </c>
      <c r="AU88" s="1" t="s">
        <v>290</v>
      </c>
      <c r="AV88" s="1" t="s">
        <v>100</v>
      </c>
      <c r="AW88" s="281">
        <v>70</v>
      </c>
    </row>
    <row r="89" spans="7:49" x14ac:dyDescent="0.35">
      <c r="G89" s="1" t="s">
        <v>1077</v>
      </c>
      <c r="H89" s="1" t="s">
        <v>717</v>
      </c>
      <c r="O89" s="1" t="s">
        <v>845</v>
      </c>
      <c r="AU89" s="1" t="s">
        <v>291</v>
      </c>
      <c r="AV89" s="1" t="s">
        <v>100</v>
      </c>
      <c r="AW89" s="281">
        <v>71</v>
      </c>
    </row>
    <row r="90" spans="7:49" x14ac:dyDescent="0.35">
      <c r="G90" s="1" t="s">
        <v>1077</v>
      </c>
      <c r="H90" s="1" t="s">
        <v>1082</v>
      </c>
      <c r="O90" s="1" t="s">
        <v>846</v>
      </c>
      <c r="AU90" s="1" t="s">
        <v>292</v>
      </c>
      <c r="AV90" s="1" t="s">
        <v>100</v>
      </c>
      <c r="AW90" s="281">
        <v>72</v>
      </c>
    </row>
    <row r="91" spans="7:49" x14ac:dyDescent="0.35">
      <c r="G91" s="1" t="s">
        <v>1077</v>
      </c>
      <c r="H91" s="1" t="s">
        <v>1083</v>
      </c>
      <c r="O91" s="1" t="s">
        <v>847</v>
      </c>
      <c r="P91" s="15" t="s">
        <v>1137</v>
      </c>
      <c r="AU91" s="1" t="s">
        <v>293</v>
      </c>
      <c r="AV91" s="1" t="s">
        <v>100</v>
      </c>
      <c r="AW91" s="281">
        <v>73</v>
      </c>
    </row>
    <row r="92" spans="7:49" x14ac:dyDescent="0.35">
      <c r="G92" s="1" t="s">
        <v>1077</v>
      </c>
      <c r="H92" s="1" t="s">
        <v>721</v>
      </c>
      <c r="O92" s="1" t="s">
        <v>848</v>
      </c>
      <c r="P92" s="1" t="s">
        <v>1011</v>
      </c>
      <c r="AU92" s="1" t="s">
        <v>294</v>
      </c>
      <c r="AV92" s="1" t="s">
        <v>100</v>
      </c>
      <c r="AW92" s="281">
        <v>74</v>
      </c>
    </row>
    <row r="93" spans="7:49" x14ac:dyDescent="0.35">
      <c r="G93" s="1" t="s">
        <v>1077</v>
      </c>
      <c r="H93" s="1" t="s">
        <v>1084</v>
      </c>
      <c r="O93" s="1" t="s">
        <v>849</v>
      </c>
      <c r="P93" s="1" t="s">
        <v>1138</v>
      </c>
      <c r="X93" s="15"/>
      <c r="AU93" s="1" t="s">
        <v>295</v>
      </c>
      <c r="AV93" s="1" t="s">
        <v>100</v>
      </c>
      <c r="AW93" s="281">
        <v>75</v>
      </c>
    </row>
    <row r="94" spans="7:49" x14ac:dyDescent="0.35">
      <c r="G94" s="1" t="s">
        <v>1077</v>
      </c>
      <c r="H94" s="1" t="s">
        <v>841</v>
      </c>
      <c r="O94" s="1" t="s">
        <v>850</v>
      </c>
      <c r="P94" s="1" t="s">
        <v>1226</v>
      </c>
      <c r="AU94" s="1" t="s">
        <v>296</v>
      </c>
      <c r="AV94" s="1" t="s">
        <v>101</v>
      </c>
      <c r="AW94" s="281">
        <v>77</v>
      </c>
    </row>
    <row r="95" spans="7:49" x14ac:dyDescent="0.35">
      <c r="G95" s="1" t="s">
        <v>1077</v>
      </c>
      <c r="H95" s="1" t="s">
        <v>1184</v>
      </c>
      <c r="O95" s="1" t="s">
        <v>851</v>
      </c>
      <c r="P95" s="1" t="s">
        <v>1013</v>
      </c>
      <c r="AU95" s="1" t="s">
        <v>297</v>
      </c>
      <c r="AV95" s="1" t="s">
        <v>101</v>
      </c>
      <c r="AW95" s="281">
        <v>78</v>
      </c>
    </row>
    <row r="96" spans="7:49" x14ac:dyDescent="0.35">
      <c r="G96" s="1" t="s">
        <v>1077</v>
      </c>
      <c r="H96" s="1" t="s">
        <v>718</v>
      </c>
      <c r="O96" s="1" t="s">
        <v>852</v>
      </c>
      <c r="P96" s="1" t="s">
        <v>1015</v>
      </c>
      <c r="AU96" s="1" t="s">
        <v>298</v>
      </c>
      <c r="AV96" s="1" t="s">
        <v>101</v>
      </c>
      <c r="AW96" s="281">
        <v>79</v>
      </c>
    </row>
    <row r="97" spans="7:49" x14ac:dyDescent="0.35">
      <c r="G97" s="1" t="s">
        <v>1077</v>
      </c>
      <c r="H97" s="1" t="s">
        <v>714</v>
      </c>
      <c r="O97" s="1" t="s">
        <v>853</v>
      </c>
      <c r="P97" s="1" t="s">
        <v>1014</v>
      </c>
      <c r="AU97" s="1" t="s">
        <v>299</v>
      </c>
      <c r="AV97" s="1" t="s">
        <v>101</v>
      </c>
      <c r="AW97" s="281">
        <v>80</v>
      </c>
    </row>
    <row r="98" spans="7:49" x14ac:dyDescent="0.35">
      <c r="G98" s="1" t="s">
        <v>1077</v>
      </c>
      <c r="H98" s="1" t="s">
        <v>703</v>
      </c>
      <c r="O98" s="1" t="s">
        <v>854</v>
      </c>
      <c r="AU98" s="1" t="s">
        <v>300</v>
      </c>
      <c r="AV98" s="1" t="s">
        <v>101</v>
      </c>
      <c r="AW98" s="281">
        <v>81</v>
      </c>
    </row>
    <row r="99" spans="7:49" x14ac:dyDescent="0.35">
      <c r="G99" s="1" t="s">
        <v>1135</v>
      </c>
      <c r="H99" s="1" t="s">
        <v>689</v>
      </c>
      <c r="O99" s="1" t="s">
        <v>855</v>
      </c>
      <c r="P99" s="15" t="s">
        <v>1020</v>
      </c>
      <c r="X99" s="15"/>
      <c r="AU99" s="1" t="s">
        <v>301</v>
      </c>
      <c r="AV99" s="1" t="s">
        <v>101</v>
      </c>
      <c r="AW99" s="281">
        <v>82</v>
      </c>
    </row>
    <row r="100" spans="7:49" x14ac:dyDescent="0.35">
      <c r="G100" s="1" t="s">
        <v>1135</v>
      </c>
      <c r="H100" s="1" t="s">
        <v>688</v>
      </c>
      <c r="O100" s="1" t="s">
        <v>856</v>
      </c>
      <c r="P100" s="1" t="s">
        <v>1139</v>
      </c>
      <c r="AU100" s="1" t="s">
        <v>302</v>
      </c>
      <c r="AV100" s="1" t="s">
        <v>102</v>
      </c>
      <c r="AW100" s="281">
        <v>84</v>
      </c>
    </row>
    <row r="101" spans="7:49" x14ac:dyDescent="0.35">
      <c r="G101" s="1" t="s">
        <v>1135</v>
      </c>
      <c r="H101" s="1" t="s">
        <v>682</v>
      </c>
      <c r="O101" s="1" t="s">
        <v>857</v>
      </c>
      <c r="AU101" s="1" t="s">
        <v>303</v>
      </c>
      <c r="AV101" s="1" t="s">
        <v>103</v>
      </c>
      <c r="AW101" s="281">
        <v>85</v>
      </c>
    </row>
    <row r="102" spans="7:49" x14ac:dyDescent="0.35">
      <c r="G102" s="1" t="s">
        <v>1135</v>
      </c>
      <c r="H102" s="1" t="s">
        <v>687</v>
      </c>
      <c r="O102" s="1" t="s">
        <v>858</v>
      </c>
      <c r="AU102" s="1" t="s">
        <v>304</v>
      </c>
      <c r="AV102" s="1" t="s">
        <v>104</v>
      </c>
      <c r="AW102" s="281">
        <v>86</v>
      </c>
    </row>
    <row r="103" spans="7:49" x14ac:dyDescent="0.35">
      <c r="G103" s="1" t="s">
        <v>1135</v>
      </c>
      <c r="H103" s="1" t="s">
        <v>1086</v>
      </c>
      <c r="O103" s="1" t="s">
        <v>859</v>
      </c>
      <c r="AU103" s="1" t="s">
        <v>1054</v>
      </c>
      <c r="AV103" s="1" t="s">
        <v>104</v>
      </c>
      <c r="AW103" s="281">
        <v>87</v>
      </c>
    </row>
    <row r="104" spans="7:49" x14ac:dyDescent="0.35">
      <c r="G104" s="1" t="s">
        <v>1135</v>
      </c>
      <c r="H104" s="1" t="s">
        <v>684</v>
      </c>
      <c r="O104" s="1" t="s">
        <v>860</v>
      </c>
      <c r="AU104" s="1" t="s">
        <v>1055</v>
      </c>
      <c r="AV104" s="1" t="s">
        <v>104</v>
      </c>
      <c r="AW104" s="281">
        <v>88</v>
      </c>
    </row>
    <row r="105" spans="7:49" x14ac:dyDescent="0.35">
      <c r="G105" s="1" t="s">
        <v>1135</v>
      </c>
      <c r="H105" s="1" t="s">
        <v>681</v>
      </c>
      <c r="O105" s="1" t="s">
        <v>861</v>
      </c>
      <c r="X105" s="15"/>
      <c r="AU105" s="1" t="s">
        <v>305</v>
      </c>
      <c r="AV105" s="1" t="s">
        <v>105</v>
      </c>
      <c r="AW105" s="281">
        <v>90</v>
      </c>
    </row>
    <row r="106" spans="7:49" x14ac:dyDescent="0.35">
      <c r="G106" s="1" t="s">
        <v>1135</v>
      </c>
      <c r="H106" s="1" t="s">
        <v>743</v>
      </c>
      <c r="O106" s="1" t="s">
        <v>862</v>
      </c>
      <c r="AU106" s="1" t="s">
        <v>306</v>
      </c>
      <c r="AV106" s="1" t="s">
        <v>105</v>
      </c>
      <c r="AW106" s="281">
        <v>91</v>
      </c>
    </row>
    <row r="107" spans="7:49" x14ac:dyDescent="0.35">
      <c r="G107" s="76" t="s">
        <v>594</v>
      </c>
      <c r="H107" s="1" t="s">
        <v>594</v>
      </c>
      <c r="O107" s="1" t="s">
        <v>863</v>
      </c>
      <c r="AU107" s="1" t="s">
        <v>307</v>
      </c>
      <c r="AV107" s="1" t="s">
        <v>105</v>
      </c>
      <c r="AW107" s="281">
        <v>92</v>
      </c>
    </row>
    <row r="108" spans="7:49" x14ac:dyDescent="0.35">
      <c r="O108" s="1" t="s">
        <v>864</v>
      </c>
      <c r="AU108" s="1" t="s">
        <v>308</v>
      </c>
      <c r="AV108" s="1" t="s">
        <v>105</v>
      </c>
      <c r="AW108" s="281">
        <v>93</v>
      </c>
    </row>
    <row r="109" spans="7:49" x14ac:dyDescent="0.35">
      <c r="O109" s="1" t="s">
        <v>865</v>
      </c>
      <c r="AU109" s="1" t="s">
        <v>309</v>
      </c>
      <c r="AV109" s="1" t="s">
        <v>106</v>
      </c>
      <c r="AW109" s="281">
        <v>94</v>
      </c>
    </row>
    <row r="110" spans="7:49" x14ac:dyDescent="0.35">
      <c r="O110" s="1" t="s">
        <v>866</v>
      </c>
      <c r="AU110" s="1" t="s">
        <v>310</v>
      </c>
      <c r="AV110" s="1" t="s">
        <v>106</v>
      </c>
      <c r="AW110" s="281">
        <v>95</v>
      </c>
    </row>
    <row r="111" spans="7:49" x14ac:dyDescent="0.35">
      <c r="O111" s="1" t="s">
        <v>867</v>
      </c>
      <c r="AU111" s="1" t="s">
        <v>311</v>
      </c>
      <c r="AV111" s="1" t="s">
        <v>106</v>
      </c>
      <c r="AW111" s="281">
        <v>96</v>
      </c>
    </row>
    <row r="112" spans="7:49" x14ac:dyDescent="0.35">
      <c r="O112" s="1" t="s">
        <v>868</v>
      </c>
      <c r="AU112" s="1" t="s">
        <v>312</v>
      </c>
      <c r="AV112" s="1" t="s">
        <v>107</v>
      </c>
      <c r="AW112" s="281">
        <v>97</v>
      </c>
    </row>
    <row r="113" spans="15:15" x14ac:dyDescent="0.35">
      <c r="O113" s="1" t="s">
        <v>869</v>
      </c>
    </row>
    <row r="114" spans="15:15" x14ac:dyDescent="0.35">
      <c r="O114" s="1" t="s">
        <v>870</v>
      </c>
    </row>
    <row r="115" spans="15:15" x14ac:dyDescent="0.35">
      <c r="O115" s="1" t="s">
        <v>871</v>
      </c>
    </row>
    <row r="116" spans="15:15" x14ac:dyDescent="0.35">
      <c r="O116" s="1" t="s">
        <v>872</v>
      </c>
    </row>
    <row r="117" spans="15:15" x14ac:dyDescent="0.35">
      <c r="O117" s="1" t="s">
        <v>873</v>
      </c>
    </row>
    <row r="118" spans="15:15" x14ac:dyDescent="0.35">
      <c r="O118" s="1" t="s">
        <v>874</v>
      </c>
    </row>
    <row r="119" spans="15:15" x14ac:dyDescent="0.35">
      <c r="O119" s="1" t="s">
        <v>875</v>
      </c>
    </row>
    <row r="120" spans="15:15" x14ac:dyDescent="0.35">
      <c r="O120" s="1" t="s">
        <v>876</v>
      </c>
    </row>
    <row r="121" spans="15:15" x14ac:dyDescent="0.35">
      <c r="O121" s="1" t="s">
        <v>877</v>
      </c>
    </row>
    <row r="122" spans="15:15" x14ac:dyDescent="0.35">
      <c r="O122" s="1" t="s">
        <v>878</v>
      </c>
    </row>
    <row r="123" spans="15:15" x14ac:dyDescent="0.35">
      <c r="O123" s="1" t="s">
        <v>879</v>
      </c>
    </row>
    <row r="124" spans="15:15" x14ac:dyDescent="0.35">
      <c r="O124" s="1" t="s">
        <v>880</v>
      </c>
    </row>
    <row r="125" spans="15:15" x14ac:dyDescent="0.35">
      <c r="O125" s="1" t="s">
        <v>881</v>
      </c>
    </row>
    <row r="126" spans="15:15" x14ac:dyDescent="0.35">
      <c r="O126" s="1" t="s">
        <v>882</v>
      </c>
    </row>
    <row r="127" spans="15:15" x14ac:dyDescent="0.35">
      <c r="O127" s="1" t="s">
        <v>883</v>
      </c>
    </row>
    <row r="128" spans="15:15" x14ac:dyDescent="0.35">
      <c r="O128" s="1" t="s">
        <v>884</v>
      </c>
    </row>
    <row r="129" spans="4:15" x14ac:dyDescent="0.35">
      <c r="O129" s="1" t="s">
        <v>885</v>
      </c>
    </row>
    <row r="130" spans="4:15" x14ac:dyDescent="0.35">
      <c r="O130" s="1" t="s">
        <v>886</v>
      </c>
    </row>
    <row r="131" spans="4:15" x14ac:dyDescent="0.35">
      <c r="O131" s="1" t="s">
        <v>887</v>
      </c>
    </row>
    <row r="132" spans="4:15" x14ac:dyDescent="0.35">
      <c r="D132" s="447"/>
      <c r="O132" s="1" t="s">
        <v>888</v>
      </c>
    </row>
    <row r="133" spans="4:15" ht="15.5" x14ac:dyDescent="0.35">
      <c r="D133" s="446"/>
      <c r="O133" s="1" t="s">
        <v>889</v>
      </c>
    </row>
    <row r="134" spans="4:15" ht="15.5" x14ac:dyDescent="0.35">
      <c r="D134" s="446"/>
      <c r="O134" s="1" t="s">
        <v>890</v>
      </c>
    </row>
    <row r="135" spans="4:15" x14ac:dyDescent="0.35">
      <c r="D135" s="447"/>
      <c r="O135" s="1" t="s">
        <v>891</v>
      </c>
    </row>
    <row r="136" spans="4:15" x14ac:dyDescent="0.35">
      <c r="D136" s="447"/>
      <c r="O136" s="1" t="s">
        <v>892</v>
      </c>
    </row>
    <row r="137" spans="4:15" ht="16" x14ac:dyDescent="0.35">
      <c r="D137" s="448"/>
      <c r="O137" s="1" t="s">
        <v>893</v>
      </c>
    </row>
    <row r="138" spans="4:15" x14ac:dyDescent="0.35">
      <c r="D138" s="447"/>
      <c r="O138" s="1" t="s">
        <v>894</v>
      </c>
    </row>
    <row r="139" spans="4:15" x14ac:dyDescent="0.35">
      <c r="D139" s="447"/>
      <c r="O139" s="1" t="s">
        <v>895</v>
      </c>
    </row>
    <row r="140" spans="4:15" x14ac:dyDescent="0.35">
      <c r="D140" s="447"/>
      <c r="O140" s="1" t="s">
        <v>896</v>
      </c>
    </row>
    <row r="141" spans="4:15" x14ac:dyDescent="0.35">
      <c r="O141" s="1" t="s">
        <v>897</v>
      </c>
    </row>
    <row r="142" spans="4:15" x14ac:dyDescent="0.35">
      <c r="O142" s="1" t="s">
        <v>898</v>
      </c>
    </row>
    <row r="143" spans="4:15" x14ac:dyDescent="0.35">
      <c r="O143" s="1" t="s">
        <v>899</v>
      </c>
    </row>
    <row r="144" spans="4:15" x14ac:dyDescent="0.35">
      <c r="O144" s="1" t="s">
        <v>900</v>
      </c>
    </row>
    <row r="145" spans="15:15" x14ac:dyDescent="0.35">
      <c r="O145" s="1" t="s">
        <v>901</v>
      </c>
    </row>
    <row r="146" spans="15:15" x14ac:dyDescent="0.35">
      <c r="O146" s="1" t="s">
        <v>902</v>
      </c>
    </row>
    <row r="147" spans="15:15" x14ac:dyDescent="0.35">
      <c r="O147" s="1" t="s">
        <v>903</v>
      </c>
    </row>
    <row r="148" spans="15:15" x14ac:dyDescent="0.35">
      <c r="O148" s="1" t="s">
        <v>904</v>
      </c>
    </row>
    <row r="149" spans="15:15" x14ac:dyDescent="0.35">
      <c r="O149" s="1" t="s">
        <v>905</v>
      </c>
    </row>
    <row r="150" spans="15:15" x14ac:dyDescent="0.35">
      <c r="O150" s="1" t="s">
        <v>906</v>
      </c>
    </row>
    <row r="151" spans="15:15" x14ac:dyDescent="0.35">
      <c r="O151" s="1" t="s">
        <v>907</v>
      </c>
    </row>
    <row r="152" spans="15:15" x14ac:dyDescent="0.35">
      <c r="O152" s="1" t="s">
        <v>908</v>
      </c>
    </row>
    <row r="153" spans="15:15" x14ac:dyDescent="0.35">
      <c r="O153" s="1" t="s">
        <v>909</v>
      </c>
    </row>
    <row r="154" spans="15:15" x14ac:dyDescent="0.35">
      <c r="O154" s="1" t="s">
        <v>910</v>
      </c>
    </row>
    <row r="155" spans="15:15" x14ac:dyDescent="0.35">
      <c r="O155" s="1" t="s">
        <v>911</v>
      </c>
    </row>
    <row r="156" spans="15:15" x14ac:dyDescent="0.35">
      <c r="O156" s="1" t="s">
        <v>912</v>
      </c>
    </row>
    <row r="157" spans="15:15" x14ac:dyDescent="0.35">
      <c r="O157" s="1" t="s">
        <v>913</v>
      </c>
    </row>
    <row r="158" spans="15:15" x14ac:dyDescent="0.35">
      <c r="O158" s="1" t="s">
        <v>914</v>
      </c>
    </row>
    <row r="159" spans="15:15" x14ac:dyDescent="0.35">
      <c r="O159" s="1" t="s">
        <v>915</v>
      </c>
    </row>
    <row r="160" spans="15:15" x14ac:dyDescent="0.35">
      <c r="O160" s="1" t="s">
        <v>916</v>
      </c>
    </row>
    <row r="161" spans="15:15" x14ac:dyDescent="0.35">
      <c r="O161" s="1" t="s">
        <v>917</v>
      </c>
    </row>
    <row r="162" spans="15:15" x14ac:dyDescent="0.35">
      <c r="O162" s="1" t="s">
        <v>918</v>
      </c>
    </row>
    <row r="163" spans="15:15" x14ac:dyDescent="0.35">
      <c r="O163" s="1" t="s">
        <v>919</v>
      </c>
    </row>
    <row r="164" spans="15:15" x14ac:dyDescent="0.35">
      <c r="O164" s="1" t="s">
        <v>920</v>
      </c>
    </row>
    <row r="165" spans="15:15" x14ac:dyDescent="0.35">
      <c r="O165" s="1" t="s">
        <v>921</v>
      </c>
    </row>
    <row r="166" spans="15:15" x14ac:dyDescent="0.35">
      <c r="O166" s="1" t="s">
        <v>922</v>
      </c>
    </row>
    <row r="167" spans="15:15" x14ac:dyDescent="0.35">
      <c r="O167" s="1" t="s">
        <v>923</v>
      </c>
    </row>
    <row r="168" spans="15:15" x14ac:dyDescent="0.35">
      <c r="O168" s="1" t="s">
        <v>924</v>
      </c>
    </row>
    <row r="169" spans="15:15" x14ac:dyDescent="0.35">
      <c r="O169" s="1" t="s">
        <v>925</v>
      </c>
    </row>
    <row r="170" spans="15:15" x14ac:dyDescent="0.35">
      <c r="O170" s="1" t="s">
        <v>926</v>
      </c>
    </row>
    <row r="171" spans="15:15" x14ac:dyDescent="0.35">
      <c r="O171" s="1" t="s">
        <v>927</v>
      </c>
    </row>
    <row r="172" spans="15:15" x14ac:dyDescent="0.35">
      <c r="O172" s="1" t="s">
        <v>928</v>
      </c>
    </row>
    <row r="173" spans="15:15" x14ac:dyDescent="0.35">
      <c r="O173" s="1" t="s">
        <v>929</v>
      </c>
    </row>
    <row r="174" spans="15:15" x14ac:dyDescent="0.35">
      <c r="O174" s="1" t="s">
        <v>930</v>
      </c>
    </row>
    <row r="175" spans="15:15" x14ac:dyDescent="0.35">
      <c r="O175" s="1" t="s">
        <v>931</v>
      </c>
    </row>
    <row r="176" spans="15:15" x14ac:dyDescent="0.35">
      <c r="O176" s="1" t="s">
        <v>932</v>
      </c>
    </row>
    <row r="177" spans="15:15" x14ac:dyDescent="0.35">
      <c r="O177" s="1" t="s">
        <v>933</v>
      </c>
    </row>
    <row r="178" spans="15:15" x14ac:dyDescent="0.35">
      <c r="O178" s="1" t="s">
        <v>934</v>
      </c>
    </row>
    <row r="179" spans="15:15" x14ac:dyDescent="0.35">
      <c r="O179" s="1" t="s">
        <v>935</v>
      </c>
    </row>
    <row r="180" spans="15:15" x14ac:dyDescent="0.35">
      <c r="O180" s="1" t="s">
        <v>936</v>
      </c>
    </row>
    <row r="181" spans="15:15" x14ac:dyDescent="0.35">
      <c r="O181" s="1" t="s">
        <v>937</v>
      </c>
    </row>
    <row r="182" spans="15:15" x14ac:dyDescent="0.35">
      <c r="O182" s="1" t="s">
        <v>938</v>
      </c>
    </row>
    <row r="183" spans="15:15" x14ac:dyDescent="0.35">
      <c r="O183" s="1" t="s">
        <v>939</v>
      </c>
    </row>
    <row r="184" spans="15:15" x14ac:dyDescent="0.35">
      <c r="O184" s="1" t="s">
        <v>940</v>
      </c>
    </row>
    <row r="185" spans="15:15" x14ac:dyDescent="0.35">
      <c r="O185" s="1" t="s">
        <v>941</v>
      </c>
    </row>
    <row r="186" spans="15:15" x14ac:dyDescent="0.35">
      <c r="O186" s="1" t="s">
        <v>942</v>
      </c>
    </row>
    <row r="187" spans="15:15" x14ac:dyDescent="0.35">
      <c r="O187" s="1" t="s">
        <v>943</v>
      </c>
    </row>
    <row r="188" spans="15:15" x14ac:dyDescent="0.35">
      <c r="O188" s="1" t="s">
        <v>944</v>
      </c>
    </row>
    <row r="189" spans="15:15" x14ac:dyDescent="0.35">
      <c r="O189" s="1" t="s">
        <v>945</v>
      </c>
    </row>
    <row r="190" spans="15:15" x14ac:dyDescent="0.35">
      <c r="O190" s="1" t="s">
        <v>946</v>
      </c>
    </row>
    <row r="191" spans="15:15" x14ac:dyDescent="0.35">
      <c r="O191" s="1" t="s">
        <v>947</v>
      </c>
    </row>
    <row r="192" spans="15:15" x14ac:dyDescent="0.35">
      <c r="O192" s="1" t="s">
        <v>948</v>
      </c>
    </row>
    <row r="193" spans="15:15" x14ac:dyDescent="0.35">
      <c r="O193" s="1" t="s">
        <v>949</v>
      </c>
    </row>
    <row r="194" spans="15:15" x14ac:dyDescent="0.35">
      <c r="O194" s="1" t="s">
        <v>950</v>
      </c>
    </row>
    <row r="195" spans="15:15" x14ac:dyDescent="0.35">
      <c r="O195" s="1" t="s">
        <v>951</v>
      </c>
    </row>
    <row r="196" spans="15:15" x14ac:dyDescent="0.35">
      <c r="O196" s="1" t="s">
        <v>952</v>
      </c>
    </row>
    <row r="197" spans="15:15" x14ac:dyDescent="0.35">
      <c r="O197" s="1" t="s">
        <v>953</v>
      </c>
    </row>
    <row r="198" spans="15:15" x14ac:dyDescent="0.35">
      <c r="O198" s="1" t="s">
        <v>954</v>
      </c>
    </row>
    <row r="199" spans="15:15" x14ac:dyDescent="0.35">
      <c r="O199" s="1" t="s">
        <v>955</v>
      </c>
    </row>
    <row r="200" spans="15:15" x14ac:dyDescent="0.35">
      <c r="O200" s="1" t="s">
        <v>956</v>
      </c>
    </row>
    <row r="201" spans="15:15" x14ac:dyDescent="0.35">
      <c r="O201" s="1" t="s">
        <v>957</v>
      </c>
    </row>
    <row r="202" spans="15:15" x14ac:dyDescent="0.35">
      <c r="O202" s="1" t="s">
        <v>958</v>
      </c>
    </row>
    <row r="203" spans="15:15" x14ac:dyDescent="0.35">
      <c r="O203" s="1" t="s">
        <v>959</v>
      </c>
    </row>
    <row r="204" spans="15:15" x14ac:dyDescent="0.35">
      <c r="O204" s="1" t="s">
        <v>960</v>
      </c>
    </row>
    <row r="205" spans="15:15" x14ac:dyDescent="0.35">
      <c r="O205" s="1" t="s">
        <v>961</v>
      </c>
    </row>
    <row r="206" spans="15:15" x14ac:dyDescent="0.35">
      <c r="O206" s="1" t="s">
        <v>962</v>
      </c>
    </row>
    <row r="207" spans="15:15" x14ac:dyDescent="0.35">
      <c r="O207" s="1" t="s">
        <v>963</v>
      </c>
    </row>
    <row r="208" spans="15:15" x14ac:dyDescent="0.35">
      <c r="O208" s="1" t="s">
        <v>964</v>
      </c>
    </row>
    <row r="209" spans="15:15" x14ac:dyDescent="0.35">
      <c r="O209" s="1" t="s">
        <v>965</v>
      </c>
    </row>
    <row r="210" spans="15:15" x14ac:dyDescent="0.35">
      <c r="O210" s="1" t="s">
        <v>966</v>
      </c>
    </row>
    <row r="211" spans="15:15" x14ac:dyDescent="0.35">
      <c r="O211" s="1" t="s">
        <v>967</v>
      </c>
    </row>
    <row r="212" spans="15:15" x14ac:dyDescent="0.35">
      <c r="O212" s="1" t="s">
        <v>968</v>
      </c>
    </row>
    <row r="213" spans="15:15" x14ac:dyDescent="0.35">
      <c r="O213" s="1" t="s">
        <v>969</v>
      </c>
    </row>
    <row r="214" spans="15:15" x14ac:dyDescent="0.35">
      <c r="O214" s="1" t="s">
        <v>970</v>
      </c>
    </row>
    <row r="215" spans="15:15" x14ac:dyDescent="0.35">
      <c r="O215" s="1" t="s">
        <v>971</v>
      </c>
    </row>
    <row r="216" spans="15:15" x14ac:dyDescent="0.35">
      <c r="O216" s="1" t="s">
        <v>972</v>
      </c>
    </row>
    <row r="217" spans="15:15" x14ac:dyDescent="0.35">
      <c r="O217" s="1" t="s">
        <v>973</v>
      </c>
    </row>
    <row r="218" spans="15:15" x14ac:dyDescent="0.35">
      <c r="O218" s="1" t="s">
        <v>974</v>
      </c>
    </row>
    <row r="219" spans="15:15" x14ac:dyDescent="0.35">
      <c r="O219" s="1" t="s">
        <v>975</v>
      </c>
    </row>
    <row r="220" spans="15:15" x14ac:dyDescent="0.35">
      <c r="O220" s="1" t="s">
        <v>976</v>
      </c>
    </row>
    <row r="221" spans="15:15" x14ac:dyDescent="0.35">
      <c r="O221" s="1" t="s">
        <v>977</v>
      </c>
    </row>
    <row r="222" spans="15:15" x14ac:dyDescent="0.35">
      <c r="O222" s="1" t="s">
        <v>978</v>
      </c>
    </row>
    <row r="223" spans="15:15" x14ac:dyDescent="0.35">
      <c r="O223" s="1" t="s">
        <v>979</v>
      </c>
    </row>
    <row r="224" spans="15:15" x14ac:dyDescent="0.35">
      <c r="O224" s="1" t="s">
        <v>980</v>
      </c>
    </row>
    <row r="225" spans="15:15" x14ac:dyDescent="0.35">
      <c r="O225" s="1" t="s">
        <v>981</v>
      </c>
    </row>
    <row r="226" spans="15:15" x14ac:dyDescent="0.35">
      <c r="O226" s="1" t="s">
        <v>982</v>
      </c>
    </row>
    <row r="227" spans="15:15" x14ac:dyDescent="0.35">
      <c r="O227" s="1" t="s">
        <v>983</v>
      </c>
    </row>
    <row r="228" spans="15:15" x14ac:dyDescent="0.35">
      <c r="O228" s="1" t="s">
        <v>984</v>
      </c>
    </row>
    <row r="229" spans="15:15" x14ac:dyDescent="0.35">
      <c r="O229" s="1" t="s">
        <v>985</v>
      </c>
    </row>
    <row r="230" spans="15:15" x14ac:dyDescent="0.35">
      <c r="O230" s="1" t="s">
        <v>986</v>
      </c>
    </row>
    <row r="231" spans="15:15" x14ac:dyDescent="0.35">
      <c r="O231" s="1" t="s">
        <v>987</v>
      </c>
    </row>
    <row r="232" spans="15:15" x14ac:dyDescent="0.35">
      <c r="O232" s="1" t="s">
        <v>988</v>
      </c>
    </row>
    <row r="233" spans="15:15" x14ac:dyDescent="0.35">
      <c r="O233" s="1" t="s">
        <v>989</v>
      </c>
    </row>
    <row r="234" spans="15:15" x14ac:dyDescent="0.35">
      <c r="O234" s="1" t="s">
        <v>990</v>
      </c>
    </row>
    <row r="235" spans="15:15" x14ac:dyDescent="0.35">
      <c r="O235" s="1" t="s">
        <v>991</v>
      </c>
    </row>
    <row r="236" spans="15:15" x14ac:dyDescent="0.35">
      <c r="O236" s="1" t="s">
        <v>992</v>
      </c>
    </row>
    <row r="237" spans="15:15" x14ac:dyDescent="0.35">
      <c r="O237" s="1" t="s">
        <v>993</v>
      </c>
    </row>
    <row r="238" spans="15:15" x14ac:dyDescent="0.35">
      <c r="O238" s="1" t="s">
        <v>994</v>
      </c>
    </row>
    <row r="239" spans="15:15" x14ac:dyDescent="0.35">
      <c r="O239" s="1" t="s">
        <v>995</v>
      </c>
    </row>
    <row r="240" spans="15:15" x14ac:dyDescent="0.35">
      <c r="O240" s="1" t="s">
        <v>996</v>
      </c>
    </row>
    <row r="241" spans="15:15" x14ac:dyDescent="0.35">
      <c r="O241" s="1" t="s">
        <v>997</v>
      </c>
    </row>
    <row r="242" spans="15:15" x14ac:dyDescent="0.35">
      <c r="O242" s="1" t="s">
        <v>998</v>
      </c>
    </row>
    <row r="243" spans="15:15" x14ac:dyDescent="0.35">
      <c r="O243" s="1" t="s">
        <v>999</v>
      </c>
    </row>
    <row r="244" spans="15:15" x14ac:dyDescent="0.35">
      <c r="O244" s="1" t="s">
        <v>1000</v>
      </c>
    </row>
    <row r="245" spans="15:15" x14ac:dyDescent="0.35">
      <c r="O245" s="1" t="s">
        <v>1001</v>
      </c>
    </row>
    <row r="246" spans="15:15" x14ac:dyDescent="0.35">
      <c r="O246" s="1" t="s">
        <v>1002</v>
      </c>
    </row>
    <row r="247" spans="15:15" x14ac:dyDescent="0.35">
      <c r="O247" s="1" t="s">
        <v>1003</v>
      </c>
    </row>
    <row r="248" spans="15:15" x14ac:dyDescent="0.35">
      <c r="O248" s="1" t="s">
        <v>1004</v>
      </c>
    </row>
  </sheetData>
  <sheetProtection algorithmName="SHA-512" hashValue="Bi126k6JbHZhjtNt4CfwO55iCXkj12piKd7ZCD4CBdWH2ygoeIKKWr3TlfNF31+Zsadb8uHs+qhAFcmufkER0A==" saltValue="rsTeUcMbjFV/F/nfXjdtdw==" spinCount="100000" sheet="1" objects="1" scenarios="1"/>
  <sortState xmlns:xlrd2="http://schemas.microsoft.com/office/spreadsheetml/2017/richdata2" ref="G4:G11">
    <sortCondition ref="G4:G11"/>
  </sortState>
  <mergeCells count="2">
    <mergeCell ref="B2:D2"/>
    <mergeCell ref="G2:J2"/>
  </mergeCells>
  <phoneticPr fontId="20" type="noConversion"/>
  <dataValidations disablePrompts="1" count="1">
    <dataValidation type="list" allowBlank="1" showInputMessage="1" showErrorMessage="1" sqref="AZ30:AZ31" xr:uid="{0F05B8C2-AD74-4DC2-B69F-3E8F17B2D3A9}">
      <formula1>INDIRECT(SUBSTITUTE($B$73," ",""))</formula1>
    </dataValidation>
  </dataValidation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EDF92-A0C6-41CE-B001-8BD1F485D931}">
  <sheetPr>
    <tabColor theme="2" tint="-9.9978637043366805E-2"/>
  </sheetPr>
  <dimension ref="B3:E31"/>
  <sheetViews>
    <sheetView workbookViewId="0">
      <selection activeCell="H23" sqref="H23"/>
    </sheetView>
  </sheetViews>
  <sheetFormatPr defaultRowHeight="14.5" x14ac:dyDescent="0.35"/>
  <cols>
    <col min="2" max="2" width="23.36328125" customWidth="1"/>
    <col min="3" max="3" width="30.453125" bestFit="1" customWidth="1"/>
    <col min="4" max="4" width="18.1796875" bestFit="1" customWidth="1"/>
  </cols>
  <sheetData>
    <row r="3" spans="2:5" x14ac:dyDescent="0.35">
      <c r="B3" s="454" t="s">
        <v>1105</v>
      </c>
      <c r="C3" s="454" t="s">
        <v>1170</v>
      </c>
      <c r="D3" s="454" t="s">
        <v>1171</v>
      </c>
      <c r="E3" s="454" t="s">
        <v>1172</v>
      </c>
    </row>
    <row r="4" spans="2:5" x14ac:dyDescent="0.35">
      <c r="B4" s="444">
        <f>Introduction!$D$8</f>
        <v>0</v>
      </c>
      <c r="C4" s="444" t="s">
        <v>110</v>
      </c>
      <c r="D4" s="444" t="str">
        <f>'Buildings &amp; stationary assets'!$I$5</f>
        <v>No data entered</v>
      </c>
      <c r="E4" s="449" t="str">
        <f>IF(LEFT(D4,2)="No","No Error","Error")</f>
        <v>No Error</v>
      </c>
    </row>
    <row r="5" spans="2:5" x14ac:dyDescent="0.35">
      <c r="B5" s="443">
        <f>Introduction!$D$8</f>
        <v>0</v>
      </c>
      <c r="C5" s="443" t="s">
        <v>143</v>
      </c>
      <c r="D5" s="443" t="str">
        <f>'Buildings &amp; stationary assets'!$I$119</f>
        <v>No data entered</v>
      </c>
      <c r="E5" s="450" t="str">
        <f t="shared" ref="E5:E21" si="0">IF(LEFT(D5,2)="No","No Error","Error")</f>
        <v>No Error</v>
      </c>
    </row>
    <row r="6" spans="2:5" x14ac:dyDescent="0.35">
      <c r="B6" s="443">
        <f>Introduction!$D$8</f>
        <v>0</v>
      </c>
      <c r="C6" s="443" t="s">
        <v>1016</v>
      </c>
      <c r="D6" s="443" t="str">
        <f>'Buildings &amp; stationary assets'!$I$128</f>
        <v>No data entered</v>
      </c>
      <c r="E6" s="450" t="str">
        <f t="shared" si="0"/>
        <v>No Error</v>
      </c>
    </row>
    <row r="7" spans="2:5" x14ac:dyDescent="0.35">
      <c r="B7" s="443">
        <f>Introduction!$D$8</f>
        <v>0</v>
      </c>
      <c r="C7" s="443" t="s">
        <v>146</v>
      </c>
      <c r="D7" s="443" t="str">
        <f>Fleet!$H$6</f>
        <v>No data entered</v>
      </c>
      <c r="E7" s="450" t="str">
        <f t="shared" si="0"/>
        <v>No Error</v>
      </c>
    </row>
    <row r="8" spans="2:5" x14ac:dyDescent="0.35">
      <c r="B8" s="443">
        <f>Introduction!$D$8</f>
        <v>0</v>
      </c>
      <c r="C8" s="443" t="s">
        <v>150</v>
      </c>
      <c r="D8" s="443" t="str">
        <f>Fleet!$H$29</f>
        <v>No data entered</v>
      </c>
      <c r="E8" s="450" t="str">
        <f t="shared" si="0"/>
        <v>No Error</v>
      </c>
    </row>
    <row r="9" spans="2:5" x14ac:dyDescent="0.35">
      <c r="B9" s="443">
        <f>Introduction!$D$8</f>
        <v>0</v>
      </c>
      <c r="C9" s="443" t="s">
        <v>70</v>
      </c>
      <c r="D9" s="443" t="str">
        <f>'Business travel, commute, home'!$H$6</f>
        <v>No data entered</v>
      </c>
      <c r="E9" s="450" t="str">
        <f t="shared" si="0"/>
        <v>No Error</v>
      </c>
    </row>
    <row r="10" spans="2:5" x14ac:dyDescent="0.35">
      <c r="B10" s="443">
        <f>Introduction!$D$8</f>
        <v>0</v>
      </c>
      <c r="C10" s="443" t="s">
        <v>71</v>
      </c>
      <c r="D10" s="443" t="str">
        <f>'Business travel, commute, home'!$H$36</f>
        <v>No data entered</v>
      </c>
      <c r="E10" s="450" t="str">
        <f t="shared" si="0"/>
        <v>No Error</v>
      </c>
    </row>
    <row r="11" spans="2:5" x14ac:dyDescent="0.35">
      <c r="B11" s="443">
        <f>Introduction!$D$8</f>
        <v>0</v>
      </c>
      <c r="C11" s="443" t="s">
        <v>72</v>
      </c>
      <c r="D11" s="443" t="str">
        <f>'Business travel, commute, home'!$C$63</f>
        <v>No error</v>
      </c>
      <c r="E11" s="450" t="str">
        <f t="shared" si="0"/>
        <v>No Error</v>
      </c>
    </row>
    <row r="12" spans="2:5" x14ac:dyDescent="0.35">
      <c r="B12" s="443">
        <f>Introduction!$D$8</f>
        <v>0</v>
      </c>
      <c r="C12" s="443" t="s">
        <v>72</v>
      </c>
      <c r="D12" s="443" t="str">
        <f>'Business travel, commute, home'!$H$63</f>
        <v>No data entered</v>
      </c>
      <c r="E12" s="450" t="str">
        <f t="shared" si="0"/>
        <v>No Error</v>
      </c>
    </row>
    <row r="13" spans="2:5" x14ac:dyDescent="0.35">
      <c r="B13" s="443">
        <f>Introduction!$D$8</f>
        <v>0</v>
      </c>
      <c r="C13" s="443" t="s">
        <v>1093</v>
      </c>
      <c r="D13" s="443" t="str">
        <f>'Medical gases (NHS only)'!$H$5</f>
        <v>No data entered</v>
      </c>
      <c r="E13" s="450" t="str">
        <f t="shared" si="0"/>
        <v>No Error</v>
      </c>
    </row>
    <row r="14" spans="2:5" x14ac:dyDescent="0.35">
      <c r="B14" s="443">
        <f>Introduction!$D$8</f>
        <v>0</v>
      </c>
      <c r="C14" s="443" t="s">
        <v>198</v>
      </c>
      <c r="D14" s="443" t="str">
        <f>'Supply chain'!$L$6</f>
        <v>No data entered</v>
      </c>
      <c r="E14" s="450" t="str">
        <f t="shared" si="0"/>
        <v>No Error</v>
      </c>
    </row>
    <row r="15" spans="2:5" x14ac:dyDescent="0.35">
      <c r="B15" s="443">
        <f>Introduction!$D$8</f>
        <v>0</v>
      </c>
      <c r="C15" s="443" t="s">
        <v>313</v>
      </c>
      <c r="D15" s="443" t="str">
        <f>'Supply chain'!$L$122</f>
        <v>No data entered</v>
      </c>
      <c r="E15" s="450" t="str">
        <f t="shared" si="0"/>
        <v>No Error</v>
      </c>
    </row>
    <row r="16" spans="2:5" x14ac:dyDescent="0.35">
      <c r="B16" s="443">
        <f>Introduction!$D$8</f>
        <v>0</v>
      </c>
      <c r="C16" s="443" t="s">
        <v>74</v>
      </c>
      <c r="D16" s="443" t="str">
        <f>Waste!$H$6</f>
        <v>No data entered</v>
      </c>
      <c r="E16" s="450" t="str">
        <f t="shared" si="0"/>
        <v>No Error</v>
      </c>
    </row>
    <row r="17" spans="2:5" x14ac:dyDescent="0.35">
      <c r="B17" s="443">
        <f>Introduction!$D$8</f>
        <v>0</v>
      </c>
      <c r="C17" s="443" t="s">
        <v>75</v>
      </c>
      <c r="D17" s="443" t="str">
        <f>Waste!$H$51</f>
        <v>No data entered</v>
      </c>
      <c r="E17" s="450" t="str">
        <f t="shared" si="0"/>
        <v>No Error</v>
      </c>
    </row>
    <row r="18" spans="2:5" x14ac:dyDescent="0.35">
      <c r="B18" s="443">
        <f>Introduction!$D$8</f>
        <v>0</v>
      </c>
      <c r="C18" s="443" t="s">
        <v>76</v>
      </c>
      <c r="D18" s="443" t="str">
        <f>Waste!$H$82</f>
        <v>No data entered</v>
      </c>
      <c r="E18" s="450" t="str">
        <f t="shared" si="0"/>
        <v>No Error</v>
      </c>
    </row>
    <row r="19" spans="2:5" x14ac:dyDescent="0.35">
      <c r="B19" s="443">
        <f>Introduction!$D$8</f>
        <v>0</v>
      </c>
      <c r="C19" s="443" t="s">
        <v>1174</v>
      </c>
      <c r="D19" s="443" t="str">
        <f>'Land use &amp; agriculture'!$G$14</f>
        <v>No data entered</v>
      </c>
      <c r="E19" s="450" t="str">
        <f t="shared" si="0"/>
        <v>No Error</v>
      </c>
    </row>
    <row r="20" spans="2:5" x14ac:dyDescent="0.35">
      <c r="B20" s="443">
        <f>Introduction!$D$8</f>
        <v>0</v>
      </c>
      <c r="C20" s="443" t="s">
        <v>1175</v>
      </c>
      <c r="D20" s="443" t="str">
        <f>'Land use &amp; agriculture'!$G$39</f>
        <v>No data entered</v>
      </c>
      <c r="E20" s="450" t="str">
        <f t="shared" si="0"/>
        <v>No Error</v>
      </c>
    </row>
    <row r="21" spans="2:5" x14ac:dyDescent="0.35">
      <c r="B21" s="443">
        <f>Introduction!$D$8</f>
        <v>0</v>
      </c>
      <c r="C21" s="443" t="s">
        <v>152</v>
      </c>
      <c r="D21" s="443" t="str">
        <f>'Land use &amp; agriculture'!$G$65</f>
        <v>No data entered</v>
      </c>
      <c r="E21" s="450" t="str">
        <f t="shared" si="0"/>
        <v>No Error</v>
      </c>
    </row>
    <row r="22" spans="2:5" x14ac:dyDescent="0.35">
      <c r="B22" s="443">
        <f>Introduction!$D$8</f>
        <v>0</v>
      </c>
      <c r="C22" s="443" t="s">
        <v>1176</v>
      </c>
      <c r="D22" s="443" t="s">
        <v>117</v>
      </c>
      <c r="E22" s="450" t="str">
        <f>IF(ISERROR(SUM(Totals!$N$3:$N$642)),"Error","No Error")</f>
        <v>No Error</v>
      </c>
    </row>
    <row r="23" spans="2:5" x14ac:dyDescent="0.35">
      <c r="B23" s="443">
        <f>Introduction!$D$8</f>
        <v>0</v>
      </c>
      <c r="C23" s="443" t="s">
        <v>1176</v>
      </c>
      <c r="D23" s="443" t="s">
        <v>119</v>
      </c>
      <c r="E23" s="450" t="str">
        <f>IF(ISERROR(SUM(Totals!$P$3:$P$642)),"Error","No Error")</f>
        <v>No Error</v>
      </c>
    </row>
    <row r="24" spans="2:5" x14ac:dyDescent="0.35">
      <c r="B24" s="443">
        <f>Introduction!$D$8</f>
        <v>0</v>
      </c>
      <c r="C24" s="443" t="s">
        <v>1176</v>
      </c>
      <c r="D24" s="443" t="s">
        <v>1177</v>
      </c>
      <c r="E24" s="450" t="str">
        <f>IF(ISERROR(SUM(Totals!$R$3:$R$642)),"Error","No Error")</f>
        <v>No Error</v>
      </c>
    </row>
    <row r="25" spans="2:5" x14ac:dyDescent="0.35">
      <c r="B25" s="443">
        <f>Introduction!$D$8</f>
        <v>0</v>
      </c>
      <c r="C25" s="443" t="s">
        <v>1176</v>
      </c>
      <c r="D25" s="443" t="s">
        <v>1178</v>
      </c>
      <c r="E25" s="450" t="str">
        <f>IF(ISERROR(SUM(Totals!$S$3:$S$642)),"Error","No Error")</f>
        <v>No Error</v>
      </c>
    </row>
    <row r="26" spans="2:5" x14ac:dyDescent="0.35">
      <c r="B26" s="443">
        <f>Introduction!$D$8</f>
        <v>0</v>
      </c>
      <c r="C26" s="443" t="s">
        <v>1176</v>
      </c>
      <c r="D26" s="443" t="s">
        <v>1179</v>
      </c>
      <c r="E26" s="450" t="str">
        <f>IF(SUM(Totals!$AE$3:$AE$642)&gt;0,"Error","No Error")</f>
        <v>No Error</v>
      </c>
    </row>
    <row r="27" spans="2:5" x14ac:dyDescent="0.35">
      <c r="B27" s="443">
        <f>Introduction!$D$8</f>
        <v>0</v>
      </c>
      <c r="C27" s="443" t="s">
        <v>1176</v>
      </c>
      <c r="D27" s="443" t="s">
        <v>1182</v>
      </c>
      <c r="E27" s="450" t="str">
        <f>IF(SUM(Totals!$AF$3:$AF$642)&gt;0,"Error","No Error")</f>
        <v>No Error</v>
      </c>
    </row>
    <row r="28" spans="2:5" x14ac:dyDescent="0.35">
      <c r="B28" s="443">
        <f>Introduction!$D$8</f>
        <v>0</v>
      </c>
      <c r="C28" s="443" t="s">
        <v>1176</v>
      </c>
      <c r="D28" s="443" t="s">
        <v>64</v>
      </c>
      <c r="E28" s="450" t="str">
        <f>IFERROR(IF(('Summary results'!$C$9-SUM(Totals!$V$3:$V$642))&lt;&gt;0,"Error","No Error"),"Error")</f>
        <v>No Error</v>
      </c>
    </row>
    <row r="29" spans="2:5" x14ac:dyDescent="0.35">
      <c r="B29" s="443">
        <f>Introduction!$D$8</f>
        <v>0</v>
      </c>
      <c r="C29" s="443" t="s">
        <v>1176</v>
      </c>
      <c r="D29" s="443" t="s">
        <v>65</v>
      </c>
      <c r="E29" s="450" t="str">
        <f>IFERROR(IF(('Summary results'!$D$9-SUM(Totals!$W$3:$W$642))&lt;&gt;0,"Error","No Error"),"Error")</f>
        <v>No Error</v>
      </c>
    </row>
    <row r="30" spans="2:5" x14ac:dyDescent="0.35">
      <c r="B30" s="443">
        <f>Introduction!$D$8</f>
        <v>0</v>
      </c>
      <c r="C30" s="443" t="s">
        <v>1176</v>
      </c>
      <c r="D30" s="443" t="s">
        <v>66</v>
      </c>
      <c r="E30" s="450" t="str">
        <f>IFERROR(IF(('Summary results'!$E$9-SUM(Totals!$X$3:$Z$642))&lt;&gt;0,"Error","No Error"),"Error")</f>
        <v>No Error</v>
      </c>
    </row>
    <row r="31" spans="2:5" x14ac:dyDescent="0.35">
      <c r="B31" s="455">
        <f>Introduction!$D$8</f>
        <v>0</v>
      </c>
      <c r="C31" s="455" t="s">
        <v>1176</v>
      </c>
      <c r="D31" s="455" t="s">
        <v>61</v>
      </c>
      <c r="E31" s="456" t="str">
        <f>IFERROR(IF(('Summary results'!$F$9-SUM(Totals!$S$3:$S$642))&gt;0.1,"Error","No Error"),"Error")</f>
        <v>No Error</v>
      </c>
    </row>
  </sheetData>
  <sheetProtection algorithmName="SHA-512" hashValue="EvqgrOadrSCq5WoZKq6q0P7yIG5j+2VS5KQXCleu24dJG61+EkGtB02jUEIH4GSifeGhPUkzTW7Rpuoc8uP7xg==" saltValue="CVXSGrT4AcwnvxVGmX9CMA==" spinCount="100000" sheet="1" objects="1" scenarios="1"/>
  <conditionalFormatting sqref="E4:E31">
    <cfRule type="cellIs" dxfId="2" priority="1" operator="equal">
      <formula>"""Error"""</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1F2AE-0752-4CC8-914C-0BF961D70A21}">
  <sheetPr>
    <tabColor theme="2" tint="-9.9978637043366805E-2"/>
  </sheetPr>
  <dimension ref="B1:AF642"/>
  <sheetViews>
    <sheetView topLeftCell="A617" zoomScaleNormal="100" workbookViewId="0">
      <selection activeCell="E642" sqref="E642"/>
    </sheetView>
  </sheetViews>
  <sheetFormatPr defaultRowHeight="14.5" x14ac:dyDescent="0.35"/>
  <cols>
    <col min="2" max="2" width="13.54296875" bestFit="1" customWidth="1"/>
    <col min="3" max="3" width="10.54296875" bestFit="1" customWidth="1"/>
    <col min="4" max="4" width="16.54296875" customWidth="1"/>
    <col min="5" max="5" width="17.54296875" customWidth="1"/>
    <col min="6" max="6" width="9.81640625" customWidth="1"/>
    <col min="7" max="7" width="13.08984375" customWidth="1"/>
    <col min="8" max="11" width="12.1796875" customWidth="1"/>
    <col min="12" max="12" width="13.08984375" customWidth="1"/>
    <col min="16" max="16" width="14.81640625" customWidth="1"/>
    <col min="17" max="17" width="13.90625" customWidth="1"/>
    <col min="18" max="18" width="19.81640625" customWidth="1"/>
    <col min="19" max="19" width="21.54296875" customWidth="1"/>
    <col min="21" max="21" width="15.90625" customWidth="1"/>
    <col min="23" max="23" width="17.54296875" customWidth="1"/>
    <col min="24" max="24" width="14.453125" customWidth="1"/>
    <col min="25" max="25" width="12.36328125" customWidth="1"/>
    <col min="26" max="26" width="12.54296875" customWidth="1"/>
    <col min="29" max="29" width="16.1796875" customWidth="1"/>
    <col min="31" max="31" width="10.08984375" bestFit="1" customWidth="1"/>
    <col min="32" max="32" width="16.1796875" bestFit="1" customWidth="1"/>
  </cols>
  <sheetData>
    <row r="1" spans="2:32" ht="15" thickBot="1" x14ac:dyDescent="0.4"/>
    <row r="2" spans="2:32" s="398" customFormat="1" ht="15" x14ac:dyDescent="0.3">
      <c r="B2" s="451" t="s">
        <v>1107</v>
      </c>
      <c r="C2" s="451" t="s">
        <v>1103</v>
      </c>
      <c r="D2" s="451" t="s">
        <v>1104</v>
      </c>
      <c r="E2" s="451" t="s">
        <v>1105</v>
      </c>
      <c r="F2" s="451" t="s">
        <v>1106</v>
      </c>
      <c r="G2" s="451" t="s">
        <v>1110</v>
      </c>
      <c r="H2" s="451" t="s">
        <v>1090</v>
      </c>
      <c r="I2" s="451" t="s">
        <v>1091</v>
      </c>
      <c r="J2" s="451" t="s">
        <v>1092</v>
      </c>
      <c r="K2" s="451" t="s">
        <v>1156</v>
      </c>
      <c r="L2" s="451" t="s">
        <v>115</v>
      </c>
      <c r="M2" s="451" t="s">
        <v>116</v>
      </c>
      <c r="N2" s="451" t="s">
        <v>117</v>
      </c>
      <c r="O2" s="451" t="s">
        <v>118</v>
      </c>
      <c r="P2" s="451" t="s">
        <v>119</v>
      </c>
      <c r="Q2" s="451" t="s">
        <v>120</v>
      </c>
      <c r="R2" s="451" t="s">
        <v>1101</v>
      </c>
      <c r="S2" s="451" t="s">
        <v>1102</v>
      </c>
      <c r="T2" s="451" t="s">
        <v>122</v>
      </c>
      <c r="U2" s="451" t="s">
        <v>123</v>
      </c>
      <c r="V2" s="451" t="s">
        <v>59</v>
      </c>
      <c r="W2" s="451" t="s">
        <v>124</v>
      </c>
      <c r="X2" s="451" t="s">
        <v>125</v>
      </c>
      <c r="Y2" s="451" t="s">
        <v>126</v>
      </c>
      <c r="Z2" s="451" t="s">
        <v>127</v>
      </c>
      <c r="AA2" s="451" t="s">
        <v>67</v>
      </c>
      <c r="AB2" s="451" t="s">
        <v>68</v>
      </c>
      <c r="AC2" s="451" t="s">
        <v>63</v>
      </c>
      <c r="AE2" s="431" t="s">
        <v>1180</v>
      </c>
      <c r="AF2" s="431" t="s">
        <v>1181</v>
      </c>
    </row>
    <row r="3" spans="2:32" x14ac:dyDescent="0.35">
      <c r="B3" s="432" t="e">
        <f>"2024_"&amp;MATCH(Totals!D3,OrgType,0)&amp;"_"&amp;MATCH(Totals!E3,Organisations,0)&amp;"_"&amp;LEFT(Totals!F3,1)&amp;"_"&amp;LEFT(G3,1)&amp;"_"&amp;COUNTIF($G$3:G3,G3)</f>
        <v>#N/A</v>
      </c>
      <c r="C3" s="432">
        <v>2024</v>
      </c>
      <c r="D3" s="432">
        <f>Introduction!$D$7</f>
        <v>0</v>
      </c>
      <c r="E3" s="432">
        <f>Introduction!$D$8</f>
        <v>0</v>
      </c>
      <c r="F3" s="432" t="s">
        <v>110</v>
      </c>
      <c r="G3" s="432" t="s">
        <v>110</v>
      </c>
      <c r="H3" s="432">
        <f>'Buildings &amp; stationary assets'!B7</f>
        <v>0</v>
      </c>
      <c r="I3" s="432">
        <f>'Buildings &amp; stationary assets'!C7</f>
        <v>0</v>
      </c>
      <c r="J3" s="432">
        <f>'Buildings &amp; stationary assets'!D7</f>
        <v>0</v>
      </c>
      <c r="K3" s="432">
        <f>'Buildings &amp; stationary assets'!E7</f>
        <v>0</v>
      </c>
      <c r="L3" s="432">
        <f>'Buildings &amp; stationary assets'!F7</f>
        <v>0</v>
      </c>
      <c r="M3" s="432" t="str">
        <f>'Buildings &amp; stationary assets'!G7</f>
        <v/>
      </c>
      <c r="N3" s="432">
        <f>'Buildings &amp; stationary assets'!H7</f>
        <v>0</v>
      </c>
      <c r="O3" s="432">
        <f>'Buildings &amp; stationary assets'!I7</f>
        <v>0</v>
      </c>
      <c r="P3" s="432" t="str">
        <f>'Buildings &amp; stationary assets'!J7</f>
        <v/>
      </c>
      <c r="Q3" s="432" t="str">
        <f>'Buildings &amp; stationary assets'!K7</f>
        <v/>
      </c>
      <c r="R3" s="432" t="str">
        <f>'Buildings &amp; stationary assets'!L7</f>
        <v/>
      </c>
      <c r="S3" s="432" t="str">
        <f>'Buildings &amp; stationary assets'!M7</f>
        <v/>
      </c>
      <c r="T3" s="432">
        <f>'Buildings &amp; stationary assets'!N7</f>
        <v>0</v>
      </c>
      <c r="U3" s="432">
        <f>'Buildings &amp; stationary assets'!O7</f>
        <v>0</v>
      </c>
      <c r="V3" s="432" t="str">
        <f>'Buildings &amp; stationary assets'!P7</f>
        <v/>
      </c>
      <c r="W3" s="432" t="str">
        <f>'Buildings &amp; stationary assets'!Q7</f>
        <v/>
      </c>
      <c r="X3" s="432" t="str">
        <f>'Buildings &amp; stationary assets'!R7</f>
        <v/>
      </c>
      <c r="Y3" s="432" t="str">
        <f>'Buildings &amp; stationary assets'!S7</f>
        <v/>
      </c>
      <c r="Z3" s="432" t="str">
        <f>'Buildings &amp; stationary assets'!T7</f>
        <v/>
      </c>
      <c r="AA3" s="432" t="str">
        <f>'Buildings &amp; stationary assets'!U7</f>
        <v/>
      </c>
      <c r="AB3" s="432" t="str">
        <f>'Buildings &amp; stationary assets'!V7</f>
        <v/>
      </c>
      <c r="AC3" s="432" t="str">
        <f>'Buildings &amp; stationary assets'!W7</f>
        <v/>
      </c>
      <c r="AE3" s="432">
        <f>IF(AND(R3="",N3&lt;&gt;0),1,0)</f>
        <v>0</v>
      </c>
      <c r="AF3" s="432">
        <f>IF(AND(S3="",N3&lt;&gt;0),1,0)</f>
        <v>0</v>
      </c>
    </row>
    <row r="4" spans="2:32" x14ac:dyDescent="0.35">
      <c r="B4" s="432" t="e">
        <f>"2024"&amp;MATCH(Totals!D4,OrgType,0)&amp;"_"&amp;MATCH(Totals!E4,Organisations,0)&amp;"_"&amp;LEFT(Totals!F4,1)&amp;"_"&amp;LEFT(G4,1)&amp;"_"&amp;COUNTIF($G$3:G4,G4)</f>
        <v>#N/A</v>
      </c>
      <c r="C4" s="432">
        <v>2024</v>
      </c>
      <c r="D4" s="432">
        <f>Introduction!$D$7</f>
        <v>0</v>
      </c>
      <c r="E4" s="432">
        <f>Introduction!$D$8</f>
        <v>0</v>
      </c>
      <c r="F4" s="432" t="s">
        <v>110</v>
      </c>
      <c r="G4" s="432" t="s">
        <v>110</v>
      </c>
      <c r="H4" s="432">
        <f>'Buildings &amp; stationary assets'!B8</f>
        <v>0</v>
      </c>
      <c r="I4" s="432">
        <f>'Buildings &amp; stationary assets'!C8</f>
        <v>0</v>
      </c>
      <c r="J4" s="432">
        <f>'Buildings &amp; stationary assets'!D8</f>
        <v>0</v>
      </c>
      <c r="K4" s="432">
        <f>'Buildings &amp; stationary assets'!E8</f>
        <v>0</v>
      </c>
      <c r="L4" s="432">
        <f>'Buildings &amp; stationary assets'!F8</f>
        <v>0</v>
      </c>
      <c r="M4" s="432" t="str">
        <f>'Buildings &amp; stationary assets'!G8</f>
        <v/>
      </c>
      <c r="N4" s="432">
        <f>'Buildings &amp; stationary assets'!H8</f>
        <v>0</v>
      </c>
      <c r="O4" s="432">
        <f>'Buildings &amp; stationary assets'!I8</f>
        <v>0</v>
      </c>
      <c r="P4" s="432" t="str">
        <f>'Buildings &amp; stationary assets'!J8</f>
        <v/>
      </c>
      <c r="Q4" s="432" t="str">
        <f>'Buildings &amp; stationary assets'!K8</f>
        <v/>
      </c>
      <c r="R4" s="432" t="str">
        <f>'Buildings &amp; stationary assets'!L8</f>
        <v/>
      </c>
      <c r="S4" s="432" t="str">
        <f>'Buildings &amp; stationary assets'!M8</f>
        <v/>
      </c>
      <c r="T4" s="432">
        <f>'Buildings &amp; stationary assets'!N8</f>
        <v>0</v>
      </c>
      <c r="U4" s="432">
        <f>'Buildings &amp; stationary assets'!O8</f>
        <v>0</v>
      </c>
      <c r="V4" s="432" t="str">
        <f>'Buildings &amp; stationary assets'!P8</f>
        <v/>
      </c>
      <c r="W4" s="432" t="str">
        <f>'Buildings &amp; stationary assets'!Q8</f>
        <v/>
      </c>
      <c r="X4" s="432" t="str">
        <f>'Buildings &amp; stationary assets'!R8</f>
        <v/>
      </c>
      <c r="Y4" s="432" t="str">
        <f>'Buildings &amp; stationary assets'!S8</f>
        <v/>
      </c>
      <c r="Z4" s="432" t="str">
        <f>'Buildings &amp; stationary assets'!T8</f>
        <v/>
      </c>
      <c r="AA4" s="432" t="str">
        <f>'Buildings &amp; stationary assets'!U8</f>
        <v/>
      </c>
      <c r="AB4" s="432" t="str">
        <f>'Buildings &amp; stationary assets'!V8</f>
        <v/>
      </c>
      <c r="AC4" s="432" t="str">
        <f>'Buildings &amp; stationary assets'!W8</f>
        <v/>
      </c>
      <c r="AE4" s="432">
        <f t="shared" ref="AE4:AE67" si="0">IF(AND(R4="",N4&lt;&gt;0),1,0)</f>
        <v>0</v>
      </c>
      <c r="AF4" s="432">
        <f t="shared" ref="AF4:AF67" si="1">IF(AND(S4="",N4&lt;&gt;0),1,0)</f>
        <v>0</v>
      </c>
    </row>
    <row r="5" spans="2:32" x14ac:dyDescent="0.35">
      <c r="B5" s="432" t="e">
        <f>"2024"&amp;MATCH(Totals!D5,OrgType,0)&amp;"_"&amp;MATCH(Totals!E5,Organisations,0)&amp;"_"&amp;LEFT(Totals!F5,1)&amp;"_"&amp;LEFT(G5,1)&amp;"_"&amp;COUNTIF($G$3:G5,G5)</f>
        <v>#N/A</v>
      </c>
      <c r="C5" s="432">
        <v>2024</v>
      </c>
      <c r="D5" s="432">
        <f>Introduction!$D$7</f>
        <v>0</v>
      </c>
      <c r="E5" s="432">
        <f>Introduction!$D$8</f>
        <v>0</v>
      </c>
      <c r="F5" s="432" t="s">
        <v>110</v>
      </c>
      <c r="G5" s="432" t="s">
        <v>110</v>
      </c>
      <c r="H5" s="432">
        <f>'Buildings &amp; stationary assets'!B9</f>
        <v>0</v>
      </c>
      <c r="I5" s="432">
        <f>'Buildings &amp; stationary assets'!C9</f>
        <v>0</v>
      </c>
      <c r="J5" s="432">
        <f>'Buildings &amp; stationary assets'!D9</f>
        <v>0</v>
      </c>
      <c r="K5" s="432">
        <f>'Buildings &amp; stationary assets'!E9</f>
        <v>0</v>
      </c>
      <c r="L5" s="432">
        <f>'Buildings &amp; stationary assets'!F9</f>
        <v>0</v>
      </c>
      <c r="M5" s="432" t="str">
        <f>'Buildings &amp; stationary assets'!G9</f>
        <v/>
      </c>
      <c r="N5" s="432">
        <f>'Buildings &amp; stationary assets'!H9</f>
        <v>0</v>
      </c>
      <c r="O5" s="432">
        <f>'Buildings &amp; stationary assets'!I9</f>
        <v>0</v>
      </c>
      <c r="P5" s="432" t="str">
        <f>'Buildings &amp; stationary assets'!J9</f>
        <v/>
      </c>
      <c r="Q5" s="432" t="str">
        <f>'Buildings &amp; stationary assets'!K9</f>
        <v/>
      </c>
      <c r="R5" s="432" t="str">
        <f>'Buildings &amp; stationary assets'!L9</f>
        <v/>
      </c>
      <c r="S5" s="432" t="str">
        <f>'Buildings &amp; stationary assets'!M9</f>
        <v/>
      </c>
      <c r="T5" s="432">
        <f>'Buildings &amp; stationary assets'!N9</f>
        <v>0</v>
      </c>
      <c r="U5" s="432">
        <f>'Buildings &amp; stationary assets'!O9</f>
        <v>0</v>
      </c>
      <c r="V5" s="432" t="str">
        <f>'Buildings &amp; stationary assets'!P9</f>
        <v/>
      </c>
      <c r="W5" s="432" t="str">
        <f>'Buildings &amp; stationary assets'!Q9</f>
        <v/>
      </c>
      <c r="X5" s="432" t="str">
        <f>'Buildings &amp; stationary assets'!R9</f>
        <v/>
      </c>
      <c r="Y5" s="432" t="str">
        <f>'Buildings &amp; stationary assets'!S9</f>
        <v/>
      </c>
      <c r="Z5" s="432" t="str">
        <f>'Buildings &amp; stationary assets'!T9</f>
        <v/>
      </c>
      <c r="AA5" s="432" t="str">
        <f>'Buildings &amp; stationary assets'!U9</f>
        <v/>
      </c>
      <c r="AB5" s="432" t="str">
        <f>'Buildings &amp; stationary assets'!V9</f>
        <v/>
      </c>
      <c r="AC5" s="432" t="str">
        <f>'Buildings &amp; stationary assets'!W9</f>
        <v/>
      </c>
      <c r="AE5" s="432">
        <f t="shared" si="0"/>
        <v>0</v>
      </c>
      <c r="AF5" s="432">
        <f t="shared" si="1"/>
        <v>0</v>
      </c>
    </row>
    <row r="6" spans="2:32" x14ac:dyDescent="0.35">
      <c r="B6" s="432" t="e">
        <f>"2024"&amp;MATCH(Totals!D6,OrgType,0)&amp;"_"&amp;MATCH(Totals!E6,Organisations,0)&amp;"_"&amp;LEFT(Totals!F6,1)&amp;"_"&amp;LEFT(G6,1)&amp;"_"&amp;COUNTIF($G$3:G6,G6)</f>
        <v>#N/A</v>
      </c>
      <c r="C6" s="432">
        <v>2024</v>
      </c>
      <c r="D6" s="432">
        <f>Introduction!$D$7</f>
        <v>0</v>
      </c>
      <c r="E6" s="432">
        <f>Introduction!$D$8</f>
        <v>0</v>
      </c>
      <c r="F6" s="432" t="s">
        <v>110</v>
      </c>
      <c r="G6" s="432" t="s">
        <v>110</v>
      </c>
      <c r="H6" s="432">
        <f>'Buildings &amp; stationary assets'!B10</f>
        <v>0</v>
      </c>
      <c r="I6" s="432">
        <f>'Buildings &amp; stationary assets'!C10</f>
        <v>0</v>
      </c>
      <c r="J6" s="432">
        <f>'Buildings &amp; stationary assets'!D10</f>
        <v>0</v>
      </c>
      <c r="K6" s="432">
        <f>'Buildings &amp; stationary assets'!E10</f>
        <v>0</v>
      </c>
      <c r="L6" s="432">
        <f>'Buildings &amp; stationary assets'!F10</f>
        <v>0</v>
      </c>
      <c r="M6" s="432" t="str">
        <f>'Buildings &amp; stationary assets'!G10</f>
        <v/>
      </c>
      <c r="N6" s="432">
        <f>'Buildings &amp; stationary assets'!H10</f>
        <v>0</v>
      </c>
      <c r="O6" s="432">
        <f>'Buildings &amp; stationary assets'!I10</f>
        <v>0</v>
      </c>
      <c r="P6" s="432" t="str">
        <f>'Buildings &amp; stationary assets'!J10</f>
        <v/>
      </c>
      <c r="Q6" s="432" t="str">
        <f>'Buildings &amp; stationary assets'!K10</f>
        <v/>
      </c>
      <c r="R6" s="432" t="str">
        <f>'Buildings &amp; stationary assets'!L10</f>
        <v/>
      </c>
      <c r="S6" s="432" t="str">
        <f>'Buildings &amp; stationary assets'!M10</f>
        <v/>
      </c>
      <c r="T6" s="432">
        <f>'Buildings &amp; stationary assets'!N10</f>
        <v>0</v>
      </c>
      <c r="U6" s="432">
        <f>'Buildings &amp; stationary assets'!O10</f>
        <v>0</v>
      </c>
      <c r="V6" s="432" t="str">
        <f>'Buildings &amp; stationary assets'!P10</f>
        <v/>
      </c>
      <c r="W6" s="432" t="str">
        <f>'Buildings &amp; stationary assets'!Q10</f>
        <v/>
      </c>
      <c r="X6" s="432" t="str">
        <f>'Buildings &amp; stationary assets'!R10</f>
        <v/>
      </c>
      <c r="Y6" s="432" t="str">
        <f>'Buildings &amp; stationary assets'!S10</f>
        <v/>
      </c>
      <c r="Z6" s="432" t="str">
        <f>'Buildings &amp; stationary assets'!T10</f>
        <v/>
      </c>
      <c r="AA6" s="432" t="str">
        <f>'Buildings &amp; stationary assets'!U10</f>
        <v/>
      </c>
      <c r="AB6" s="432" t="str">
        <f>'Buildings &amp; stationary assets'!V10</f>
        <v/>
      </c>
      <c r="AC6" s="432" t="str">
        <f>'Buildings &amp; stationary assets'!W10</f>
        <v/>
      </c>
      <c r="AE6" s="432">
        <f t="shared" si="0"/>
        <v>0</v>
      </c>
      <c r="AF6" s="432">
        <f t="shared" si="1"/>
        <v>0</v>
      </c>
    </row>
    <row r="7" spans="2:32" x14ac:dyDescent="0.35">
      <c r="B7" s="432" t="e">
        <f>"2024"&amp;MATCH(Totals!D7,OrgType,0)&amp;"_"&amp;MATCH(Totals!E7,Organisations,0)&amp;"_"&amp;LEFT(Totals!F7,1)&amp;"_"&amp;LEFT(G7,1)&amp;"_"&amp;COUNTIF($G$3:G7,G7)</f>
        <v>#N/A</v>
      </c>
      <c r="C7" s="432">
        <v>2024</v>
      </c>
      <c r="D7" s="432">
        <f>Introduction!$D$7</f>
        <v>0</v>
      </c>
      <c r="E7" s="432">
        <f>Introduction!$D$8</f>
        <v>0</v>
      </c>
      <c r="F7" s="432" t="s">
        <v>110</v>
      </c>
      <c r="G7" s="432" t="s">
        <v>110</v>
      </c>
      <c r="H7" s="432">
        <f>'Buildings &amp; stationary assets'!B11</f>
        <v>0</v>
      </c>
      <c r="I7" s="432">
        <f>'Buildings &amp; stationary assets'!C11</f>
        <v>0</v>
      </c>
      <c r="J7" s="432">
        <f>'Buildings &amp; stationary assets'!D11</f>
        <v>0</v>
      </c>
      <c r="K7" s="432">
        <f>'Buildings &amp; stationary assets'!E11</f>
        <v>0</v>
      </c>
      <c r="L7" s="432">
        <f>'Buildings &amp; stationary assets'!F11</f>
        <v>0</v>
      </c>
      <c r="M7" s="432" t="str">
        <f>'Buildings &amp; stationary assets'!G11</f>
        <v/>
      </c>
      <c r="N7" s="432">
        <f>'Buildings &amp; stationary assets'!H11</f>
        <v>0</v>
      </c>
      <c r="O7" s="432">
        <f>'Buildings &amp; stationary assets'!I11</f>
        <v>0</v>
      </c>
      <c r="P7" s="432" t="str">
        <f>'Buildings &amp; stationary assets'!J11</f>
        <v/>
      </c>
      <c r="Q7" s="432" t="str">
        <f>'Buildings &amp; stationary assets'!K11</f>
        <v/>
      </c>
      <c r="R7" s="432" t="str">
        <f>'Buildings &amp; stationary assets'!L11</f>
        <v/>
      </c>
      <c r="S7" s="432" t="str">
        <f>'Buildings &amp; stationary assets'!M11</f>
        <v/>
      </c>
      <c r="T7" s="432">
        <f>'Buildings &amp; stationary assets'!N11</f>
        <v>0</v>
      </c>
      <c r="U7" s="432">
        <f>'Buildings &amp; stationary assets'!O11</f>
        <v>0</v>
      </c>
      <c r="V7" s="432" t="str">
        <f>'Buildings &amp; stationary assets'!P11</f>
        <v/>
      </c>
      <c r="W7" s="432" t="str">
        <f>'Buildings &amp; stationary assets'!Q11</f>
        <v/>
      </c>
      <c r="X7" s="432" t="str">
        <f>'Buildings &amp; stationary assets'!R11</f>
        <v/>
      </c>
      <c r="Y7" s="432" t="str">
        <f>'Buildings &amp; stationary assets'!S11</f>
        <v/>
      </c>
      <c r="Z7" s="432" t="str">
        <f>'Buildings &amp; stationary assets'!T11</f>
        <v/>
      </c>
      <c r="AA7" s="432" t="str">
        <f>'Buildings &amp; stationary assets'!U11</f>
        <v/>
      </c>
      <c r="AB7" s="432" t="str">
        <f>'Buildings &amp; stationary assets'!V11</f>
        <v/>
      </c>
      <c r="AC7" s="432" t="str">
        <f>'Buildings &amp; stationary assets'!W11</f>
        <v/>
      </c>
      <c r="AE7" s="432">
        <f t="shared" si="0"/>
        <v>0</v>
      </c>
      <c r="AF7" s="432">
        <f t="shared" si="1"/>
        <v>0</v>
      </c>
    </row>
    <row r="8" spans="2:32" x14ac:dyDescent="0.35">
      <c r="B8" s="432" t="e">
        <f>"2024"&amp;MATCH(Totals!D8,OrgType,0)&amp;"_"&amp;MATCH(Totals!E8,Organisations,0)&amp;"_"&amp;LEFT(Totals!F8,1)&amp;"_"&amp;LEFT(G8,1)&amp;"_"&amp;COUNTIF($G$3:G8,G8)</f>
        <v>#N/A</v>
      </c>
      <c r="C8" s="432">
        <v>2024</v>
      </c>
      <c r="D8" s="432">
        <f>Introduction!$D$7</f>
        <v>0</v>
      </c>
      <c r="E8" s="432">
        <f>Introduction!$D$8</f>
        <v>0</v>
      </c>
      <c r="F8" s="432" t="s">
        <v>110</v>
      </c>
      <c r="G8" s="432" t="s">
        <v>110</v>
      </c>
      <c r="H8" s="432">
        <f>'Buildings &amp; stationary assets'!B12</f>
        <v>0</v>
      </c>
      <c r="I8" s="432">
        <f>'Buildings &amp; stationary assets'!C12</f>
        <v>0</v>
      </c>
      <c r="J8" s="432">
        <f>'Buildings &amp; stationary assets'!D12</f>
        <v>0</v>
      </c>
      <c r="K8" s="432">
        <f>'Buildings &amp; stationary assets'!E12</f>
        <v>0</v>
      </c>
      <c r="L8" s="432">
        <f>'Buildings &amp; stationary assets'!F12</f>
        <v>0</v>
      </c>
      <c r="M8" s="432" t="str">
        <f>'Buildings &amp; stationary assets'!G12</f>
        <v/>
      </c>
      <c r="N8" s="432">
        <f>'Buildings &amp; stationary assets'!H12</f>
        <v>0</v>
      </c>
      <c r="O8" s="432">
        <f>'Buildings &amp; stationary assets'!I12</f>
        <v>0</v>
      </c>
      <c r="P8" s="432" t="str">
        <f>'Buildings &amp; stationary assets'!J12</f>
        <v/>
      </c>
      <c r="Q8" s="432" t="str">
        <f>'Buildings &amp; stationary assets'!K12</f>
        <v/>
      </c>
      <c r="R8" s="432" t="str">
        <f>'Buildings &amp; stationary assets'!L12</f>
        <v/>
      </c>
      <c r="S8" s="432" t="str">
        <f>'Buildings &amp; stationary assets'!M12</f>
        <v/>
      </c>
      <c r="T8" s="432">
        <f>'Buildings &amp; stationary assets'!N12</f>
        <v>0</v>
      </c>
      <c r="U8" s="432">
        <f>'Buildings &amp; stationary assets'!O12</f>
        <v>0</v>
      </c>
      <c r="V8" s="432" t="str">
        <f>'Buildings &amp; stationary assets'!P12</f>
        <v/>
      </c>
      <c r="W8" s="432" t="str">
        <f>'Buildings &amp; stationary assets'!Q12</f>
        <v/>
      </c>
      <c r="X8" s="432" t="str">
        <f>'Buildings &amp; stationary assets'!R12</f>
        <v/>
      </c>
      <c r="Y8" s="432" t="str">
        <f>'Buildings &amp; stationary assets'!S12</f>
        <v/>
      </c>
      <c r="Z8" s="432" t="str">
        <f>'Buildings &amp; stationary assets'!T12</f>
        <v/>
      </c>
      <c r="AA8" s="432" t="str">
        <f>'Buildings &amp; stationary assets'!U12</f>
        <v/>
      </c>
      <c r="AB8" s="432" t="str">
        <f>'Buildings &amp; stationary assets'!V12</f>
        <v/>
      </c>
      <c r="AC8" s="432" t="str">
        <f>'Buildings &amp; stationary assets'!W12</f>
        <v/>
      </c>
      <c r="AE8" s="432">
        <f t="shared" si="0"/>
        <v>0</v>
      </c>
      <c r="AF8" s="432">
        <f t="shared" si="1"/>
        <v>0</v>
      </c>
    </row>
    <row r="9" spans="2:32" x14ac:dyDescent="0.35">
      <c r="B9" s="432" t="e">
        <f>"2024"&amp;MATCH(Totals!D9,OrgType,0)&amp;"_"&amp;MATCH(Totals!E9,Organisations,0)&amp;"_"&amp;LEFT(Totals!F9,1)&amp;"_"&amp;LEFT(G9,1)&amp;"_"&amp;COUNTIF($G$3:G9,G9)</f>
        <v>#N/A</v>
      </c>
      <c r="C9" s="432">
        <v>2024</v>
      </c>
      <c r="D9" s="432">
        <f>Introduction!$D$7</f>
        <v>0</v>
      </c>
      <c r="E9" s="432">
        <f>Introduction!$D$8</f>
        <v>0</v>
      </c>
      <c r="F9" s="432" t="s">
        <v>110</v>
      </c>
      <c r="G9" s="432" t="s">
        <v>110</v>
      </c>
      <c r="H9" s="432">
        <f>'Buildings &amp; stationary assets'!B13</f>
        <v>0</v>
      </c>
      <c r="I9" s="432">
        <f>'Buildings &amp; stationary assets'!C13</f>
        <v>0</v>
      </c>
      <c r="J9" s="432">
        <f>'Buildings &amp; stationary assets'!D13</f>
        <v>0</v>
      </c>
      <c r="K9" s="432">
        <f>'Buildings &amp; stationary assets'!E13</f>
        <v>0</v>
      </c>
      <c r="L9" s="432">
        <f>'Buildings &amp; stationary assets'!F13</f>
        <v>0</v>
      </c>
      <c r="M9" s="432" t="str">
        <f>'Buildings &amp; stationary assets'!G13</f>
        <v/>
      </c>
      <c r="N9" s="432">
        <f>'Buildings &amp; stationary assets'!H13</f>
        <v>0</v>
      </c>
      <c r="O9" s="432">
        <f>'Buildings &amp; stationary assets'!I13</f>
        <v>0</v>
      </c>
      <c r="P9" s="432" t="str">
        <f>'Buildings &amp; stationary assets'!J13</f>
        <v/>
      </c>
      <c r="Q9" s="432" t="str">
        <f>'Buildings &amp; stationary assets'!K13</f>
        <v/>
      </c>
      <c r="R9" s="432" t="str">
        <f>'Buildings &amp; stationary assets'!L13</f>
        <v/>
      </c>
      <c r="S9" s="432" t="str">
        <f>'Buildings &amp; stationary assets'!M13</f>
        <v/>
      </c>
      <c r="T9" s="432">
        <f>'Buildings &amp; stationary assets'!N13</f>
        <v>0</v>
      </c>
      <c r="U9" s="432">
        <f>'Buildings &amp; stationary assets'!O13</f>
        <v>0</v>
      </c>
      <c r="V9" s="432" t="str">
        <f>'Buildings &amp; stationary assets'!P13</f>
        <v/>
      </c>
      <c r="W9" s="432" t="str">
        <f>'Buildings &amp; stationary assets'!Q13</f>
        <v/>
      </c>
      <c r="X9" s="432" t="str">
        <f>'Buildings &amp; stationary assets'!R13</f>
        <v/>
      </c>
      <c r="Y9" s="432" t="str">
        <f>'Buildings &amp; stationary assets'!S13</f>
        <v/>
      </c>
      <c r="Z9" s="432" t="str">
        <f>'Buildings &amp; stationary assets'!T13</f>
        <v/>
      </c>
      <c r="AA9" s="432" t="str">
        <f>'Buildings &amp; stationary assets'!U13</f>
        <v/>
      </c>
      <c r="AB9" s="432" t="str">
        <f>'Buildings &amp; stationary assets'!V13</f>
        <v/>
      </c>
      <c r="AC9" s="432" t="str">
        <f>'Buildings &amp; stationary assets'!W13</f>
        <v/>
      </c>
      <c r="AE9" s="432">
        <f t="shared" si="0"/>
        <v>0</v>
      </c>
      <c r="AF9" s="432">
        <f t="shared" si="1"/>
        <v>0</v>
      </c>
    </row>
    <row r="10" spans="2:32" x14ac:dyDescent="0.35">
      <c r="B10" s="432" t="e">
        <f>"2024"&amp;MATCH(Totals!D10,OrgType,0)&amp;"_"&amp;MATCH(Totals!E10,Organisations,0)&amp;"_"&amp;LEFT(Totals!F10,1)&amp;"_"&amp;LEFT(G10,1)&amp;"_"&amp;COUNTIF($G$3:G10,G10)</f>
        <v>#N/A</v>
      </c>
      <c r="C10" s="432">
        <v>2024</v>
      </c>
      <c r="D10" s="432">
        <f>Introduction!$D$7</f>
        <v>0</v>
      </c>
      <c r="E10" s="432">
        <f>Introduction!$D$8</f>
        <v>0</v>
      </c>
      <c r="F10" s="432" t="s">
        <v>110</v>
      </c>
      <c r="G10" s="432" t="s">
        <v>110</v>
      </c>
      <c r="H10" s="432">
        <f>'Buildings &amp; stationary assets'!B14</f>
        <v>0</v>
      </c>
      <c r="I10" s="432">
        <f>'Buildings &amp; stationary assets'!C14</f>
        <v>0</v>
      </c>
      <c r="J10" s="432">
        <f>'Buildings &amp; stationary assets'!D14</f>
        <v>0</v>
      </c>
      <c r="K10" s="432">
        <f>'Buildings &amp; stationary assets'!E14</f>
        <v>0</v>
      </c>
      <c r="L10" s="432">
        <f>'Buildings &amp; stationary assets'!F14</f>
        <v>0</v>
      </c>
      <c r="M10" s="432" t="str">
        <f>'Buildings &amp; stationary assets'!G14</f>
        <v/>
      </c>
      <c r="N10" s="432">
        <f>'Buildings &amp; stationary assets'!H14</f>
        <v>0</v>
      </c>
      <c r="O10" s="432">
        <f>'Buildings &amp; stationary assets'!I14</f>
        <v>0</v>
      </c>
      <c r="P10" s="432" t="str">
        <f>'Buildings &amp; stationary assets'!J14</f>
        <v/>
      </c>
      <c r="Q10" s="432" t="str">
        <f>'Buildings &amp; stationary assets'!K14</f>
        <v/>
      </c>
      <c r="R10" s="432" t="str">
        <f>'Buildings &amp; stationary assets'!L14</f>
        <v/>
      </c>
      <c r="S10" s="432" t="str">
        <f>'Buildings &amp; stationary assets'!M14</f>
        <v/>
      </c>
      <c r="T10" s="432">
        <f>'Buildings &amp; stationary assets'!N14</f>
        <v>0</v>
      </c>
      <c r="U10" s="432">
        <f>'Buildings &amp; stationary assets'!O14</f>
        <v>0</v>
      </c>
      <c r="V10" s="432" t="str">
        <f>'Buildings &amp; stationary assets'!P14</f>
        <v/>
      </c>
      <c r="W10" s="432" t="str">
        <f>'Buildings &amp; stationary assets'!Q14</f>
        <v/>
      </c>
      <c r="X10" s="432" t="str">
        <f>'Buildings &amp; stationary assets'!R14</f>
        <v/>
      </c>
      <c r="Y10" s="432" t="str">
        <f>'Buildings &amp; stationary assets'!S14</f>
        <v/>
      </c>
      <c r="Z10" s="432" t="str">
        <f>'Buildings &amp; stationary assets'!T14</f>
        <v/>
      </c>
      <c r="AA10" s="432" t="str">
        <f>'Buildings &amp; stationary assets'!U14</f>
        <v/>
      </c>
      <c r="AB10" s="432" t="str">
        <f>'Buildings &amp; stationary assets'!V14</f>
        <v/>
      </c>
      <c r="AC10" s="432" t="str">
        <f>'Buildings &amp; stationary assets'!W14</f>
        <v/>
      </c>
      <c r="AE10" s="432">
        <f t="shared" si="0"/>
        <v>0</v>
      </c>
      <c r="AF10" s="432">
        <f t="shared" si="1"/>
        <v>0</v>
      </c>
    </row>
    <row r="11" spans="2:32" x14ac:dyDescent="0.35">
      <c r="B11" s="432" t="e">
        <f>"2024"&amp;MATCH(Totals!D11,OrgType,0)&amp;"_"&amp;MATCH(Totals!E11,Organisations,0)&amp;"_"&amp;LEFT(Totals!F11,1)&amp;"_"&amp;LEFT(G11,1)&amp;"_"&amp;COUNTIF($G$3:G11,G11)</f>
        <v>#N/A</v>
      </c>
      <c r="C11" s="432">
        <v>2024</v>
      </c>
      <c r="D11" s="432">
        <f>Introduction!$D$7</f>
        <v>0</v>
      </c>
      <c r="E11" s="432">
        <f>Introduction!$D$8</f>
        <v>0</v>
      </c>
      <c r="F11" s="432" t="s">
        <v>110</v>
      </c>
      <c r="G11" s="432" t="s">
        <v>110</v>
      </c>
      <c r="H11" s="432">
        <f>'Buildings &amp; stationary assets'!B15</f>
        <v>0</v>
      </c>
      <c r="I11" s="432">
        <f>'Buildings &amp; stationary assets'!C15</f>
        <v>0</v>
      </c>
      <c r="J11" s="432">
        <f>'Buildings &amp; stationary assets'!D15</f>
        <v>0</v>
      </c>
      <c r="K11" s="432">
        <f>'Buildings &amp; stationary assets'!E15</f>
        <v>0</v>
      </c>
      <c r="L11" s="432">
        <f>'Buildings &amp; stationary assets'!F15</f>
        <v>0</v>
      </c>
      <c r="M11" s="432" t="str">
        <f>'Buildings &amp; stationary assets'!G15</f>
        <v/>
      </c>
      <c r="N11" s="432">
        <f>'Buildings &amp; stationary assets'!H15</f>
        <v>0</v>
      </c>
      <c r="O11" s="432">
        <f>'Buildings &amp; stationary assets'!I15</f>
        <v>0</v>
      </c>
      <c r="P11" s="432" t="str">
        <f>'Buildings &amp; stationary assets'!J15</f>
        <v/>
      </c>
      <c r="Q11" s="432" t="str">
        <f>'Buildings &amp; stationary assets'!K15</f>
        <v/>
      </c>
      <c r="R11" s="432" t="str">
        <f>'Buildings &amp; stationary assets'!L15</f>
        <v/>
      </c>
      <c r="S11" s="432" t="str">
        <f>'Buildings &amp; stationary assets'!M15</f>
        <v/>
      </c>
      <c r="T11" s="432">
        <f>'Buildings &amp; stationary assets'!N15</f>
        <v>0</v>
      </c>
      <c r="U11" s="432">
        <f>'Buildings &amp; stationary assets'!O15</f>
        <v>0</v>
      </c>
      <c r="V11" s="432" t="str">
        <f>'Buildings &amp; stationary assets'!P15</f>
        <v/>
      </c>
      <c r="W11" s="432" t="str">
        <f>'Buildings &amp; stationary assets'!Q15</f>
        <v/>
      </c>
      <c r="X11" s="432" t="str">
        <f>'Buildings &amp; stationary assets'!R15</f>
        <v/>
      </c>
      <c r="Y11" s="432" t="str">
        <f>'Buildings &amp; stationary assets'!S15</f>
        <v/>
      </c>
      <c r="Z11" s="432" t="str">
        <f>'Buildings &amp; stationary assets'!T15</f>
        <v/>
      </c>
      <c r="AA11" s="432" t="str">
        <f>'Buildings &amp; stationary assets'!U15</f>
        <v/>
      </c>
      <c r="AB11" s="432" t="str">
        <f>'Buildings &amp; stationary assets'!V15</f>
        <v/>
      </c>
      <c r="AC11" s="432" t="str">
        <f>'Buildings &amp; stationary assets'!W15</f>
        <v/>
      </c>
      <c r="AE11" s="432">
        <f t="shared" si="0"/>
        <v>0</v>
      </c>
      <c r="AF11" s="432">
        <f t="shared" si="1"/>
        <v>0</v>
      </c>
    </row>
    <row r="12" spans="2:32" x14ac:dyDescent="0.35">
      <c r="B12" s="432" t="e">
        <f>"2024"&amp;MATCH(Totals!D12,OrgType,0)&amp;"_"&amp;MATCH(Totals!E12,Organisations,0)&amp;"_"&amp;LEFT(Totals!F12,1)&amp;"_"&amp;LEFT(G12,1)&amp;"_"&amp;COUNTIF($G$3:G12,G12)</f>
        <v>#N/A</v>
      </c>
      <c r="C12" s="432">
        <v>2024</v>
      </c>
      <c r="D12" s="432">
        <f>Introduction!$D$7</f>
        <v>0</v>
      </c>
      <c r="E12" s="432">
        <f>Introduction!$D$8</f>
        <v>0</v>
      </c>
      <c r="F12" s="432" t="s">
        <v>110</v>
      </c>
      <c r="G12" s="432" t="s">
        <v>110</v>
      </c>
      <c r="H12" s="432">
        <f>'Buildings &amp; stationary assets'!B16</f>
        <v>0</v>
      </c>
      <c r="I12" s="432">
        <f>'Buildings &amp; stationary assets'!C16</f>
        <v>0</v>
      </c>
      <c r="J12" s="432">
        <f>'Buildings &amp; stationary assets'!D16</f>
        <v>0</v>
      </c>
      <c r="K12" s="432">
        <f>'Buildings &amp; stationary assets'!E16</f>
        <v>0</v>
      </c>
      <c r="L12" s="432">
        <f>'Buildings &amp; stationary assets'!F16</f>
        <v>0</v>
      </c>
      <c r="M12" s="432" t="str">
        <f>'Buildings &amp; stationary assets'!G16</f>
        <v/>
      </c>
      <c r="N12" s="432">
        <f>'Buildings &amp; stationary assets'!H16</f>
        <v>0</v>
      </c>
      <c r="O12" s="432">
        <f>'Buildings &amp; stationary assets'!I16</f>
        <v>0</v>
      </c>
      <c r="P12" s="432" t="str">
        <f>'Buildings &amp; stationary assets'!J16</f>
        <v/>
      </c>
      <c r="Q12" s="432" t="str">
        <f>'Buildings &amp; stationary assets'!K16</f>
        <v/>
      </c>
      <c r="R12" s="432" t="str">
        <f>'Buildings &amp; stationary assets'!L16</f>
        <v/>
      </c>
      <c r="S12" s="432" t="str">
        <f>'Buildings &amp; stationary assets'!M16</f>
        <v/>
      </c>
      <c r="T12" s="432">
        <f>'Buildings &amp; stationary assets'!N16</f>
        <v>0</v>
      </c>
      <c r="U12" s="432">
        <f>'Buildings &amp; stationary assets'!O16</f>
        <v>0</v>
      </c>
      <c r="V12" s="432" t="str">
        <f>'Buildings &amp; stationary assets'!P16</f>
        <v/>
      </c>
      <c r="W12" s="432" t="str">
        <f>'Buildings &amp; stationary assets'!Q16</f>
        <v/>
      </c>
      <c r="X12" s="432" t="str">
        <f>'Buildings &amp; stationary assets'!R16</f>
        <v/>
      </c>
      <c r="Y12" s="432" t="str">
        <f>'Buildings &amp; stationary assets'!S16</f>
        <v/>
      </c>
      <c r="Z12" s="432" t="str">
        <f>'Buildings &amp; stationary assets'!T16</f>
        <v/>
      </c>
      <c r="AA12" s="432" t="str">
        <f>'Buildings &amp; stationary assets'!U16</f>
        <v/>
      </c>
      <c r="AB12" s="432" t="str">
        <f>'Buildings &amp; stationary assets'!V16</f>
        <v/>
      </c>
      <c r="AC12" s="432" t="str">
        <f>'Buildings &amp; stationary assets'!W16</f>
        <v/>
      </c>
      <c r="AE12" s="432">
        <f t="shared" si="0"/>
        <v>0</v>
      </c>
      <c r="AF12" s="432">
        <f t="shared" si="1"/>
        <v>0</v>
      </c>
    </row>
    <row r="13" spans="2:32" x14ac:dyDescent="0.35">
      <c r="B13" s="432" t="e">
        <f>"2024"&amp;MATCH(Totals!D13,OrgType,0)&amp;"_"&amp;MATCH(Totals!E13,Organisations,0)&amp;"_"&amp;LEFT(Totals!F13,1)&amp;"_"&amp;LEFT(G13,1)&amp;"_"&amp;COUNTIF($G$3:G13,G13)</f>
        <v>#N/A</v>
      </c>
      <c r="C13" s="432">
        <v>2024</v>
      </c>
      <c r="D13" s="432">
        <f>Introduction!$D$7</f>
        <v>0</v>
      </c>
      <c r="E13" s="432">
        <f>Introduction!$D$8</f>
        <v>0</v>
      </c>
      <c r="F13" s="432" t="s">
        <v>110</v>
      </c>
      <c r="G13" s="432" t="s">
        <v>110</v>
      </c>
      <c r="H13" s="432">
        <f>'Buildings &amp; stationary assets'!B17</f>
        <v>0</v>
      </c>
      <c r="I13" s="432">
        <f>'Buildings &amp; stationary assets'!C17</f>
        <v>0</v>
      </c>
      <c r="J13" s="432">
        <f>'Buildings &amp; stationary assets'!D17</f>
        <v>0</v>
      </c>
      <c r="K13" s="432">
        <f>'Buildings &amp; stationary assets'!E17</f>
        <v>0</v>
      </c>
      <c r="L13" s="432">
        <f>'Buildings &amp; stationary assets'!F17</f>
        <v>0</v>
      </c>
      <c r="M13" s="432" t="str">
        <f>'Buildings &amp; stationary assets'!G17</f>
        <v/>
      </c>
      <c r="N13" s="432">
        <f>'Buildings &amp; stationary assets'!H17</f>
        <v>0</v>
      </c>
      <c r="O13" s="432">
        <f>'Buildings &amp; stationary assets'!I17</f>
        <v>0</v>
      </c>
      <c r="P13" s="432" t="str">
        <f>'Buildings &amp; stationary assets'!J17</f>
        <v/>
      </c>
      <c r="Q13" s="432" t="str">
        <f>'Buildings &amp; stationary assets'!K17</f>
        <v/>
      </c>
      <c r="R13" s="432" t="str">
        <f>'Buildings &amp; stationary assets'!L17</f>
        <v/>
      </c>
      <c r="S13" s="432" t="str">
        <f>'Buildings &amp; stationary assets'!M17</f>
        <v/>
      </c>
      <c r="T13" s="432">
        <f>'Buildings &amp; stationary assets'!N17</f>
        <v>0</v>
      </c>
      <c r="U13" s="432">
        <f>'Buildings &amp; stationary assets'!O17</f>
        <v>0</v>
      </c>
      <c r="V13" s="432" t="str">
        <f>'Buildings &amp; stationary assets'!P17</f>
        <v/>
      </c>
      <c r="W13" s="432" t="str">
        <f>'Buildings &amp; stationary assets'!Q17</f>
        <v/>
      </c>
      <c r="X13" s="432" t="str">
        <f>'Buildings &amp; stationary assets'!R17</f>
        <v/>
      </c>
      <c r="Y13" s="432" t="str">
        <f>'Buildings &amp; stationary assets'!S17</f>
        <v/>
      </c>
      <c r="Z13" s="432" t="str">
        <f>'Buildings &amp; stationary assets'!T17</f>
        <v/>
      </c>
      <c r="AA13" s="432" t="str">
        <f>'Buildings &amp; stationary assets'!U17</f>
        <v/>
      </c>
      <c r="AB13" s="432" t="str">
        <f>'Buildings &amp; stationary assets'!V17</f>
        <v/>
      </c>
      <c r="AC13" s="432" t="str">
        <f>'Buildings &amp; stationary assets'!W17</f>
        <v/>
      </c>
      <c r="AE13" s="432">
        <f t="shared" si="0"/>
        <v>0</v>
      </c>
      <c r="AF13" s="432">
        <f t="shared" si="1"/>
        <v>0</v>
      </c>
    </row>
    <row r="14" spans="2:32" x14ac:dyDescent="0.35">
      <c r="B14" s="432" t="e">
        <f>"2024"&amp;MATCH(Totals!D14,OrgType,0)&amp;"_"&amp;MATCH(Totals!E14,Organisations,0)&amp;"_"&amp;LEFT(Totals!F14,1)&amp;"_"&amp;LEFT(G14,1)&amp;"_"&amp;COUNTIF($G$3:G14,G14)</f>
        <v>#N/A</v>
      </c>
      <c r="C14" s="432">
        <v>2024</v>
      </c>
      <c r="D14" s="432">
        <f>Introduction!$D$7</f>
        <v>0</v>
      </c>
      <c r="E14" s="432">
        <f>Introduction!$D$8</f>
        <v>0</v>
      </c>
      <c r="F14" s="432" t="s">
        <v>110</v>
      </c>
      <c r="G14" s="432" t="s">
        <v>110</v>
      </c>
      <c r="H14" s="432">
        <f>'Buildings &amp; stationary assets'!B18</f>
        <v>0</v>
      </c>
      <c r="I14" s="432">
        <f>'Buildings &amp; stationary assets'!C18</f>
        <v>0</v>
      </c>
      <c r="J14" s="432">
        <f>'Buildings &amp; stationary assets'!D18</f>
        <v>0</v>
      </c>
      <c r="K14" s="432">
        <f>'Buildings &amp; stationary assets'!E18</f>
        <v>0</v>
      </c>
      <c r="L14" s="432">
        <f>'Buildings &amp; stationary assets'!F18</f>
        <v>0</v>
      </c>
      <c r="M14" s="432" t="str">
        <f>'Buildings &amp; stationary assets'!G18</f>
        <v/>
      </c>
      <c r="N14" s="432">
        <f>'Buildings &amp; stationary assets'!H18</f>
        <v>0</v>
      </c>
      <c r="O14" s="432">
        <f>'Buildings &amp; stationary assets'!I18</f>
        <v>0</v>
      </c>
      <c r="P14" s="432" t="str">
        <f>'Buildings &amp; stationary assets'!J18</f>
        <v/>
      </c>
      <c r="Q14" s="432" t="str">
        <f>'Buildings &amp; stationary assets'!K18</f>
        <v/>
      </c>
      <c r="R14" s="432" t="str">
        <f>'Buildings &amp; stationary assets'!L18</f>
        <v/>
      </c>
      <c r="S14" s="432" t="str">
        <f>'Buildings &amp; stationary assets'!M18</f>
        <v/>
      </c>
      <c r="T14" s="432">
        <f>'Buildings &amp; stationary assets'!N18</f>
        <v>0</v>
      </c>
      <c r="U14" s="432">
        <f>'Buildings &amp; stationary assets'!O18</f>
        <v>0</v>
      </c>
      <c r="V14" s="432" t="str">
        <f>'Buildings &amp; stationary assets'!P18</f>
        <v/>
      </c>
      <c r="W14" s="432" t="str">
        <f>'Buildings &amp; stationary assets'!Q18</f>
        <v/>
      </c>
      <c r="X14" s="432" t="str">
        <f>'Buildings &amp; stationary assets'!R18</f>
        <v/>
      </c>
      <c r="Y14" s="432" t="str">
        <f>'Buildings &amp; stationary assets'!S18</f>
        <v/>
      </c>
      <c r="Z14" s="432" t="str">
        <f>'Buildings &amp; stationary assets'!T18</f>
        <v/>
      </c>
      <c r="AA14" s="432" t="str">
        <f>'Buildings &amp; stationary assets'!U18</f>
        <v/>
      </c>
      <c r="AB14" s="432" t="str">
        <f>'Buildings &amp; stationary assets'!V18</f>
        <v/>
      </c>
      <c r="AC14" s="432" t="str">
        <f>'Buildings &amp; stationary assets'!W18</f>
        <v/>
      </c>
      <c r="AE14" s="432">
        <f t="shared" si="0"/>
        <v>0</v>
      </c>
      <c r="AF14" s="432">
        <f t="shared" si="1"/>
        <v>0</v>
      </c>
    </row>
    <row r="15" spans="2:32" x14ac:dyDescent="0.35">
      <c r="B15" s="432" t="e">
        <f>"2024"&amp;MATCH(Totals!D15,OrgType,0)&amp;"_"&amp;MATCH(Totals!E15,Organisations,0)&amp;"_"&amp;LEFT(Totals!F15,1)&amp;"_"&amp;LEFT(G15,1)&amp;"_"&amp;COUNTIF($G$3:G15,G15)</f>
        <v>#N/A</v>
      </c>
      <c r="C15" s="432">
        <v>2024</v>
      </c>
      <c r="D15" s="432">
        <f>Introduction!$D$7</f>
        <v>0</v>
      </c>
      <c r="E15" s="432">
        <f>Introduction!$D$8</f>
        <v>0</v>
      </c>
      <c r="F15" s="432" t="s">
        <v>110</v>
      </c>
      <c r="G15" s="432" t="s">
        <v>110</v>
      </c>
      <c r="H15" s="432">
        <f>'Buildings &amp; stationary assets'!B19</f>
        <v>0</v>
      </c>
      <c r="I15" s="432">
        <f>'Buildings &amp; stationary assets'!C19</f>
        <v>0</v>
      </c>
      <c r="J15" s="432">
        <f>'Buildings &amp; stationary assets'!D19</f>
        <v>0</v>
      </c>
      <c r="K15" s="432">
        <f>'Buildings &amp; stationary assets'!E19</f>
        <v>0</v>
      </c>
      <c r="L15" s="432">
        <f>'Buildings &amp; stationary assets'!F19</f>
        <v>0</v>
      </c>
      <c r="M15" s="432" t="str">
        <f>'Buildings &amp; stationary assets'!G19</f>
        <v/>
      </c>
      <c r="N15" s="432">
        <f>'Buildings &amp; stationary assets'!H19</f>
        <v>0</v>
      </c>
      <c r="O15" s="432">
        <f>'Buildings &amp; stationary assets'!I19</f>
        <v>0</v>
      </c>
      <c r="P15" s="432" t="str">
        <f>'Buildings &amp; stationary assets'!J19</f>
        <v/>
      </c>
      <c r="Q15" s="432" t="str">
        <f>'Buildings &amp; stationary assets'!K19</f>
        <v/>
      </c>
      <c r="R15" s="432" t="str">
        <f>'Buildings &amp; stationary assets'!L19</f>
        <v/>
      </c>
      <c r="S15" s="432" t="str">
        <f>'Buildings &amp; stationary assets'!M19</f>
        <v/>
      </c>
      <c r="T15" s="432">
        <f>'Buildings &amp; stationary assets'!N19</f>
        <v>0</v>
      </c>
      <c r="U15" s="432">
        <f>'Buildings &amp; stationary assets'!O19</f>
        <v>0</v>
      </c>
      <c r="V15" s="432" t="str">
        <f>'Buildings &amp; stationary assets'!P19</f>
        <v/>
      </c>
      <c r="W15" s="432" t="str">
        <f>'Buildings &amp; stationary assets'!Q19</f>
        <v/>
      </c>
      <c r="X15" s="432" t="str">
        <f>'Buildings &amp; stationary assets'!R19</f>
        <v/>
      </c>
      <c r="Y15" s="432" t="str">
        <f>'Buildings &amp; stationary assets'!S19</f>
        <v/>
      </c>
      <c r="Z15" s="432" t="str">
        <f>'Buildings &amp; stationary assets'!T19</f>
        <v/>
      </c>
      <c r="AA15" s="432" t="str">
        <f>'Buildings &amp; stationary assets'!U19</f>
        <v/>
      </c>
      <c r="AB15" s="432" t="str">
        <f>'Buildings &amp; stationary assets'!V19</f>
        <v/>
      </c>
      <c r="AC15" s="432" t="str">
        <f>'Buildings &amp; stationary assets'!W19</f>
        <v/>
      </c>
      <c r="AE15" s="432">
        <f t="shared" si="0"/>
        <v>0</v>
      </c>
      <c r="AF15" s="432">
        <f t="shared" si="1"/>
        <v>0</v>
      </c>
    </row>
    <row r="16" spans="2:32" x14ac:dyDescent="0.35">
      <c r="B16" s="432" t="e">
        <f>"2024"&amp;MATCH(Totals!D16,OrgType,0)&amp;"_"&amp;MATCH(Totals!E16,Organisations,0)&amp;"_"&amp;LEFT(Totals!F16,1)&amp;"_"&amp;LEFT(G16,1)&amp;"_"&amp;COUNTIF($G$3:G16,G16)</f>
        <v>#N/A</v>
      </c>
      <c r="C16" s="432">
        <v>2024</v>
      </c>
      <c r="D16" s="432">
        <f>Introduction!$D$7</f>
        <v>0</v>
      </c>
      <c r="E16" s="432">
        <f>Introduction!$D$8</f>
        <v>0</v>
      </c>
      <c r="F16" s="432" t="s">
        <v>110</v>
      </c>
      <c r="G16" s="432" t="s">
        <v>110</v>
      </c>
      <c r="H16" s="432">
        <f>'Buildings &amp; stationary assets'!B20</f>
        <v>0</v>
      </c>
      <c r="I16" s="432">
        <f>'Buildings &amp; stationary assets'!C20</f>
        <v>0</v>
      </c>
      <c r="J16" s="432">
        <f>'Buildings &amp; stationary assets'!D20</f>
        <v>0</v>
      </c>
      <c r="K16" s="432">
        <f>'Buildings &amp; stationary assets'!E20</f>
        <v>0</v>
      </c>
      <c r="L16" s="432">
        <f>'Buildings &amp; stationary assets'!F20</f>
        <v>0</v>
      </c>
      <c r="M16" s="432" t="str">
        <f>'Buildings &amp; stationary assets'!G20</f>
        <v/>
      </c>
      <c r="N16" s="432">
        <f>'Buildings &amp; stationary assets'!H20</f>
        <v>0</v>
      </c>
      <c r="O16" s="432">
        <f>'Buildings &amp; stationary assets'!I20</f>
        <v>0</v>
      </c>
      <c r="P16" s="432" t="str">
        <f>'Buildings &amp; stationary assets'!J20</f>
        <v/>
      </c>
      <c r="Q16" s="432" t="str">
        <f>'Buildings &amp; stationary assets'!K20</f>
        <v/>
      </c>
      <c r="R16" s="432" t="str">
        <f>'Buildings &amp; stationary assets'!L20</f>
        <v/>
      </c>
      <c r="S16" s="432" t="str">
        <f>'Buildings &amp; stationary assets'!M20</f>
        <v/>
      </c>
      <c r="T16" s="432">
        <f>'Buildings &amp; stationary assets'!N20</f>
        <v>0</v>
      </c>
      <c r="U16" s="432">
        <f>'Buildings &amp; stationary assets'!O20</f>
        <v>0</v>
      </c>
      <c r="V16" s="432" t="str">
        <f>'Buildings &amp; stationary assets'!P20</f>
        <v/>
      </c>
      <c r="W16" s="432" t="str">
        <f>'Buildings &amp; stationary assets'!Q20</f>
        <v/>
      </c>
      <c r="X16" s="432" t="str">
        <f>'Buildings &amp; stationary assets'!R20</f>
        <v/>
      </c>
      <c r="Y16" s="432" t="str">
        <f>'Buildings &amp; stationary assets'!S20</f>
        <v/>
      </c>
      <c r="Z16" s="432" t="str">
        <f>'Buildings &amp; stationary assets'!T20</f>
        <v/>
      </c>
      <c r="AA16" s="432" t="str">
        <f>'Buildings &amp; stationary assets'!U20</f>
        <v/>
      </c>
      <c r="AB16" s="432" t="str">
        <f>'Buildings &amp; stationary assets'!V20</f>
        <v/>
      </c>
      <c r="AC16" s="432" t="str">
        <f>'Buildings &amp; stationary assets'!W20</f>
        <v/>
      </c>
      <c r="AE16" s="432">
        <f t="shared" si="0"/>
        <v>0</v>
      </c>
      <c r="AF16" s="432">
        <f t="shared" si="1"/>
        <v>0</v>
      </c>
    </row>
    <row r="17" spans="2:32" x14ac:dyDescent="0.35">
      <c r="B17" s="432" t="e">
        <f>"2024"&amp;MATCH(Totals!D17,OrgType,0)&amp;"_"&amp;MATCH(Totals!E17,Organisations,0)&amp;"_"&amp;LEFT(Totals!F17,1)&amp;"_"&amp;LEFT(G17,1)&amp;"_"&amp;COUNTIF($G$3:G17,G17)</f>
        <v>#N/A</v>
      </c>
      <c r="C17" s="432">
        <v>2024</v>
      </c>
      <c r="D17" s="432">
        <f>Introduction!$D$7</f>
        <v>0</v>
      </c>
      <c r="E17" s="432">
        <f>Introduction!$D$8</f>
        <v>0</v>
      </c>
      <c r="F17" s="432" t="s">
        <v>110</v>
      </c>
      <c r="G17" s="432" t="s">
        <v>110</v>
      </c>
      <c r="H17" s="432">
        <f>'Buildings &amp; stationary assets'!B21</f>
        <v>0</v>
      </c>
      <c r="I17" s="432">
        <f>'Buildings &amp; stationary assets'!C21</f>
        <v>0</v>
      </c>
      <c r="J17" s="432">
        <f>'Buildings &amp; stationary assets'!D21</f>
        <v>0</v>
      </c>
      <c r="K17" s="432">
        <f>'Buildings &amp; stationary assets'!E21</f>
        <v>0</v>
      </c>
      <c r="L17" s="432">
        <f>'Buildings &amp; stationary assets'!F21</f>
        <v>0</v>
      </c>
      <c r="M17" s="432" t="str">
        <f>'Buildings &amp; stationary assets'!G21</f>
        <v/>
      </c>
      <c r="N17" s="432">
        <f>'Buildings &amp; stationary assets'!H21</f>
        <v>0</v>
      </c>
      <c r="O17" s="432">
        <f>'Buildings &amp; stationary assets'!I21</f>
        <v>0</v>
      </c>
      <c r="P17" s="432" t="str">
        <f>'Buildings &amp; stationary assets'!J21</f>
        <v/>
      </c>
      <c r="Q17" s="432" t="str">
        <f>'Buildings &amp; stationary assets'!K21</f>
        <v/>
      </c>
      <c r="R17" s="432" t="str">
        <f>'Buildings &amp; stationary assets'!L21</f>
        <v/>
      </c>
      <c r="S17" s="432" t="str">
        <f>'Buildings &amp; stationary assets'!M21</f>
        <v/>
      </c>
      <c r="T17" s="432">
        <f>'Buildings &amp; stationary assets'!N21</f>
        <v>0</v>
      </c>
      <c r="U17" s="432">
        <f>'Buildings &amp; stationary assets'!O21</f>
        <v>0</v>
      </c>
      <c r="V17" s="432" t="str">
        <f>'Buildings &amp; stationary assets'!P21</f>
        <v/>
      </c>
      <c r="W17" s="432" t="str">
        <f>'Buildings &amp; stationary assets'!Q21</f>
        <v/>
      </c>
      <c r="X17" s="432" t="str">
        <f>'Buildings &amp; stationary assets'!R21</f>
        <v/>
      </c>
      <c r="Y17" s="432" t="str">
        <f>'Buildings &amp; stationary assets'!S21</f>
        <v/>
      </c>
      <c r="Z17" s="432" t="str">
        <f>'Buildings &amp; stationary assets'!T21</f>
        <v/>
      </c>
      <c r="AA17" s="432" t="str">
        <f>'Buildings &amp; stationary assets'!U21</f>
        <v/>
      </c>
      <c r="AB17" s="432" t="str">
        <f>'Buildings &amp; stationary assets'!V21</f>
        <v/>
      </c>
      <c r="AC17" s="432" t="str">
        <f>'Buildings &amp; stationary assets'!W21</f>
        <v/>
      </c>
      <c r="AE17" s="432">
        <f t="shared" si="0"/>
        <v>0</v>
      </c>
      <c r="AF17" s="432">
        <f t="shared" si="1"/>
        <v>0</v>
      </c>
    </row>
    <row r="18" spans="2:32" x14ac:dyDescent="0.35">
      <c r="B18" s="432" t="e">
        <f>"2024"&amp;MATCH(Totals!D18,OrgType,0)&amp;"_"&amp;MATCH(Totals!E18,Organisations,0)&amp;"_"&amp;LEFT(Totals!F18,1)&amp;"_"&amp;LEFT(G18,1)&amp;"_"&amp;COUNTIF($G$3:G18,G18)</f>
        <v>#N/A</v>
      </c>
      <c r="C18" s="432">
        <v>2024</v>
      </c>
      <c r="D18" s="432">
        <f>Introduction!$D$7</f>
        <v>0</v>
      </c>
      <c r="E18" s="432">
        <f>Introduction!$D$8</f>
        <v>0</v>
      </c>
      <c r="F18" s="432" t="s">
        <v>110</v>
      </c>
      <c r="G18" s="432" t="s">
        <v>110</v>
      </c>
      <c r="H18" s="432">
        <f>'Buildings &amp; stationary assets'!B22</f>
        <v>0</v>
      </c>
      <c r="I18" s="432">
        <f>'Buildings &amp; stationary assets'!C22</f>
        <v>0</v>
      </c>
      <c r="J18" s="432">
        <f>'Buildings &amp; stationary assets'!D22</f>
        <v>0</v>
      </c>
      <c r="K18" s="432">
        <f>'Buildings &amp; stationary assets'!E22</f>
        <v>0</v>
      </c>
      <c r="L18" s="432">
        <f>'Buildings &amp; stationary assets'!F22</f>
        <v>0</v>
      </c>
      <c r="M18" s="432" t="str">
        <f>'Buildings &amp; stationary assets'!G22</f>
        <v/>
      </c>
      <c r="N18" s="432">
        <f>'Buildings &amp; stationary assets'!H22</f>
        <v>0</v>
      </c>
      <c r="O18" s="432">
        <f>'Buildings &amp; stationary assets'!I22</f>
        <v>0</v>
      </c>
      <c r="P18" s="432" t="str">
        <f>'Buildings &amp; stationary assets'!J22</f>
        <v/>
      </c>
      <c r="Q18" s="432" t="str">
        <f>'Buildings &amp; stationary assets'!K22</f>
        <v/>
      </c>
      <c r="R18" s="432" t="str">
        <f>'Buildings &amp; stationary assets'!L22</f>
        <v/>
      </c>
      <c r="S18" s="432" t="str">
        <f>'Buildings &amp; stationary assets'!M22</f>
        <v/>
      </c>
      <c r="T18" s="432">
        <f>'Buildings &amp; stationary assets'!N22</f>
        <v>0</v>
      </c>
      <c r="U18" s="432">
        <f>'Buildings &amp; stationary assets'!O22</f>
        <v>0</v>
      </c>
      <c r="V18" s="432" t="str">
        <f>'Buildings &amp; stationary assets'!P22</f>
        <v/>
      </c>
      <c r="W18" s="432" t="str">
        <f>'Buildings &amp; stationary assets'!Q22</f>
        <v/>
      </c>
      <c r="X18" s="432" t="str">
        <f>'Buildings &amp; stationary assets'!R22</f>
        <v/>
      </c>
      <c r="Y18" s="432" t="str">
        <f>'Buildings &amp; stationary assets'!S22</f>
        <v/>
      </c>
      <c r="Z18" s="432" t="str">
        <f>'Buildings &amp; stationary assets'!T22</f>
        <v/>
      </c>
      <c r="AA18" s="432" t="str">
        <f>'Buildings &amp; stationary assets'!U22</f>
        <v/>
      </c>
      <c r="AB18" s="432" t="str">
        <f>'Buildings &amp; stationary assets'!V22</f>
        <v/>
      </c>
      <c r="AC18" s="432" t="str">
        <f>'Buildings &amp; stationary assets'!W22</f>
        <v/>
      </c>
      <c r="AE18" s="432">
        <f t="shared" si="0"/>
        <v>0</v>
      </c>
      <c r="AF18" s="432">
        <f t="shared" si="1"/>
        <v>0</v>
      </c>
    </row>
    <row r="19" spans="2:32" x14ac:dyDescent="0.35">
      <c r="B19" s="432" t="e">
        <f>"2024"&amp;MATCH(Totals!D19,OrgType,0)&amp;"_"&amp;MATCH(Totals!E19,Organisations,0)&amp;"_"&amp;LEFT(Totals!F19,1)&amp;"_"&amp;LEFT(G19,1)&amp;"_"&amp;COUNTIF($G$3:G19,G19)</f>
        <v>#N/A</v>
      </c>
      <c r="C19" s="432">
        <v>2024</v>
      </c>
      <c r="D19" s="432">
        <f>Introduction!$D$7</f>
        <v>0</v>
      </c>
      <c r="E19" s="432">
        <f>Introduction!$D$8</f>
        <v>0</v>
      </c>
      <c r="F19" s="432" t="s">
        <v>110</v>
      </c>
      <c r="G19" s="432" t="s">
        <v>110</v>
      </c>
      <c r="H19" s="432">
        <f>'Buildings &amp; stationary assets'!B23</f>
        <v>0</v>
      </c>
      <c r="I19" s="432">
        <f>'Buildings &amp; stationary assets'!C23</f>
        <v>0</v>
      </c>
      <c r="J19" s="432">
        <f>'Buildings &amp; stationary assets'!D23</f>
        <v>0</v>
      </c>
      <c r="K19" s="432">
        <f>'Buildings &amp; stationary assets'!E23</f>
        <v>0</v>
      </c>
      <c r="L19" s="432">
        <f>'Buildings &amp; stationary assets'!F23</f>
        <v>0</v>
      </c>
      <c r="M19" s="432" t="str">
        <f>'Buildings &amp; stationary assets'!G23</f>
        <v/>
      </c>
      <c r="N19" s="432">
        <f>'Buildings &amp; stationary assets'!H23</f>
        <v>0</v>
      </c>
      <c r="O19" s="432">
        <f>'Buildings &amp; stationary assets'!I23</f>
        <v>0</v>
      </c>
      <c r="P19" s="432" t="str">
        <f>'Buildings &amp; stationary assets'!J23</f>
        <v/>
      </c>
      <c r="Q19" s="432" t="str">
        <f>'Buildings &amp; stationary assets'!K23</f>
        <v/>
      </c>
      <c r="R19" s="432" t="str">
        <f>'Buildings &amp; stationary assets'!L23</f>
        <v/>
      </c>
      <c r="S19" s="432" t="str">
        <f>'Buildings &amp; stationary assets'!M23</f>
        <v/>
      </c>
      <c r="T19" s="432">
        <f>'Buildings &amp; stationary assets'!N23</f>
        <v>0</v>
      </c>
      <c r="U19" s="432">
        <f>'Buildings &amp; stationary assets'!O23</f>
        <v>0</v>
      </c>
      <c r="V19" s="432" t="str">
        <f>'Buildings &amp; stationary assets'!P23</f>
        <v/>
      </c>
      <c r="W19" s="432" t="str">
        <f>'Buildings &amp; stationary assets'!Q23</f>
        <v/>
      </c>
      <c r="X19" s="432" t="str">
        <f>'Buildings &amp; stationary assets'!R23</f>
        <v/>
      </c>
      <c r="Y19" s="432" t="str">
        <f>'Buildings &amp; stationary assets'!S23</f>
        <v/>
      </c>
      <c r="Z19" s="432" t="str">
        <f>'Buildings &amp; stationary assets'!T23</f>
        <v/>
      </c>
      <c r="AA19" s="432" t="str">
        <f>'Buildings &amp; stationary assets'!U23</f>
        <v/>
      </c>
      <c r="AB19" s="432" t="str">
        <f>'Buildings &amp; stationary assets'!V23</f>
        <v/>
      </c>
      <c r="AC19" s="432" t="str">
        <f>'Buildings &amp; stationary assets'!W23</f>
        <v/>
      </c>
      <c r="AE19" s="432">
        <f t="shared" si="0"/>
        <v>0</v>
      </c>
      <c r="AF19" s="432">
        <f t="shared" si="1"/>
        <v>0</v>
      </c>
    </row>
    <row r="20" spans="2:32" x14ac:dyDescent="0.35">
      <c r="B20" s="432" t="e">
        <f>"2024"&amp;MATCH(Totals!D20,OrgType,0)&amp;"_"&amp;MATCH(Totals!E20,Organisations,0)&amp;"_"&amp;LEFT(Totals!F20,1)&amp;"_"&amp;LEFT(G20,1)&amp;"_"&amp;COUNTIF($G$3:G20,G20)</f>
        <v>#N/A</v>
      </c>
      <c r="C20" s="432">
        <v>2024</v>
      </c>
      <c r="D20" s="432">
        <f>Introduction!$D$7</f>
        <v>0</v>
      </c>
      <c r="E20" s="432">
        <f>Introduction!$D$8</f>
        <v>0</v>
      </c>
      <c r="F20" s="432" t="s">
        <v>110</v>
      </c>
      <c r="G20" s="432" t="s">
        <v>110</v>
      </c>
      <c r="H20" s="432">
        <f>'Buildings &amp; stationary assets'!B24</f>
        <v>0</v>
      </c>
      <c r="I20" s="432">
        <f>'Buildings &amp; stationary assets'!C24</f>
        <v>0</v>
      </c>
      <c r="J20" s="432">
        <f>'Buildings &amp; stationary assets'!D24</f>
        <v>0</v>
      </c>
      <c r="K20" s="432">
        <f>'Buildings &amp; stationary assets'!E24</f>
        <v>0</v>
      </c>
      <c r="L20" s="432">
        <f>'Buildings &amp; stationary assets'!F24</f>
        <v>0</v>
      </c>
      <c r="M20" s="432" t="str">
        <f>'Buildings &amp; stationary assets'!G24</f>
        <v/>
      </c>
      <c r="N20" s="432">
        <f>'Buildings &amp; stationary assets'!H24</f>
        <v>0</v>
      </c>
      <c r="O20" s="432">
        <f>'Buildings &amp; stationary assets'!I24</f>
        <v>0</v>
      </c>
      <c r="P20" s="432" t="str">
        <f>'Buildings &amp; stationary assets'!J24</f>
        <v/>
      </c>
      <c r="Q20" s="432" t="str">
        <f>'Buildings &amp; stationary assets'!K24</f>
        <v/>
      </c>
      <c r="R20" s="432" t="str">
        <f>'Buildings &amp; stationary assets'!L24</f>
        <v/>
      </c>
      <c r="S20" s="432" t="str">
        <f>'Buildings &amp; stationary assets'!M24</f>
        <v/>
      </c>
      <c r="T20" s="432">
        <f>'Buildings &amp; stationary assets'!N24</f>
        <v>0</v>
      </c>
      <c r="U20" s="432">
        <f>'Buildings &amp; stationary assets'!O24</f>
        <v>0</v>
      </c>
      <c r="V20" s="432" t="str">
        <f>'Buildings &amp; stationary assets'!P24</f>
        <v/>
      </c>
      <c r="W20" s="432" t="str">
        <f>'Buildings &amp; stationary assets'!Q24</f>
        <v/>
      </c>
      <c r="X20" s="432" t="str">
        <f>'Buildings &amp; stationary assets'!R24</f>
        <v/>
      </c>
      <c r="Y20" s="432" t="str">
        <f>'Buildings &amp; stationary assets'!S24</f>
        <v/>
      </c>
      <c r="Z20" s="432" t="str">
        <f>'Buildings &amp; stationary assets'!T24</f>
        <v/>
      </c>
      <c r="AA20" s="432" t="str">
        <f>'Buildings &amp; stationary assets'!U24</f>
        <v/>
      </c>
      <c r="AB20" s="432" t="str">
        <f>'Buildings &amp; stationary assets'!V24</f>
        <v/>
      </c>
      <c r="AC20" s="432" t="str">
        <f>'Buildings &amp; stationary assets'!W24</f>
        <v/>
      </c>
      <c r="AE20" s="432">
        <f t="shared" si="0"/>
        <v>0</v>
      </c>
      <c r="AF20" s="432">
        <f t="shared" si="1"/>
        <v>0</v>
      </c>
    </row>
    <row r="21" spans="2:32" x14ac:dyDescent="0.35">
      <c r="B21" s="432" t="e">
        <f>"2024"&amp;MATCH(Totals!D21,OrgType,0)&amp;"_"&amp;MATCH(Totals!E21,Organisations,0)&amp;"_"&amp;LEFT(Totals!F21,1)&amp;"_"&amp;LEFT(G21,1)&amp;"_"&amp;COUNTIF($G$3:G21,G21)</f>
        <v>#N/A</v>
      </c>
      <c r="C21" s="432">
        <v>2024</v>
      </c>
      <c r="D21" s="432">
        <f>Introduction!$D$7</f>
        <v>0</v>
      </c>
      <c r="E21" s="432">
        <f>Introduction!$D$8</f>
        <v>0</v>
      </c>
      <c r="F21" s="432" t="s">
        <v>110</v>
      </c>
      <c r="G21" s="432" t="s">
        <v>110</v>
      </c>
      <c r="H21" s="432">
        <f>'Buildings &amp; stationary assets'!B25</f>
        <v>0</v>
      </c>
      <c r="I21" s="432">
        <f>'Buildings &amp; stationary assets'!C25</f>
        <v>0</v>
      </c>
      <c r="J21" s="432">
        <f>'Buildings &amp; stationary assets'!D25</f>
        <v>0</v>
      </c>
      <c r="K21" s="432">
        <f>'Buildings &amp; stationary assets'!E25</f>
        <v>0</v>
      </c>
      <c r="L21" s="432">
        <f>'Buildings &amp; stationary assets'!F25</f>
        <v>0</v>
      </c>
      <c r="M21" s="432" t="str">
        <f>'Buildings &amp; stationary assets'!G25</f>
        <v/>
      </c>
      <c r="N21" s="432">
        <f>'Buildings &amp; stationary assets'!H25</f>
        <v>0</v>
      </c>
      <c r="O21" s="432">
        <f>'Buildings &amp; stationary assets'!I25</f>
        <v>0</v>
      </c>
      <c r="P21" s="432" t="str">
        <f>'Buildings &amp; stationary assets'!J25</f>
        <v/>
      </c>
      <c r="Q21" s="432" t="str">
        <f>'Buildings &amp; stationary assets'!K25</f>
        <v/>
      </c>
      <c r="R21" s="432" t="str">
        <f>'Buildings &amp; stationary assets'!L25</f>
        <v/>
      </c>
      <c r="S21" s="432" t="str">
        <f>'Buildings &amp; stationary assets'!M25</f>
        <v/>
      </c>
      <c r="T21" s="432">
        <f>'Buildings &amp; stationary assets'!N25</f>
        <v>0</v>
      </c>
      <c r="U21" s="432">
        <f>'Buildings &amp; stationary assets'!O25</f>
        <v>0</v>
      </c>
      <c r="V21" s="432" t="str">
        <f>'Buildings &amp; stationary assets'!P25</f>
        <v/>
      </c>
      <c r="W21" s="432" t="str">
        <f>'Buildings &amp; stationary assets'!Q25</f>
        <v/>
      </c>
      <c r="X21" s="432" t="str">
        <f>'Buildings &amp; stationary assets'!R25</f>
        <v/>
      </c>
      <c r="Y21" s="432" t="str">
        <f>'Buildings &amp; stationary assets'!S25</f>
        <v/>
      </c>
      <c r="Z21" s="432" t="str">
        <f>'Buildings &amp; stationary assets'!T25</f>
        <v/>
      </c>
      <c r="AA21" s="432" t="str">
        <f>'Buildings &amp; stationary assets'!U25</f>
        <v/>
      </c>
      <c r="AB21" s="432" t="str">
        <f>'Buildings &amp; stationary assets'!V25</f>
        <v/>
      </c>
      <c r="AC21" s="432" t="str">
        <f>'Buildings &amp; stationary assets'!W25</f>
        <v/>
      </c>
      <c r="AE21" s="432">
        <f t="shared" si="0"/>
        <v>0</v>
      </c>
      <c r="AF21" s="432">
        <f t="shared" si="1"/>
        <v>0</v>
      </c>
    </row>
    <row r="22" spans="2:32" x14ac:dyDescent="0.35">
      <c r="B22" s="432" t="e">
        <f>"2024"&amp;MATCH(Totals!D22,OrgType,0)&amp;"_"&amp;MATCH(Totals!E22,Organisations,0)&amp;"_"&amp;LEFT(Totals!F22,1)&amp;"_"&amp;LEFT(G22,1)&amp;"_"&amp;COUNTIF($G$3:G22,G22)</f>
        <v>#N/A</v>
      </c>
      <c r="C22" s="432">
        <v>2024</v>
      </c>
      <c r="D22" s="432">
        <f>Introduction!$D$7</f>
        <v>0</v>
      </c>
      <c r="E22" s="432">
        <f>Introduction!$D$8</f>
        <v>0</v>
      </c>
      <c r="F22" s="432" t="s">
        <v>110</v>
      </c>
      <c r="G22" s="432" t="s">
        <v>110</v>
      </c>
      <c r="H22" s="432">
        <f>'Buildings &amp; stationary assets'!B26</f>
        <v>0</v>
      </c>
      <c r="I22" s="432">
        <f>'Buildings &amp; stationary assets'!C26</f>
        <v>0</v>
      </c>
      <c r="J22" s="432">
        <f>'Buildings &amp; stationary assets'!D26</f>
        <v>0</v>
      </c>
      <c r="K22" s="432">
        <f>'Buildings &amp; stationary assets'!E26</f>
        <v>0</v>
      </c>
      <c r="L22" s="432">
        <f>'Buildings &amp; stationary assets'!F26</f>
        <v>0</v>
      </c>
      <c r="M22" s="432" t="str">
        <f>'Buildings &amp; stationary assets'!G26</f>
        <v/>
      </c>
      <c r="N22" s="432">
        <f>'Buildings &amp; stationary assets'!H26</f>
        <v>0</v>
      </c>
      <c r="O22" s="432">
        <f>'Buildings &amp; stationary assets'!I26</f>
        <v>0</v>
      </c>
      <c r="P22" s="432" t="str">
        <f>'Buildings &amp; stationary assets'!J26</f>
        <v/>
      </c>
      <c r="Q22" s="432" t="str">
        <f>'Buildings &amp; stationary assets'!K26</f>
        <v/>
      </c>
      <c r="R22" s="432" t="str">
        <f>'Buildings &amp; stationary assets'!L26</f>
        <v/>
      </c>
      <c r="S22" s="432" t="str">
        <f>'Buildings &amp; stationary assets'!M26</f>
        <v/>
      </c>
      <c r="T22" s="432">
        <f>'Buildings &amp; stationary assets'!N26</f>
        <v>0</v>
      </c>
      <c r="U22" s="432">
        <f>'Buildings &amp; stationary assets'!O26</f>
        <v>0</v>
      </c>
      <c r="V22" s="432" t="str">
        <f>'Buildings &amp; stationary assets'!P26</f>
        <v/>
      </c>
      <c r="W22" s="432" t="str">
        <f>'Buildings &amp; stationary assets'!Q26</f>
        <v/>
      </c>
      <c r="X22" s="432" t="str">
        <f>'Buildings &amp; stationary assets'!R26</f>
        <v/>
      </c>
      <c r="Y22" s="432" t="str">
        <f>'Buildings &amp; stationary assets'!S26</f>
        <v/>
      </c>
      <c r="Z22" s="432" t="str">
        <f>'Buildings &amp; stationary assets'!T26</f>
        <v/>
      </c>
      <c r="AA22" s="432" t="str">
        <f>'Buildings &amp; stationary assets'!U26</f>
        <v/>
      </c>
      <c r="AB22" s="432" t="str">
        <f>'Buildings &amp; stationary assets'!V26</f>
        <v/>
      </c>
      <c r="AC22" s="432" t="str">
        <f>'Buildings &amp; stationary assets'!W26</f>
        <v/>
      </c>
      <c r="AE22" s="432">
        <f t="shared" si="0"/>
        <v>0</v>
      </c>
      <c r="AF22" s="432">
        <f t="shared" si="1"/>
        <v>0</v>
      </c>
    </row>
    <row r="23" spans="2:32" x14ac:dyDescent="0.35">
      <c r="B23" s="432" t="e">
        <f>"2024"&amp;MATCH(Totals!D23,OrgType,0)&amp;"_"&amp;MATCH(Totals!E23,Organisations,0)&amp;"_"&amp;LEFT(Totals!F23,1)&amp;"_"&amp;LEFT(G23,1)&amp;"_"&amp;COUNTIF($G$3:G23,G23)</f>
        <v>#N/A</v>
      </c>
      <c r="C23" s="432">
        <v>2024</v>
      </c>
      <c r="D23" s="432">
        <f>Introduction!$D$7</f>
        <v>0</v>
      </c>
      <c r="E23" s="432">
        <f>Introduction!$D$8</f>
        <v>0</v>
      </c>
      <c r="F23" s="432" t="s">
        <v>110</v>
      </c>
      <c r="G23" s="432" t="s">
        <v>110</v>
      </c>
      <c r="H23" s="432">
        <f>'Buildings &amp; stationary assets'!B27</f>
        <v>0</v>
      </c>
      <c r="I23" s="432">
        <f>'Buildings &amp; stationary assets'!C27</f>
        <v>0</v>
      </c>
      <c r="J23" s="432">
        <f>'Buildings &amp; stationary assets'!D27</f>
        <v>0</v>
      </c>
      <c r="K23" s="432">
        <f>'Buildings &amp; stationary assets'!E27</f>
        <v>0</v>
      </c>
      <c r="L23" s="432">
        <f>'Buildings &amp; stationary assets'!F27</f>
        <v>0</v>
      </c>
      <c r="M23" s="432" t="str">
        <f>'Buildings &amp; stationary assets'!G27</f>
        <v/>
      </c>
      <c r="N23" s="432">
        <f>'Buildings &amp; stationary assets'!H27</f>
        <v>0</v>
      </c>
      <c r="O23" s="432">
        <f>'Buildings &amp; stationary assets'!I27</f>
        <v>0</v>
      </c>
      <c r="P23" s="432" t="str">
        <f>'Buildings &amp; stationary assets'!J27</f>
        <v/>
      </c>
      <c r="Q23" s="432" t="str">
        <f>'Buildings &amp; stationary assets'!K27</f>
        <v/>
      </c>
      <c r="R23" s="432" t="str">
        <f>'Buildings &amp; stationary assets'!L27</f>
        <v/>
      </c>
      <c r="S23" s="432" t="str">
        <f>'Buildings &amp; stationary assets'!M27</f>
        <v/>
      </c>
      <c r="T23" s="432">
        <f>'Buildings &amp; stationary assets'!N27</f>
        <v>0</v>
      </c>
      <c r="U23" s="432">
        <f>'Buildings &amp; stationary assets'!O27</f>
        <v>0</v>
      </c>
      <c r="V23" s="432" t="str">
        <f>'Buildings &amp; stationary assets'!P27</f>
        <v/>
      </c>
      <c r="W23" s="432" t="str">
        <f>'Buildings &amp; stationary assets'!Q27</f>
        <v/>
      </c>
      <c r="X23" s="432" t="str">
        <f>'Buildings &amp; stationary assets'!R27</f>
        <v/>
      </c>
      <c r="Y23" s="432" t="str">
        <f>'Buildings &amp; stationary assets'!S27</f>
        <v/>
      </c>
      <c r="Z23" s="432" t="str">
        <f>'Buildings &amp; stationary assets'!T27</f>
        <v/>
      </c>
      <c r="AA23" s="432" t="str">
        <f>'Buildings &amp; stationary assets'!U27</f>
        <v/>
      </c>
      <c r="AB23" s="432" t="str">
        <f>'Buildings &amp; stationary assets'!V27</f>
        <v/>
      </c>
      <c r="AC23" s="432" t="str">
        <f>'Buildings &amp; stationary assets'!W27</f>
        <v/>
      </c>
      <c r="AE23" s="432">
        <f t="shared" si="0"/>
        <v>0</v>
      </c>
      <c r="AF23" s="432">
        <f t="shared" si="1"/>
        <v>0</v>
      </c>
    </row>
    <row r="24" spans="2:32" x14ac:dyDescent="0.35">
      <c r="B24" s="432" t="e">
        <f>"2024"&amp;MATCH(Totals!D24,OrgType,0)&amp;"_"&amp;MATCH(Totals!E24,Organisations,0)&amp;"_"&amp;LEFT(Totals!F24,1)&amp;"_"&amp;LEFT(G24,1)&amp;"_"&amp;COUNTIF($G$3:G24,G24)</f>
        <v>#N/A</v>
      </c>
      <c r="C24" s="432">
        <v>2024</v>
      </c>
      <c r="D24" s="432">
        <f>Introduction!$D$7</f>
        <v>0</v>
      </c>
      <c r="E24" s="432">
        <f>Introduction!$D$8</f>
        <v>0</v>
      </c>
      <c r="F24" s="432" t="s">
        <v>110</v>
      </c>
      <c r="G24" s="432" t="s">
        <v>110</v>
      </c>
      <c r="H24" s="432">
        <f>'Buildings &amp; stationary assets'!B28</f>
        <v>0</v>
      </c>
      <c r="I24" s="432">
        <f>'Buildings &amp; stationary assets'!C28</f>
        <v>0</v>
      </c>
      <c r="J24" s="432">
        <f>'Buildings &amp; stationary assets'!D28</f>
        <v>0</v>
      </c>
      <c r="K24" s="432">
        <f>'Buildings &amp; stationary assets'!E28</f>
        <v>0</v>
      </c>
      <c r="L24" s="432">
        <f>'Buildings &amp; stationary assets'!F28</f>
        <v>0</v>
      </c>
      <c r="M24" s="432" t="str">
        <f>'Buildings &amp; stationary assets'!G28</f>
        <v/>
      </c>
      <c r="N24" s="432">
        <f>'Buildings &amp; stationary assets'!H28</f>
        <v>0</v>
      </c>
      <c r="O24" s="432">
        <f>'Buildings &amp; stationary assets'!I28</f>
        <v>0</v>
      </c>
      <c r="P24" s="432" t="str">
        <f>'Buildings &amp; stationary assets'!J28</f>
        <v/>
      </c>
      <c r="Q24" s="432" t="str">
        <f>'Buildings &amp; stationary assets'!K28</f>
        <v/>
      </c>
      <c r="R24" s="432" t="str">
        <f>'Buildings &amp; stationary assets'!L28</f>
        <v/>
      </c>
      <c r="S24" s="432" t="str">
        <f>'Buildings &amp; stationary assets'!M28</f>
        <v/>
      </c>
      <c r="T24" s="432">
        <f>'Buildings &amp; stationary assets'!N28</f>
        <v>0</v>
      </c>
      <c r="U24" s="432">
        <f>'Buildings &amp; stationary assets'!O28</f>
        <v>0</v>
      </c>
      <c r="V24" s="432" t="str">
        <f>'Buildings &amp; stationary assets'!P28</f>
        <v/>
      </c>
      <c r="W24" s="432" t="str">
        <f>'Buildings &amp; stationary assets'!Q28</f>
        <v/>
      </c>
      <c r="X24" s="432" t="str">
        <f>'Buildings &amp; stationary assets'!R28</f>
        <v/>
      </c>
      <c r="Y24" s="432" t="str">
        <f>'Buildings &amp; stationary assets'!S28</f>
        <v/>
      </c>
      <c r="Z24" s="432" t="str">
        <f>'Buildings &amp; stationary assets'!T28</f>
        <v/>
      </c>
      <c r="AA24" s="432" t="str">
        <f>'Buildings &amp; stationary assets'!U28</f>
        <v/>
      </c>
      <c r="AB24" s="432" t="str">
        <f>'Buildings &amp; stationary assets'!V28</f>
        <v/>
      </c>
      <c r="AC24" s="432" t="str">
        <f>'Buildings &amp; stationary assets'!W28</f>
        <v/>
      </c>
      <c r="AE24" s="432">
        <f t="shared" si="0"/>
        <v>0</v>
      </c>
      <c r="AF24" s="432">
        <f t="shared" si="1"/>
        <v>0</v>
      </c>
    </row>
    <row r="25" spans="2:32" x14ac:dyDescent="0.35">
      <c r="B25" s="432" t="e">
        <f>"2024"&amp;MATCH(Totals!D25,OrgType,0)&amp;"_"&amp;MATCH(Totals!E25,Organisations,0)&amp;"_"&amp;LEFT(Totals!F25,1)&amp;"_"&amp;LEFT(G25,1)&amp;"_"&amp;COUNTIF($G$3:G25,G25)</f>
        <v>#N/A</v>
      </c>
      <c r="C25" s="432">
        <v>2024</v>
      </c>
      <c r="D25" s="432">
        <f>Introduction!$D$7</f>
        <v>0</v>
      </c>
      <c r="E25" s="432">
        <f>Introduction!$D$8</f>
        <v>0</v>
      </c>
      <c r="F25" s="432" t="s">
        <v>110</v>
      </c>
      <c r="G25" s="432" t="s">
        <v>110</v>
      </c>
      <c r="H25" s="432">
        <f>'Buildings &amp; stationary assets'!B29</f>
        <v>0</v>
      </c>
      <c r="I25" s="432">
        <f>'Buildings &amp; stationary assets'!C29</f>
        <v>0</v>
      </c>
      <c r="J25" s="432">
        <f>'Buildings &amp; stationary assets'!D29</f>
        <v>0</v>
      </c>
      <c r="K25" s="432">
        <f>'Buildings &amp; stationary assets'!E29</f>
        <v>0</v>
      </c>
      <c r="L25" s="432">
        <f>'Buildings &amp; stationary assets'!F29</f>
        <v>0</v>
      </c>
      <c r="M25" s="432" t="str">
        <f>'Buildings &amp; stationary assets'!G29</f>
        <v/>
      </c>
      <c r="N25" s="432">
        <f>'Buildings &amp; stationary assets'!H29</f>
        <v>0</v>
      </c>
      <c r="O25" s="432">
        <f>'Buildings &amp; stationary assets'!I29</f>
        <v>0</v>
      </c>
      <c r="P25" s="432" t="str">
        <f>'Buildings &amp; stationary assets'!J29</f>
        <v/>
      </c>
      <c r="Q25" s="432" t="str">
        <f>'Buildings &amp; stationary assets'!K29</f>
        <v/>
      </c>
      <c r="R25" s="432" t="str">
        <f>'Buildings &amp; stationary assets'!L29</f>
        <v/>
      </c>
      <c r="S25" s="432" t="str">
        <f>'Buildings &amp; stationary assets'!M29</f>
        <v/>
      </c>
      <c r="T25" s="432">
        <f>'Buildings &amp; stationary assets'!N29</f>
        <v>0</v>
      </c>
      <c r="U25" s="432">
        <f>'Buildings &amp; stationary assets'!O29</f>
        <v>0</v>
      </c>
      <c r="V25" s="432" t="str">
        <f>'Buildings &amp; stationary assets'!P29</f>
        <v/>
      </c>
      <c r="W25" s="432" t="str">
        <f>'Buildings &amp; stationary assets'!Q29</f>
        <v/>
      </c>
      <c r="X25" s="432" t="str">
        <f>'Buildings &amp; stationary assets'!R29</f>
        <v/>
      </c>
      <c r="Y25" s="432" t="str">
        <f>'Buildings &amp; stationary assets'!S29</f>
        <v/>
      </c>
      <c r="Z25" s="432" t="str">
        <f>'Buildings &amp; stationary assets'!T29</f>
        <v/>
      </c>
      <c r="AA25" s="432" t="str">
        <f>'Buildings &amp; stationary assets'!U29</f>
        <v/>
      </c>
      <c r="AB25" s="432" t="str">
        <f>'Buildings &amp; stationary assets'!V29</f>
        <v/>
      </c>
      <c r="AC25" s="432" t="str">
        <f>'Buildings &amp; stationary assets'!W29</f>
        <v/>
      </c>
      <c r="AE25" s="432">
        <f t="shared" si="0"/>
        <v>0</v>
      </c>
      <c r="AF25" s="432">
        <f t="shared" si="1"/>
        <v>0</v>
      </c>
    </row>
    <row r="26" spans="2:32" x14ac:dyDescent="0.35">
      <c r="B26" s="432" t="e">
        <f>"2024"&amp;MATCH(Totals!D26,OrgType,0)&amp;"_"&amp;MATCH(Totals!E26,Organisations,0)&amp;"_"&amp;LEFT(Totals!F26,1)&amp;"_"&amp;LEFT(G26,1)&amp;"_"&amp;COUNTIF($G$3:G26,G26)</f>
        <v>#N/A</v>
      </c>
      <c r="C26" s="432">
        <v>2024</v>
      </c>
      <c r="D26" s="432">
        <f>Introduction!$D$7</f>
        <v>0</v>
      </c>
      <c r="E26" s="432">
        <f>Introduction!$D$8</f>
        <v>0</v>
      </c>
      <c r="F26" s="432" t="s">
        <v>110</v>
      </c>
      <c r="G26" s="432" t="s">
        <v>110</v>
      </c>
      <c r="H26" s="432">
        <f>'Buildings &amp; stationary assets'!B30</f>
        <v>0</v>
      </c>
      <c r="I26" s="432">
        <f>'Buildings &amp; stationary assets'!C30</f>
        <v>0</v>
      </c>
      <c r="J26" s="432">
        <f>'Buildings &amp; stationary assets'!D30</f>
        <v>0</v>
      </c>
      <c r="K26" s="432">
        <f>'Buildings &amp; stationary assets'!E30</f>
        <v>0</v>
      </c>
      <c r="L26" s="432">
        <f>'Buildings &amp; stationary assets'!F30</f>
        <v>0</v>
      </c>
      <c r="M26" s="432" t="str">
        <f>'Buildings &amp; stationary assets'!G30</f>
        <v/>
      </c>
      <c r="N26" s="432">
        <f>'Buildings &amp; stationary assets'!H30</f>
        <v>0</v>
      </c>
      <c r="O26" s="432">
        <f>'Buildings &amp; stationary assets'!I30</f>
        <v>0</v>
      </c>
      <c r="P26" s="432" t="str">
        <f>'Buildings &amp; stationary assets'!J30</f>
        <v/>
      </c>
      <c r="Q26" s="432" t="str">
        <f>'Buildings &amp; stationary assets'!K30</f>
        <v/>
      </c>
      <c r="R26" s="432" t="str">
        <f>'Buildings &amp; stationary assets'!L30</f>
        <v/>
      </c>
      <c r="S26" s="432" t="str">
        <f>'Buildings &amp; stationary assets'!M30</f>
        <v/>
      </c>
      <c r="T26" s="432">
        <f>'Buildings &amp; stationary assets'!N30</f>
        <v>0</v>
      </c>
      <c r="U26" s="432">
        <f>'Buildings &amp; stationary assets'!O30</f>
        <v>0</v>
      </c>
      <c r="V26" s="432" t="str">
        <f>'Buildings &amp; stationary assets'!P30</f>
        <v/>
      </c>
      <c r="W26" s="432" t="str">
        <f>'Buildings &amp; stationary assets'!Q30</f>
        <v/>
      </c>
      <c r="X26" s="432" t="str">
        <f>'Buildings &amp; stationary assets'!R30</f>
        <v/>
      </c>
      <c r="Y26" s="432" t="str">
        <f>'Buildings &amp; stationary assets'!S30</f>
        <v/>
      </c>
      <c r="Z26" s="432" t="str">
        <f>'Buildings &amp; stationary assets'!T30</f>
        <v/>
      </c>
      <c r="AA26" s="432" t="str">
        <f>'Buildings &amp; stationary assets'!U30</f>
        <v/>
      </c>
      <c r="AB26" s="432" t="str">
        <f>'Buildings &amp; stationary assets'!V30</f>
        <v/>
      </c>
      <c r="AC26" s="432" t="str">
        <f>'Buildings &amp; stationary assets'!W30</f>
        <v/>
      </c>
      <c r="AE26" s="432">
        <f t="shared" si="0"/>
        <v>0</v>
      </c>
      <c r="AF26" s="432">
        <f t="shared" si="1"/>
        <v>0</v>
      </c>
    </row>
    <row r="27" spans="2:32" x14ac:dyDescent="0.35">
      <c r="B27" s="432" t="e">
        <f>"2024"&amp;MATCH(Totals!D27,OrgType,0)&amp;"_"&amp;MATCH(Totals!E27,Organisations,0)&amp;"_"&amp;LEFT(Totals!F27,1)&amp;"_"&amp;LEFT(G27,1)&amp;"_"&amp;COUNTIF($G$3:G27,G27)</f>
        <v>#N/A</v>
      </c>
      <c r="C27" s="432">
        <v>2024</v>
      </c>
      <c r="D27" s="432">
        <f>Introduction!$D$7</f>
        <v>0</v>
      </c>
      <c r="E27" s="432">
        <f>Introduction!$D$8</f>
        <v>0</v>
      </c>
      <c r="F27" s="432" t="s">
        <v>110</v>
      </c>
      <c r="G27" s="432" t="s">
        <v>110</v>
      </c>
      <c r="H27" s="432">
        <f>'Buildings &amp; stationary assets'!B31</f>
        <v>0</v>
      </c>
      <c r="I27" s="432">
        <f>'Buildings &amp; stationary assets'!C31</f>
        <v>0</v>
      </c>
      <c r="J27" s="432">
        <f>'Buildings &amp; stationary assets'!D31</f>
        <v>0</v>
      </c>
      <c r="K27" s="432">
        <f>'Buildings &amp; stationary assets'!E31</f>
        <v>0</v>
      </c>
      <c r="L27" s="432">
        <f>'Buildings &amp; stationary assets'!F31</f>
        <v>0</v>
      </c>
      <c r="M27" s="432" t="str">
        <f>'Buildings &amp; stationary assets'!G31</f>
        <v/>
      </c>
      <c r="N27" s="432">
        <f>'Buildings &amp; stationary assets'!H31</f>
        <v>0</v>
      </c>
      <c r="O27" s="432">
        <f>'Buildings &amp; stationary assets'!I31</f>
        <v>0</v>
      </c>
      <c r="P27" s="432" t="str">
        <f>'Buildings &amp; stationary assets'!J31</f>
        <v/>
      </c>
      <c r="Q27" s="432" t="str">
        <f>'Buildings &amp; stationary assets'!K31</f>
        <v/>
      </c>
      <c r="R27" s="432" t="str">
        <f>'Buildings &amp; stationary assets'!L31</f>
        <v/>
      </c>
      <c r="S27" s="432" t="str">
        <f>'Buildings &amp; stationary assets'!M31</f>
        <v/>
      </c>
      <c r="T27" s="432">
        <f>'Buildings &amp; stationary assets'!N31</f>
        <v>0</v>
      </c>
      <c r="U27" s="432">
        <f>'Buildings &amp; stationary assets'!O31</f>
        <v>0</v>
      </c>
      <c r="V27" s="432" t="str">
        <f>'Buildings &amp; stationary assets'!P31</f>
        <v/>
      </c>
      <c r="W27" s="432" t="str">
        <f>'Buildings &amp; stationary assets'!Q31</f>
        <v/>
      </c>
      <c r="X27" s="432" t="str">
        <f>'Buildings &amp; stationary assets'!R31</f>
        <v/>
      </c>
      <c r="Y27" s="432" t="str">
        <f>'Buildings &amp; stationary assets'!S31</f>
        <v/>
      </c>
      <c r="Z27" s="432" t="str">
        <f>'Buildings &amp; stationary assets'!T31</f>
        <v/>
      </c>
      <c r="AA27" s="432" t="str">
        <f>'Buildings &amp; stationary assets'!U31</f>
        <v/>
      </c>
      <c r="AB27" s="432" t="str">
        <f>'Buildings &amp; stationary assets'!V31</f>
        <v/>
      </c>
      <c r="AC27" s="432" t="str">
        <f>'Buildings &amp; stationary assets'!W31</f>
        <v/>
      </c>
      <c r="AE27" s="432">
        <f t="shared" si="0"/>
        <v>0</v>
      </c>
      <c r="AF27" s="432">
        <f t="shared" si="1"/>
        <v>0</v>
      </c>
    </row>
    <row r="28" spans="2:32" x14ac:dyDescent="0.35">
      <c r="B28" s="432" t="e">
        <f>"2024"&amp;MATCH(Totals!D28,OrgType,0)&amp;"_"&amp;MATCH(Totals!E28,Organisations,0)&amp;"_"&amp;LEFT(Totals!F28,1)&amp;"_"&amp;LEFT(G28,1)&amp;"_"&amp;COUNTIF($G$3:G28,G28)</f>
        <v>#N/A</v>
      </c>
      <c r="C28" s="432">
        <v>2024</v>
      </c>
      <c r="D28" s="432">
        <f>Introduction!$D$7</f>
        <v>0</v>
      </c>
      <c r="E28" s="432">
        <f>Introduction!$D$8</f>
        <v>0</v>
      </c>
      <c r="F28" s="432" t="s">
        <v>110</v>
      </c>
      <c r="G28" s="432" t="s">
        <v>110</v>
      </c>
      <c r="H28" s="432">
        <f>'Buildings &amp; stationary assets'!B32</f>
        <v>0</v>
      </c>
      <c r="I28" s="432">
        <f>'Buildings &amp; stationary assets'!C32</f>
        <v>0</v>
      </c>
      <c r="J28" s="432">
        <f>'Buildings &amp; stationary assets'!D32</f>
        <v>0</v>
      </c>
      <c r="K28" s="432">
        <f>'Buildings &amp; stationary assets'!E32</f>
        <v>0</v>
      </c>
      <c r="L28" s="432">
        <f>'Buildings &amp; stationary assets'!F32</f>
        <v>0</v>
      </c>
      <c r="M28" s="432" t="str">
        <f>'Buildings &amp; stationary assets'!G32</f>
        <v/>
      </c>
      <c r="N28" s="432">
        <f>'Buildings &amp; stationary assets'!H32</f>
        <v>0</v>
      </c>
      <c r="O28" s="432">
        <f>'Buildings &amp; stationary assets'!I32</f>
        <v>0</v>
      </c>
      <c r="P28" s="432" t="str">
        <f>'Buildings &amp; stationary assets'!J32</f>
        <v/>
      </c>
      <c r="Q28" s="432" t="str">
        <f>'Buildings &amp; stationary assets'!K32</f>
        <v/>
      </c>
      <c r="R28" s="432" t="str">
        <f>'Buildings &amp; stationary assets'!L32</f>
        <v/>
      </c>
      <c r="S28" s="432" t="str">
        <f>'Buildings &amp; stationary assets'!M32</f>
        <v/>
      </c>
      <c r="T28" s="432">
        <f>'Buildings &amp; stationary assets'!N32</f>
        <v>0</v>
      </c>
      <c r="U28" s="432">
        <f>'Buildings &amp; stationary assets'!O32</f>
        <v>0</v>
      </c>
      <c r="V28" s="432" t="str">
        <f>'Buildings &amp; stationary assets'!P32</f>
        <v/>
      </c>
      <c r="W28" s="432" t="str">
        <f>'Buildings &amp; stationary assets'!Q32</f>
        <v/>
      </c>
      <c r="X28" s="432" t="str">
        <f>'Buildings &amp; stationary assets'!R32</f>
        <v/>
      </c>
      <c r="Y28" s="432" t="str">
        <f>'Buildings &amp; stationary assets'!S32</f>
        <v/>
      </c>
      <c r="Z28" s="432" t="str">
        <f>'Buildings &amp; stationary assets'!T32</f>
        <v/>
      </c>
      <c r="AA28" s="432" t="str">
        <f>'Buildings &amp; stationary assets'!U32</f>
        <v/>
      </c>
      <c r="AB28" s="432" t="str">
        <f>'Buildings &amp; stationary assets'!V32</f>
        <v/>
      </c>
      <c r="AC28" s="432" t="str">
        <f>'Buildings &amp; stationary assets'!W32</f>
        <v/>
      </c>
      <c r="AE28" s="432">
        <f t="shared" si="0"/>
        <v>0</v>
      </c>
      <c r="AF28" s="432">
        <f t="shared" si="1"/>
        <v>0</v>
      </c>
    </row>
    <row r="29" spans="2:32" x14ac:dyDescent="0.35">
      <c r="B29" s="432" t="e">
        <f>"2024"&amp;MATCH(Totals!D29,OrgType,0)&amp;"_"&amp;MATCH(Totals!E29,Organisations,0)&amp;"_"&amp;LEFT(Totals!F29,1)&amp;"_"&amp;LEFT(G29,1)&amp;"_"&amp;COUNTIF($G$3:G29,G29)</f>
        <v>#N/A</v>
      </c>
      <c r="C29" s="432">
        <v>2024</v>
      </c>
      <c r="D29" s="432">
        <f>Introduction!$D$7</f>
        <v>0</v>
      </c>
      <c r="E29" s="432">
        <f>Introduction!$D$8</f>
        <v>0</v>
      </c>
      <c r="F29" s="432" t="s">
        <v>110</v>
      </c>
      <c r="G29" s="432" t="s">
        <v>110</v>
      </c>
      <c r="H29" s="432">
        <f>'Buildings &amp; stationary assets'!B33</f>
        <v>0</v>
      </c>
      <c r="I29" s="432">
        <f>'Buildings &amp; stationary assets'!C33</f>
        <v>0</v>
      </c>
      <c r="J29" s="432">
        <f>'Buildings &amp; stationary assets'!D33</f>
        <v>0</v>
      </c>
      <c r="K29" s="432">
        <f>'Buildings &amp; stationary assets'!E33</f>
        <v>0</v>
      </c>
      <c r="L29" s="432">
        <f>'Buildings &amp; stationary assets'!F33</f>
        <v>0</v>
      </c>
      <c r="M29" s="432" t="str">
        <f>'Buildings &amp; stationary assets'!G33</f>
        <v/>
      </c>
      <c r="N29" s="432">
        <f>'Buildings &amp; stationary assets'!H33</f>
        <v>0</v>
      </c>
      <c r="O29" s="432">
        <f>'Buildings &amp; stationary assets'!I33</f>
        <v>0</v>
      </c>
      <c r="P29" s="432" t="str">
        <f>'Buildings &amp; stationary assets'!J33</f>
        <v/>
      </c>
      <c r="Q29" s="432" t="str">
        <f>'Buildings &amp; stationary assets'!K33</f>
        <v/>
      </c>
      <c r="R29" s="432" t="str">
        <f>'Buildings &amp; stationary assets'!L33</f>
        <v/>
      </c>
      <c r="S29" s="432" t="str">
        <f>'Buildings &amp; stationary assets'!M33</f>
        <v/>
      </c>
      <c r="T29" s="432">
        <f>'Buildings &amp; stationary assets'!N33</f>
        <v>0</v>
      </c>
      <c r="U29" s="432">
        <f>'Buildings &amp; stationary assets'!O33</f>
        <v>0</v>
      </c>
      <c r="V29" s="432" t="str">
        <f>'Buildings &amp; stationary assets'!P33</f>
        <v/>
      </c>
      <c r="W29" s="432" t="str">
        <f>'Buildings &amp; stationary assets'!Q33</f>
        <v/>
      </c>
      <c r="X29" s="432" t="str">
        <f>'Buildings &amp; stationary assets'!R33</f>
        <v/>
      </c>
      <c r="Y29" s="432" t="str">
        <f>'Buildings &amp; stationary assets'!S33</f>
        <v/>
      </c>
      <c r="Z29" s="432" t="str">
        <f>'Buildings &amp; stationary assets'!T33</f>
        <v/>
      </c>
      <c r="AA29" s="432" t="str">
        <f>'Buildings &amp; stationary assets'!U33</f>
        <v/>
      </c>
      <c r="AB29" s="432" t="str">
        <f>'Buildings &amp; stationary assets'!V33</f>
        <v/>
      </c>
      <c r="AC29" s="432" t="str">
        <f>'Buildings &amp; stationary assets'!W33</f>
        <v/>
      </c>
      <c r="AE29" s="432">
        <f t="shared" si="0"/>
        <v>0</v>
      </c>
      <c r="AF29" s="432">
        <f t="shared" si="1"/>
        <v>0</v>
      </c>
    </row>
    <row r="30" spans="2:32" x14ac:dyDescent="0.35">
      <c r="B30" s="432" t="e">
        <f>"2024"&amp;MATCH(Totals!D30,OrgType,0)&amp;"_"&amp;MATCH(Totals!E30,Organisations,0)&amp;"_"&amp;LEFT(Totals!F30,1)&amp;"_"&amp;LEFT(G30,1)&amp;"_"&amp;COUNTIF($G$3:G30,G30)</f>
        <v>#N/A</v>
      </c>
      <c r="C30" s="432">
        <v>2024</v>
      </c>
      <c r="D30" s="432">
        <f>Introduction!$D$7</f>
        <v>0</v>
      </c>
      <c r="E30" s="432">
        <f>Introduction!$D$8</f>
        <v>0</v>
      </c>
      <c r="F30" s="432" t="s">
        <v>110</v>
      </c>
      <c r="G30" s="432" t="s">
        <v>110</v>
      </c>
      <c r="H30" s="432">
        <f>'Buildings &amp; stationary assets'!B34</f>
        <v>0</v>
      </c>
      <c r="I30" s="432">
        <f>'Buildings &amp; stationary assets'!C34</f>
        <v>0</v>
      </c>
      <c r="J30" s="432">
        <f>'Buildings &amp; stationary assets'!D34</f>
        <v>0</v>
      </c>
      <c r="K30" s="432">
        <f>'Buildings &amp; stationary assets'!E34</f>
        <v>0</v>
      </c>
      <c r="L30" s="432">
        <f>'Buildings &amp; stationary assets'!F34</f>
        <v>0</v>
      </c>
      <c r="M30" s="432" t="str">
        <f>'Buildings &amp; stationary assets'!G34</f>
        <v/>
      </c>
      <c r="N30" s="432">
        <f>'Buildings &amp; stationary assets'!H34</f>
        <v>0</v>
      </c>
      <c r="O30" s="432">
        <f>'Buildings &amp; stationary assets'!I34</f>
        <v>0</v>
      </c>
      <c r="P30" s="432" t="str">
        <f>'Buildings &amp; stationary assets'!J34</f>
        <v/>
      </c>
      <c r="Q30" s="432" t="str">
        <f>'Buildings &amp; stationary assets'!K34</f>
        <v/>
      </c>
      <c r="R30" s="432" t="str">
        <f>'Buildings &amp; stationary assets'!L34</f>
        <v/>
      </c>
      <c r="S30" s="432" t="str">
        <f>'Buildings &amp; stationary assets'!M34</f>
        <v/>
      </c>
      <c r="T30" s="432">
        <f>'Buildings &amp; stationary assets'!N34</f>
        <v>0</v>
      </c>
      <c r="U30" s="432">
        <f>'Buildings &amp; stationary assets'!O34</f>
        <v>0</v>
      </c>
      <c r="V30" s="432" t="str">
        <f>'Buildings &amp; stationary assets'!P34</f>
        <v/>
      </c>
      <c r="W30" s="432" t="str">
        <f>'Buildings &amp; stationary assets'!Q34</f>
        <v/>
      </c>
      <c r="X30" s="432" t="str">
        <f>'Buildings &amp; stationary assets'!R34</f>
        <v/>
      </c>
      <c r="Y30" s="432" t="str">
        <f>'Buildings &amp; stationary assets'!S34</f>
        <v/>
      </c>
      <c r="Z30" s="432" t="str">
        <f>'Buildings &amp; stationary assets'!T34</f>
        <v/>
      </c>
      <c r="AA30" s="432" t="str">
        <f>'Buildings &amp; stationary assets'!U34</f>
        <v/>
      </c>
      <c r="AB30" s="432" t="str">
        <f>'Buildings &amp; stationary assets'!V34</f>
        <v/>
      </c>
      <c r="AC30" s="432" t="str">
        <f>'Buildings &amp; stationary assets'!W34</f>
        <v/>
      </c>
      <c r="AE30" s="432">
        <f t="shared" si="0"/>
        <v>0</v>
      </c>
      <c r="AF30" s="432">
        <f t="shared" si="1"/>
        <v>0</v>
      </c>
    </row>
    <row r="31" spans="2:32" x14ac:dyDescent="0.35">
      <c r="B31" s="432" t="e">
        <f>"2024"&amp;MATCH(Totals!D31,OrgType,0)&amp;"_"&amp;MATCH(Totals!E31,Organisations,0)&amp;"_"&amp;LEFT(Totals!F31,1)&amp;"_"&amp;LEFT(G31,1)&amp;"_"&amp;COUNTIF($G$3:G31,G31)</f>
        <v>#N/A</v>
      </c>
      <c r="C31" s="432">
        <v>2024</v>
      </c>
      <c r="D31" s="432">
        <f>Introduction!$D$7</f>
        <v>0</v>
      </c>
      <c r="E31" s="432">
        <f>Introduction!$D$8</f>
        <v>0</v>
      </c>
      <c r="F31" s="432" t="s">
        <v>110</v>
      </c>
      <c r="G31" s="432" t="s">
        <v>110</v>
      </c>
      <c r="H31" s="432">
        <f>'Buildings &amp; stationary assets'!B35</f>
        <v>0</v>
      </c>
      <c r="I31" s="432">
        <f>'Buildings &amp; stationary assets'!C35</f>
        <v>0</v>
      </c>
      <c r="J31" s="432">
        <f>'Buildings &amp; stationary assets'!D35</f>
        <v>0</v>
      </c>
      <c r="K31" s="432">
        <f>'Buildings &amp; stationary assets'!E35</f>
        <v>0</v>
      </c>
      <c r="L31" s="432">
        <f>'Buildings &amp; stationary assets'!F35</f>
        <v>0</v>
      </c>
      <c r="M31" s="432" t="str">
        <f>'Buildings &amp; stationary assets'!G35</f>
        <v/>
      </c>
      <c r="N31" s="432">
        <f>'Buildings &amp; stationary assets'!H35</f>
        <v>0</v>
      </c>
      <c r="O31" s="432">
        <f>'Buildings &amp; stationary assets'!I35</f>
        <v>0</v>
      </c>
      <c r="P31" s="432" t="str">
        <f>'Buildings &amp; stationary assets'!J35</f>
        <v/>
      </c>
      <c r="Q31" s="432" t="str">
        <f>'Buildings &amp; stationary assets'!K35</f>
        <v/>
      </c>
      <c r="R31" s="432" t="str">
        <f>'Buildings &amp; stationary assets'!L35</f>
        <v/>
      </c>
      <c r="S31" s="432" t="str">
        <f>'Buildings &amp; stationary assets'!M35</f>
        <v/>
      </c>
      <c r="T31" s="432">
        <f>'Buildings &amp; stationary assets'!N35</f>
        <v>0</v>
      </c>
      <c r="U31" s="432">
        <f>'Buildings &amp; stationary assets'!O35</f>
        <v>0</v>
      </c>
      <c r="V31" s="432" t="str">
        <f>'Buildings &amp; stationary assets'!P35</f>
        <v/>
      </c>
      <c r="W31" s="432" t="str">
        <f>'Buildings &amp; stationary assets'!Q35</f>
        <v/>
      </c>
      <c r="X31" s="432" t="str">
        <f>'Buildings &amp; stationary assets'!R35</f>
        <v/>
      </c>
      <c r="Y31" s="432" t="str">
        <f>'Buildings &amp; stationary assets'!S35</f>
        <v/>
      </c>
      <c r="Z31" s="432" t="str">
        <f>'Buildings &amp; stationary assets'!T35</f>
        <v/>
      </c>
      <c r="AA31" s="432" t="str">
        <f>'Buildings &amp; stationary assets'!U35</f>
        <v/>
      </c>
      <c r="AB31" s="432" t="str">
        <f>'Buildings &amp; stationary assets'!V35</f>
        <v/>
      </c>
      <c r="AC31" s="432" t="str">
        <f>'Buildings &amp; stationary assets'!W35</f>
        <v/>
      </c>
      <c r="AE31" s="432">
        <f t="shared" si="0"/>
        <v>0</v>
      </c>
      <c r="AF31" s="432">
        <f t="shared" si="1"/>
        <v>0</v>
      </c>
    </row>
    <row r="32" spans="2:32" x14ac:dyDescent="0.35">
      <c r="B32" s="432" t="e">
        <f>"2024"&amp;MATCH(Totals!D32,OrgType,0)&amp;"_"&amp;MATCH(Totals!E32,Organisations,0)&amp;"_"&amp;LEFT(Totals!F32,1)&amp;"_"&amp;LEFT(G32,1)&amp;"_"&amp;COUNTIF($G$3:G32,G32)</f>
        <v>#N/A</v>
      </c>
      <c r="C32" s="432">
        <v>2024</v>
      </c>
      <c r="D32" s="432">
        <f>Introduction!$D$7</f>
        <v>0</v>
      </c>
      <c r="E32" s="432">
        <f>Introduction!$D$8</f>
        <v>0</v>
      </c>
      <c r="F32" s="432" t="s">
        <v>110</v>
      </c>
      <c r="G32" s="432" t="s">
        <v>110</v>
      </c>
      <c r="H32" s="432">
        <f>'Buildings &amp; stationary assets'!B36</f>
        <v>0</v>
      </c>
      <c r="I32" s="432">
        <f>'Buildings &amp; stationary assets'!C36</f>
        <v>0</v>
      </c>
      <c r="J32" s="432">
        <f>'Buildings &amp; stationary assets'!D36</f>
        <v>0</v>
      </c>
      <c r="K32" s="432">
        <f>'Buildings &amp; stationary assets'!E36</f>
        <v>0</v>
      </c>
      <c r="L32" s="432">
        <f>'Buildings &amp; stationary assets'!F36</f>
        <v>0</v>
      </c>
      <c r="M32" s="432" t="str">
        <f>'Buildings &amp; stationary assets'!G36</f>
        <v/>
      </c>
      <c r="N32" s="432">
        <f>'Buildings &amp; stationary assets'!H36</f>
        <v>0</v>
      </c>
      <c r="O32" s="432">
        <f>'Buildings &amp; stationary assets'!I36</f>
        <v>0</v>
      </c>
      <c r="P32" s="432" t="str">
        <f>'Buildings &amp; stationary assets'!J36</f>
        <v/>
      </c>
      <c r="Q32" s="432" t="str">
        <f>'Buildings &amp; stationary assets'!K36</f>
        <v/>
      </c>
      <c r="R32" s="432" t="str">
        <f>'Buildings &amp; stationary assets'!L36</f>
        <v/>
      </c>
      <c r="S32" s="432" t="str">
        <f>'Buildings &amp; stationary assets'!M36</f>
        <v/>
      </c>
      <c r="T32" s="432">
        <f>'Buildings &amp; stationary assets'!N36</f>
        <v>0</v>
      </c>
      <c r="U32" s="432">
        <f>'Buildings &amp; stationary assets'!O36</f>
        <v>0</v>
      </c>
      <c r="V32" s="432" t="str">
        <f>'Buildings &amp; stationary assets'!P36</f>
        <v/>
      </c>
      <c r="W32" s="432" t="str">
        <f>'Buildings &amp; stationary assets'!Q36</f>
        <v/>
      </c>
      <c r="X32" s="432" t="str">
        <f>'Buildings &amp; stationary assets'!R36</f>
        <v/>
      </c>
      <c r="Y32" s="432" t="str">
        <f>'Buildings &amp; stationary assets'!S36</f>
        <v/>
      </c>
      <c r="Z32" s="432" t="str">
        <f>'Buildings &amp; stationary assets'!T36</f>
        <v/>
      </c>
      <c r="AA32" s="432" t="str">
        <f>'Buildings &amp; stationary assets'!U36</f>
        <v/>
      </c>
      <c r="AB32" s="432" t="str">
        <f>'Buildings &amp; stationary assets'!V36</f>
        <v/>
      </c>
      <c r="AC32" s="432" t="str">
        <f>'Buildings &amp; stationary assets'!W36</f>
        <v/>
      </c>
      <c r="AE32" s="432">
        <f t="shared" si="0"/>
        <v>0</v>
      </c>
      <c r="AF32" s="432">
        <f t="shared" si="1"/>
        <v>0</v>
      </c>
    </row>
    <row r="33" spans="2:32" x14ac:dyDescent="0.35">
      <c r="B33" s="432" t="e">
        <f>"2024"&amp;MATCH(Totals!D33,OrgType,0)&amp;"_"&amp;MATCH(Totals!E33,Organisations,0)&amp;"_"&amp;LEFT(Totals!F33,1)&amp;"_"&amp;LEFT(G33,1)&amp;"_"&amp;COUNTIF($G$3:G33,G33)</f>
        <v>#N/A</v>
      </c>
      <c r="C33" s="432">
        <v>2024</v>
      </c>
      <c r="D33" s="432">
        <f>Introduction!$D$7</f>
        <v>0</v>
      </c>
      <c r="E33" s="432">
        <f>Introduction!$D$8</f>
        <v>0</v>
      </c>
      <c r="F33" s="432" t="s">
        <v>110</v>
      </c>
      <c r="G33" s="432" t="s">
        <v>110</v>
      </c>
      <c r="H33" s="432">
        <f>'Buildings &amp; stationary assets'!B37</f>
        <v>0</v>
      </c>
      <c r="I33" s="432">
        <f>'Buildings &amp; stationary assets'!C37</f>
        <v>0</v>
      </c>
      <c r="J33" s="432">
        <f>'Buildings &amp; stationary assets'!D37</f>
        <v>0</v>
      </c>
      <c r="K33" s="432">
        <f>'Buildings &amp; stationary assets'!E37</f>
        <v>0</v>
      </c>
      <c r="L33" s="432">
        <f>'Buildings &amp; stationary assets'!F37</f>
        <v>0</v>
      </c>
      <c r="M33" s="432" t="str">
        <f>'Buildings &amp; stationary assets'!G37</f>
        <v/>
      </c>
      <c r="N33" s="432">
        <f>'Buildings &amp; stationary assets'!H37</f>
        <v>0</v>
      </c>
      <c r="O33" s="432">
        <f>'Buildings &amp; stationary assets'!I37</f>
        <v>0</v>
      </c>
      <c r="P33" s="432" t="str">
        <f>'Buildings &amp; stationary assets'!J37</f>
        <v/>
      </c>
      <c r="Q33" s="432" t="str">
        <f>'Buildings &amp; stationary assets'!K37</f>
        <v/>
      </c>
      <c r="R33" s="432" t="str">
        <f>'Buildings &amp; stationary assets'!L37</f>
        <v/>
      </c>
      <c r="S33" s="432" t="str">
        <f>'Buildings &amp; stationary assets'!M37</f>
        <v/>
      </c>
      <c r="T33" s="432">
        <f>'Buildings &amp; stationary assets'!N37</f>
        <v>0</v>
      </c>
      <c r="U33" s="432">
        <f>'Buildings &amp; stationary assets'!O37</f>
        <v>0</v>
      </c>
      <c r="V33" s="432" t="str">
        <f>'Buildings &amp; stationary assets'!P37</f>
        <v/>
      </c>
      <c r="W33" s="432" t="str">
        <f>'Buildings &amp; stationary assets'!Q37</f>
        <v/>
      </c>
      <c r="X33" s="432" t="str">
        <f>'Buildings &amp; stationary assets'!R37</f>
        <v/>
      </c>
      <c r="Y33" s="432" t="str">
        <f>'Buildings &amp; stationary assets'!S37</f>
        <v/>
      </c>
      <c r="Z33" s="432" t="str">
        <f>'Buildings &amp; stationary assets'!T37</f>
        <v/>
      </c>
      <c r="AA33" s="432" t="str">
        <f>'Buildings &amp; stationary assets'!U37</f>
        <v/>
      </c>
      <c r="AB33" s="432" t="str">
        <f>'Buildings &amp; stationary assets'!V37</f>
        <v/>
      </c>
      <c r="AC33" s="432" t="str">
        <f>'Buildings &amp; stationary assets'!W37</f>
        <v/>
      </c>
      <c r="AE33" s="432">
        <f t="shared" si="0"/>
        <v>0</v>
      </c>
      <c r="AF33" s="432">
        <f t="shared" si="1"/>
        <v>0</v>
      </c>
    </row>
    <row r="34" spans="2:32" x14ac:dyDescent="0.35">
      <c r="B34" s="432" t="e">
        <f>"2024"&amp;MATCH(Totals!D34,OrgType,0)&amp;"_"&amp;MATCH(Totals!E34,Organisations,0)&amp;"_"&amp;LEFT(Totals!F34,1)&amp;"_"&amp;LEFT(G34,1)&amp;"_"&amp;COUNTIF($G$3:G34,G34)</f>
        <v>#N/A</v>
      </c>
      <c r="C34" s="432">
        <v>2024</v>
      </c>
      <c r="D34" s="432">
        <f>Introduction!$D$7</f>
        <v>0</v>
      </c>
      <c r="E34" s="432">
        <f>Introduction!$D$8</f>
        <v>0</v>
      </c>
      <c r="F34" s="432" t="s">
        <v>110</v>
      </c>
      <c r="G34" s="432" t="s">
        <v>110</v>
      </c>
      <c r="H34" s="432">
        <f>'Buildings &amp; stationary assets'!B38</f>
        <v>0</v>
      </c>
      <c r="I34" s="432">
        <f>'Buildings &amp; stationary assets'!C38</f>
        <v>0</v>
      </c>
      <c r="J34" s="432">
        <f>'Buildings &amp; stationary assets'!D38</f>
        <v>0</v>
      </c>
      <c r="K34" s="432">
        <f>'Buildings &amp; stationary assets'!E38</f>
        <v>0</v>
      </c>
      <c r="L34" s="432">
        <f>'Buildings &amp; stationary assets'!F38</f>
        <v>0</v>
      </c>
      <c r="M34" s="432" t="str">
        <f>'Buildings &amp; stationary assets'!G38</f>
        <v/>
      </c>
      <c r="N34" s="432">
        <f>'Buildings &amp; stationary assets'!H38</f>
        <v>0</v>
      </c>
      <c r="O34" s="432">
        <f>'Buildings &amp; stationary assets'!I38</f>
        <v>0</v>
      </c>
      <c r="P34" s="432" t="str">
        <f>'Buildings &amp; stationary assets'!J38</f>
        <v/>
      </c>
      <c r="Q34" s="432" t="str">
        <f>'Buildings &amp; stationary assets'!K38</f>
        <v/>
      </c>
      <c r="R34" s="432" t="str">
        <f>'Buildings &amp; stationary assets'!L38</f>
        <v/>
      </c>
      <c r="S34" s="432" t="str">
        <f>'Buildings &amp; stationary assets'!M38</f>
        <v/>
      </c>
      <c r="T34" s="432">
        <f>'Buildings &amp; stationary assets'!N38</f>
        <v>0</v>
      </c>
      <c r="U34" s="432">
        <f>'Buildings &amp; stationary assets'!O38</f>
        <v>0</v>
      </c>
      <c r="V34" s="432" t="str">
        <f>'Buildings &amp; stationary assets'!P38</f>
        <v/>
      </c>
      <c r="W34" s="432" t="str">
        <f>'Buildings &amp; stationary assets'!Q38</f>
        <v/>
      </c>
      <c r="X34" s="432" t="str">
        <f>'Buildings &amp; stationary assets'!R38</f>
        <v/>
      </c>
      <c r="Y34" s="432" t="str">
        <f>'Buildings &amp; stationary assets'!S38</f>
        <v/>
      </c>
      <c r="Z34" s="432" t="str">
        <f>'Buildings &amp; stationary assets'!T38</f>
        <v/>
      </c>
      <c r="AA34" s="432" t="str">
        <f>'Buildings &amp; stationary assets'!U38</f>
        <v/>
      </c>
      <c r="AB34" s="432" t="str">
        <f>'Buildings &amp; stationary assets'!V38</f>
        <v/>
      </c>
      <c r="AC34" s="432" t="str">
        <f>'Buildings &amp; stationary assets'!W38</f>
        <v/>
      </c>
      <c r="AE34" s="432">
        <f t="shared" si="0"/>
        <v>0</v>
      </c>
      <c r="AF34" s="432">
        <f t="shared" si="1"/>
        <v>0</v>
      </c>
    </row>
    <row r="35" spans="2:32" x14ac:dyDescent="0.35">
      <c r="B35" s="432" t="e">
        <f>"2024"&amp;MATCH(Totals!D35,OrgType,0)&amp;"_"&amp;MATCH(Totals!E35,Organisations,0)&amp;"_"&amp;LEFT(Totals!F35,1)&amp;"_"&amp;LEFT(G35,1)&amp;"_"&amp;COUNTIF($G$3:G35,G35)</f>
        <v>#N/A</v>
      </c>
      <c r="C35" s="432">
        <v>2024</v>
      </c>
      <c r="D35" s="432">
        <f>Introduction!$D$7</f>
        <v>0</v>
      </c>
      <c r="E35" s="432">
        <f>Introduction!$D$8</f>
        <v>0</v>
      </c>
      <c r="F35" s="432" t="s">
        <v>110</v>
      </c>
      <c r="G35" s="432" t="s">
        <v>110</v>
      </c>
      <c r="H35" s="432">
        <f>'Buildings &amp; stationary assets'!B39</f>
        <v>0</v>
      </c>
      <c r="I35" s="432">
        <f>'Buildings &amp; stationary assets'!C39</f>
        <v>0</v>
      </c>
      <c r="J35" s="432">
        <f>'Buildings &amp; stationary assets'!D39</f>
        <v>0</v>
      </c>
      <c r="K35" s="432">
        <f>'Buildings &amp; stationary assets'!E39</f>
        <v>0</v>
      </c>
      <c r="L35" s="432">
        <f>'Buildings &amp; stationary assets'!F39</f>
        <v>0</v>
      </c>
      <c r="M35" s="432" t="str">
        <f>'Buildings &amp; stationary assets'!G39</f>
        <v/>
      </c>
      <c r="N35" s="432">
        <f>'Buildings &amp; stationary assets'!H39</f>
        <v>0</v>
      </c>
      <c r="O35" s="432">
        <f>'Buildings &amp; stationary assets'!I39</f>
        <v>0</v>
      </c>
      <c r="P35" s="432" t="str">
        <f>'Buildings &amp; stationary assets'!J39</f>
        <v/>
      </c>
      <c r="Q35" s="432" t="str">
        <f>'Buildings &amp; stationary assets'!K39</f>
        <v/>
      </c>
      <c r="R35" s="432" t="str">
        <f>'Buildings &amp; stationary assets'!L39</f>
        <v/>
      </c>
      <c r="S35" s="432" t="str">
        <f>'Buildings &amp; stationary assets'!M39</f>
        <v/>
      </c>
      <c r="T35" s="432">
        <f>'Buildings &amp; stationary assets'!N39</f>
        <v>0</v>
      </c>
      <c r="U35" s="432">
        <f>'Buildings &amp; stationary assets'!O39</f>
        <v>0</v>
      </c>
      <c r="V35" s="432" t="str">
        <f>'Buildings &amp; stationary assets'!P39</f>
        <v/>
      </c>
      <c r="W35" s="432" t="str">
        <f>'Buildings &amp; stationary assets'!Q39</f>
        <v/>
      </c>
      <c r="X35" s="432" t="str">
        <f>'Buildings &amp; stationary assets'!R39</f>
        <v/>
      </c>
      <c r="Y35" s="432" t="str">
        <f>'Buildings &amp; stationary assets'!S39</f>
        <v/>
      </c>
      <c r="Z35" s="432" t="str">
        <f>'Buildings &amp; stationary assets'!T39</f>
        <v/>
      </c>
      <c r="AA35" s="432" t="str">
        <f>'Buildings &amp; stationary assets'!U39</f>
        <v/>
      </c>
      <c r="AB35" s="432" t="str">
        <f>'Buildings &amp; stationary assets'!V39</f>
        <v/>
      </c>
      <c r="AC35" s="432" t="str">
        <f>'Buildings &amp; stationary assets'!W39</f>
        <v/>
      </c>
      <c r="AE35" s="432">
        <f t="shared" si="0"/>
        <v>0</v>
      </c>
      <c r="AF35" s="432">
        <f t="shared" si="1"/>
        <v>0</v>
      </c>
    </row>
    <row r="36" spans="2:32" x14ac:dyDescent="0.35">
      <c r="B36" s="432" t="e">
        <f>"2024"&amp;MATCH(Totals!D36,OrgType,0)&amp;"_"&amp;MATCH(Totals!E36,Organisations,0)&amp;"_"&amp;LEFT(Totals!F36,1)&amp;"_"&amp;LEFT(G36,1)&amp;"_"&amp;COUNTIF($G$3:G36,G36)</f>
        <v>#N/A</v>
      </c>
      <c r="C36" s="432">
        <v>2024</v>
      </c>
      <c r="D36" s="432">
        <f>Introduction!$D$7</f>
        <v>0</v>
      </c>
      <c r="E36" s="432">
        <f>Introduction!$D$8</f>
        <v>0</v>
      </c>
      <c r="F36" s="432" t="s">
        <v>110</v>
      </c>
      <c r="G36" s="432" t="s">
        <v>110</v>
      </c>
      <c r="H36" s="432">
        <f>'Buildings &amp; stationary assets'!B40</f>
        <v>0</v>
      </c>
      <c r="I36" s="432">
        <f>'Buildings &amp; stationary assets'!C40</f>
        <v>0</v>
      </c>
      <c r="J36" s="432">
        <f>'Buildings &amp; stationary assets'!D40</f>
        <v>0</v>
      </c>
      <c r="K36" s="432">
        <f>'Buildings &amp; stationary assets'!E40</f>
        <v>0</v>
      </c>
      <c r="L36" s="432">
        <f>'Buildings &amp; stationary assets'!F40</f>
        <v>0</v>
      </c>
      <c r="M36" s="432" t="str">
        <f>'Buildings &amp; stationary assets'!G40</f>
        <v/>
      </c>
      <c r="N36" s="432">
        <f>'Buildings &amp; stationary assets'!H40</f>
        <v>0</v>
      </c>
      <c r="O36" s="432">
        <f>'Buildings &amp; stationary assets'!I40</f>
        <v>0</v>
      </c>
      <c r="P36" s="432" t="str">
        <f>'Buildings &amp; stationary assets'!J40</f>
        <v/>
      </c>
      <c r="Q36" s="432" t="str">
        <f>'Buildings &amp; stationary assets'!K40</f>
        <v/>
      </c>
      <c r="R36" s="432" t="str">
        <f>'Buildings &amp; stationary assets'!L40</f>
        <v/>
      </c>
      <c r="S36" s="432" t="str">
        <f>'Buildings &amp; stationary assets'!M40</f>
        <v/>
      </c>
      <c r="T36" s="432">
        <f>'Buildings &amp; stationary assets'!N40</f>
        <v>0</v>
      </c>
      <c r="U36" s="432">
        <f>'Buildings &amp; stationary assets'!O40</f>
        <v>0</v>
      </c>
      <c r="V36" s="432" t="str">
        <f>'Buildings &amp; stationary assets'!P40</f>
        <v/>
      </c>
      <c r="W36" s="432" t="str">
        <f>'Buildings &amp; stationary assets'!Q40</f>
        <v/>
      </c>
      <c r="X36" s="432" t="str">
        <f>'Buildings &amp; stationary assets'!R40</f>
        <v/>
      </c>
      <c r="Y36" s="432" t="str">
        <f>'Buildings &amp; stationary assets'!S40</f>
        <v/>
      </c>
      <c r="Z36" s="432" t="str">
        <f>'Buildings &amp; stationary assets'!T40</f>
        <v/>
      </c>
      <c r="AA36" s="432" t="str">
        <f>'Buildings &amp; stationary assets'!U40</f>
        <v/>
      </c>
      <c r="AB36" s="432" t="str">
        <f>'Buildings &amp; stationary assets'!V40</f>
        <v/>
      </c>
      <c r="AC36" s="432" t="str">
        <f>'Buildings &amp; stationary assets'!W40</f>
        <v/>
      </c>
      <c r="AE36" s="432">
        <f t="shared" si="0"/>
        <v>0</v>
      </c>
      <c r="AF36" s="432">
        <f t="shared" si="1"/>
        <v>0</v>
      </c>
    </row>
    <row r="37" spans="2:32" x14ac:dyDescent="0.35">
      <c r="B37" s="432" t="e">
        <f>"2024"&amp;MATCH(Totals!D37,OrgType,0)&amp;"_"&amp;MATCH(Totals!E37,Organisations,0)&amp;"_"&amp;LEFT(Totals!F37,1)&amp;"_"&amp;LEFT(G37,1)&amp;"_"&amp;COUNTIF($G$3:G37,G37)</f>
        <v>#N/A</v>
      </c>
      <c r="C37" s="432">
        <v>2024</v>
      </c>
      <c r="D37" s="432">
        <f>Introduction!$D$7</f>
        <v>0</v>
      </c>
      <c r="E37" s="432">
        <f>Introduction!$D$8</f>
        <v>0</v>
      </c>
      <c r="F37" s="432" t="s">
        <v>110</v>
      </c>
      <c r="G37" s="432" t="s">
        <v>110</v>
      </c>
      <c r="H37" s="432">
        <f>'Buildings &amp; stationary assets'!B41</f>
        <v>0</v>
      </c>
      <c r="I37" s="432">
        <f>'Buildings &amp; stationary assets'!C41</f>
        <v>0</v>
      </c>
      <c r="J37" s="432">
        <f>'Buildings &amp; stationary assets'!D41</f>
        <v>0</v>
      </c>
      <c r="K37" s="432">
        <f>'Buildings &amp; stationary assets'!E41</f>
        <v>0</v>
      </c>
      <c r="L37" s="432">
        <f>'Buildings &amp; stationary assets'!F41</f>
        <v>0</v>
      </c>
      <c r="M37" s="432" t="str">
        <f>'Buildings &amp; stationary assets'!G41</f>
        <v/>
      </c>
      <c r="N37" s="432">
        <f>'Buildings &amp; stationary assets'!H41</f>
        <v>0</v>
      </c>
      <c r="O37" s="432">
        <f>'Buildings &amp; stationary assets'!I41</f>
        <v>0</v>
      </c>
      <c r="P37" s="432" t="str">
        <f>'Buildings &amp; stationary assets'!J41</f>
        <v/>
      </c>
      <c r="Q37" s="432" t="str">
        <f>'Buildings &amp; stationary assets'!K41</f>
        <v/>
      </c>
      <c r="R37" s="432" t="str">
        <f>'Buildings &amp; stationary assets'!L41</f>
        <v/>
      </c>
      <c r="S37" s="432" t="str">
        <f>'Buildings &amp; stationary assets'!M41</f>
        <v/>
      </c>
      <c r="T37" s="432">
        <f>'Buildings &amp; stationary assets'!N41</f>
        <v>0</v>
      </c>
      <c r="U37" s="432">
        <f>'Buildings &amp; stationary assets'!O41</f>
        <v>0</v>
      </c>
      <c r="V37" s="432" t="str">
        <f>'Buildings &amp; stationary assets'!P41</f>
        <v/>
      </c>
      <c r="W37" s="432" t="str">
        <f>'Buildings &amp; stationary assets'!Q41</f>
        <v/>
      </c>
      <c r="X37" s="432" t="str">
        <f>'Buildings &amp; stationary assets'!R41</f>
        <v/>
      </c>
      <c r="Y37" s="432" t="str">
        <f>'Buildings &amp; stationary assets'!S41</f>
        <v/>
      </c>
      <c r="Z37" s="432" t="str">
        <f>'Buildings &amp; stationary assets'!T41</f>
        <v/>
      </c>
      <c r="AA37" s="432" t="str">
        <f>'Buildings &amp; stationary assets'!U41</f>
        <v/>
      </c>
      <c r="AB37" s="432" t="str">
        <f>'Buildings &amp; stationary assets'!V41</f>
        <v/>
      </c>
      <c r="AC37" s="432" t="str">
        <f>'Buildings &amp; stationary assets'!W41</f>
        <v/>
      </c>
      <c r="AE37" s="432">
        <f t="shared" si="0"/>
        <v>0</v>
      </c>
      <c r="AF37" s="432">
        <f t="shared" si="1"/>
        <v>0</v>
      </c>
    </row>
    <row r="38" spans="2:32" x14ac:dyDescent="0.35">
      <c r="B38" s="432" t="e">
        <f>"2024"&amp;MATCH(Totals!D38,OrgType,0)&amp;"_"&amp;MATCH(Totals!E38,Organisations,0)&amp;"_"&amp;LEFT(Totals!F38,1)&amp;"_"&amp;LEFT(G38,1)&amp;"_"&amp;COUNTIF($G$3:G38,G38)</f>
        <v>#N/A</v>
      </c>
      <c r="C38" s="432">
        <v>2024</v>
      </c>
      <c r="D38" s="432">
        <f>Introduction!$D$7</f>
        <v>0</v>
      </c>
      <c r="E38" s="432">
        <f>Introduction!$D$8</f>
        <v>0</v>
      </c>
      <c r="F38" s="432" t="s">
        <v>110</v>
      </c>
      <c r="G38" s="432" t="s">
        <v>110</v>
      </c>
      <c r="H38" s="432">
        <f>'Buildings &amp; stationary assets'!B42</f>
        <v>0</v>
      </c>
      <c r="I38" s="432">
        <f>'Buildings &amp; stationary assets'!C42</f>
        <v>0</v>
      </c>
      <c r="J38" s="432">
        <f>'Buildings &amp; stationary assets'!D42</f>
        <v>0</v>
      </c>
      <c r="K38" s="432">
        <f>'Buildings &amp; stationary assets'!E42</f>
        <v>0</v>
      </c>
      <c r="L38" s="432">
        <f>'Buildings &amp; stationary assets'!F42</f>
        <v>0</v>
      </c>
      <c r="M38" s="432" t="str">
        <f>'Buildings &amp; stationary assets'!G42</f>
        <v/>
      </c>
      <c r="N38" s="432">
        <f>'Buildings &amp; stationary assets'!H42</f>
        <v>0</v>
      </c>
      <c r="O38" s="432">
        <f>'Buildings &amp; stationary assets'!I42</f>
        <v>0</v>
      </c>
      <c r="P38" s="432" t="str">
        <f>'Buildings &amp; stationary assets'!J42</f>
        <v/>
      </c>
      <c r="Q38" s="432" t="str">
        <f>'Buildings &amp; stationary assets'!K42</f>
        <v/>
      </c>
      <c r="R38" s="432" t="str">
        <f>'Buildings &amp; stationary assets'!L42</f>
        <v/>
      </c>
      <c r="S38" s="432" t="str">
        <f>'Buildings &amp; stationary assets'!M42</f>
        <v/>
      </c>
      <c r="T38" s="432">
        <f>'Buildings &amp; stationary assets'!N42</f>
        <v>0</v>
      </c>
      <c r="U38" s="432">
        <f>'Buildings &amp; stationary assets'!O42</f>
        <v>0</v>
      </c>
      <c r="V38" s="432" t="str">
        <f>'Buildings &amp; stationary assets'!P42</f>
        <v/>
      </c>
      <c r="W38" s="432" t="str">
        <f>'Buildings &amp; stationary assets'!Q42</f>
        <v/>
      </c>
      <c r="X38" s="432" t="str">
        <f>'Buildings &amp; stationary assets'!R42</f>
        <v/>
      </c>
      <c r="Y38" s="432" t="str">
        <f>'Buildings &amp; stationary assets'!S42</f>
        <v/>
      </c>
      <c r="Z38" s="432" t="str">
        <f>'Buildings &amp; stationary assets'!T42</f>
        <v/>
      </c>
      <c r="AA38" s="432" t="str">
        <f>'Buildings &amp; stationary assets'!U42</f>
        <v/>
      </c>
      <c r="AB38" s="432" t="str">
        <f>'Buildings &amp; stationary assets'!V42</f>
        <v/>
      </c>
      <c r="AC38" s="432" t="str">
        <f>'Buildings &amp; stationary assets'!W42</f>
        <v/>
      </c>
      <c r="AE38" s="432">
        <f t="shared" si="0"/>
        <v>0</v>
      </c>
      <c r="AF38" s="432">
        <f t="shared" si="1"/>
        <v>0</v>
      </c>
    </row>
    <row r="39" spans="2:32" x14ac:dyDescent="0.35">
      <c r="B39" s="432" t="e">
        <f>"2024"&amp;MATCH(Totals!D39,OrgType,0)&amp;"_"&amp;MATCH(Totals!E39,Organisations,0)&amp;"_"&amp;LEFT(Totals!F39,1)&amp;"_"&amp;LEFT(G39,1)&amp;"_"&amp;COUNTIF($G$3:G39,G39)</f>
        <v>#N/A</v>
      </c>
      <c r="C39" s="432">
        <v>2024</v>
      </c>
      <c r="D39" s="432">
        <f>Introduction!$D$7</f>
        <v>0</v>
      </c>
      <c r="E39" s="432">
        <f>Introduction!$D$8</f>
        <v>0</v>
      </c>
      <c r="F39" s="432" t="s">
        <v>110</v>
      </c>
      <c r="G39" s="432" t="s">
        <v>110</v>
      </c>
      <c r="H39" s="432">
        <f>'Buildings &amp; stationary assets'!B43</f>
        <v>0</v>
      </c>
      <c r="I39" s="432">
        <f>'Buildings &amp; stationary assets'!C43</f>
        <v>0</v>
      </c>
      <c r="J39" s="432">
        <f>'Buildings &amp; stationary assets'!D43</f>
        <v>0</v>
      </c>
      <c r="K39" s="432">
        <f>'Buildings &amp; stationary assets'!E43</f>
        <v>0</v>
      </c>
      <c r="L39" s="432">
        <f>'Buildings &amp; stationary assets'!F43</f>
        <v>0</v>
      </c>
      <c r="M39" s="432" t="str">
        <f>'Buildings &amp; stationary assets'!G43</f>
        <v/>
      </c>
      <c r="N39" s="432">
        <f>'Buildings &amp; stationary assets'!H43</f>
        <v>0</v>
      </c>
      <c r="O39" s="432">
        <f>'Buildings &amp; stationary assets'!I43</f>
        <v>0</v>
      </c>
      <c r="P39" s="432" t="str">
        <f>'Buildings &amp; stationary assets'!J43</f>
        <v/>
      </c>
      <c r="Q39" s="432" t="str">
        <f>'Buildings &amp; stationary assets'!K43</f>
        <v/>
      </c>
      <c r="R39" s="432" t="str">
        <f>'Buildings &amp; stationary assets'!L43</f>
        <v/>
      </c>
      <c r="S39" s="432" t="str">
        <f>'Buildings &amp; stationary assets'!M43</f>
        <v/>
      </c>
      <c r="T39" s="432">
        <f>'Buildings &amp; stationary assets'!N43</f>
        <v>0</v>
      </c>
      <c r="U39" s="432">
        <f>'Buildings &amp; stationary assets'!O43</f>
        <v>0</v>
      </c>
      <c r="V39" s="432" t="str">
        <f>'Buildings &amp; stationary assets'!P43</f>
        <v/>
      </c>
      <c r="W39" s="432" t="str">
        <f>'Buildings &amp; stationary assets'!Q43</f>
        <v/>
      </c>
      <c r="X39" s="432" t="str">
        <f>'Buildings &amp; stationary assets'!R43</f>
        <v/>
      </c>
      <c r="Y39" s="432" t="str">
        <f>'Buildings &amp; stationary assets'!S43</f>
        <v/>
      </c>
      <c r="Z39" s="432" t="str">
        <f>'Buildings &amp; stationary assets'!T43</f>
        <v/>
      </c>
      <c r="AA39" s="432" t="str">
        <f>'Buildings &amp; stationary assets'!U43</f>
        <v/>
      </c>
      <c r="AB39" s="432" t="str">
        <f>'Buildings &amp; stationary assets'!V43</f>
        <v/>
      </c>
      <c r="AC39" s="432" t="str">
        <f>'Buildings &amp; stationary assets'!W43</f>
        <v/>
      </c>
      <c r="AE39" s="432">
        <f t="shared" si="0"/>
        <v>0</v>
      </c>
      <c r="AF39" s="432">
        <f t="shared" si="1"/>
        <v>0</v>
      </c>
    </row>
    <row r="40" spans="2:32" x14ac:dyDescent="0.35">
      <c r="B40" s="432" t="e">
        <f>"2024"&amp;MATCH(Totals!D40,OrgType,0)&amp;"_"&amp;MATCH(Totals!E40,Organisations,0)&amp;"_"&amp;LEFT(Totals!F40,1)&amp;"_"&amp;LEFT(G40,1)&amp;"_"&amp;COUNTIF($G$3:G40,G40)</f>
        <v>#N/A</v>
      </c>
      <c r="C40" s="432">
        <v>2024</v>
      </c>
      <c r="D40" s="432">
        <f>Introduction!$D$7</f>
        <v>0</v>
      </c>
      <c r="E40" s="432">
        <f>Introduction!$D$8</f>
        <v>0</v>
      </c>
      <c r="F40" s="432" t="s">
        <v>110</v>
      </c>
      <c r="G40" s="432" t="s">
        <v>110</v>
      </c>
      <c r="H40" s="432">
        <f>'Buildings &amp; stationary assets'!B44</f>
        <v>0</v>
      </c>
      <c r="I40" s="432">
        <f>'Buildings &amp; stationary assets'!C44</f>
        <v>0</v>
      </c>
      <c r="J40" s="432">
        <f>'Buildings &amp; stationary assets'!D44</f>
        <v>0</v>
      </c>
      <c r="K40" s="432">
        <f>'Buildings &amp; stationary assets'!E44</f>
        <v>0</v>
      </c>
      <c r="L40" s="432">
        <f>'Buildings &amp; stationary assets'!F44</f>
        <v>0</v>
      </c>
      <c r="M40" s="432" t="str">
        <f>'Buildings &amp; stationary assets'!G44</f>
        <v/>
      </c>
      <c r="N40" s="432">
        <f>'Buildings &amp; stationary assets'!H44</f>
        <v>0</v>
      </c>
      <c r="O40" s="432">
        <f>'Buildings &amp; stationary assets'!I44</f>
        <v>0</v>
      </c>
      <c r="P40" s="432" t="str">
        <f>'Buildings &amp; stationary assets'!J44</f>
        <v/>
      </c>
      <c r="Q40" s="432" t="str">
        <f>'Buildings &amp; stationary assets'!K44</f>
        <v/>
      </c>
      <c r="R40" s="432" t="str">
        <f>'Buildings &amp; stationary assets'!L44</f>
        <v/>
      </c>
      <c r="S40" s="432" t="str">
        <f>'Buildings &amp; stationary assets'!M44</f>
        <v/>
      </c>
      <c r="T40" s="432">
        <f>'Buildings &amp; stationary assets'!N44</f>
        <v>0</v>
      </c>
      <c r="U40" s="432">
        <f>'Buildings &amp; stationary assets'!O44</f>
        <v>0</v>
      </c>
      <c r="V40" s="432" t="str">
        <f>'Buildings &amp; stationary assets'!P44</f>
        <v/>
      </c>
      <c r="W40" s="432" t="str">
        <f>'Buildings &amp; stationary assets'!Q44</f>
        <v/>
      </c>
      <c r="X40" s="432" t="str">
        <f>'Buildings &amp; stationary assets'!R44</f>
        <v/>
      </c>
      <c r="Y40" s="432" t="str">
        <f>'Buildings &amp; stationary assets'!S44</f>
        <v/>
      </c>
      <c r="Z40" s="432" t="str">
        <f>'Buildings &amp; stationary assets'!T44</f>
        <v/>
      </c>
      <c r="AA40" s="432" t="str">
        <f>'Buildings &amp; stationary assets'!U44</f>
        <v/>
      </c>
      <c r="AB40" s="432" t="str">
        <f>'Buildings &amp; stationary assets'!V44</f>
        <v/>
      </c>
      <c r="AC40" s="432" t="str">
        <f>'Buildings &amp; stationary assets'!W44</f>
        <v/>
      </c>
      <c r="AE40" s="432">
        <f t="shared" si="0"/>
        <v>0</v>
      </c>
      <c r="AF40" s="432">
        <f t="shared" si="1"/>
        <v>0</v>
      </c>
    </row>
    <row r="41" spans="2:32" x14ac:dyDescent="0.35">
      <c r="B41" s="432" t="e">
        <f>"2024"&amp;MATCH(Totals!D41,OrgType,0)&amp;"_"&amp;MATCH(Totals!E41,Organisations,0)&amp;"_"&amp;LEFT(Totals!F41,1)&amp;"_"&amp;LEFT(G41,1)&amp;"_"&amp;COUNTIF($G$3:G41,G41)</f>
        <v>#N/A</v>
      </c>
      <c r="C41" s="432">
        <v>2024</v>
      </c>
      <c r="D41" s="432">
        <f>Introduction!$D$7</f>
        <v>0</v>
      </c>
      <c r="E41" s="432">
        <f>Introduction!$D$8</f>
        <v>0</v>
      </c>
      <c r="F41" s="432" t="s">
        <v>110</v>
      </c>
      <c r="G41" s="432" t="s">
        <v>110</v>
      </c>
      <c r="H41" s="432">
        <f>'Buildings &amp; stationary assets'!B45</f>
        <v>0</v>
      </c>
      <c r="I41" s="432">
        <f>'Buildings &amp; stationary assets'!C45</f>
        <v>0</v>
      </c>
      <c r="J41" s="432">
        <f>'Buildings &amp; stationary assets'!D45</f>
        <v>0</v>
      </c>
      <c r="K41" s="432">
        <f>'Buildings &amp; stationary assets'!E45</f>
        <v>0</v>
      </c>
      <c r="L41" s="432">
        <f>'Buildings &amp; stationary assets'!F45</f>
        <v>0</v>
      </c>
      <c r="M41" s="432" t="str">
        <f>'Buildings &amp; stationary assets'!G45</f>
        <v/>
      </c>
      <c r="N41" s="432">
        <f>'Buildings &amp; stationary assets'!H45</f>
        <v>0</v>
      </c>
      <c r="O41" s="432">
        <f>'Buildings &amp; stationary assets'!I45</f>
        <v>0</v>
      </c>
      <c r="P41" s="432" t="str">
        <f>'Buildings &amp; stationary assets'!J45</f>
        <v/>
      </c>
      <c r="Q41" s="432" t="str">
        <f>'Buildings &amp; stationary assets'!K45</f>
        <v/>
      </c>
      <c r="R41" s="432" t="str">
        <f>'Buildings &amp; stationary assets'!L45</f>
        <v/>
      </c>
      <c r="S41" s="432" t="str">
        <f>'Buildings &amp; stationary assets'!M45</f>
        <v/>
      </c>
      <c r="T41" s="432">
        <f>'Buildings &amp; stationary assets'!N45</f>
        <v>0</v>
      </c>
      <c r="U41" s="432">
        <f>'Buildings &amp; stationary assets'!O45</f>
        <v>0</v>
      </c>
      <c r="V41" s="432" t="str">
        <f>'Buildings &amp; stationary assets'!P45</f>
        <v/>
      </c>
      <c r="W41" s="432" t="str">
        <f>'Buildings &amp; stationary assets'!Q45</f>
        <v/>
      </c>
      <c r="X41" s="432" t="str">
        <f>'Buildings &amp; stationary assets'!R45</f>
        <v/>
      </c>
      <c r="Y41" s="432" t="str">
        <f>'Buildings &amp; stationary assets'!S45</f>
        <v/>
      </c>
      <c r="Z41" s="432" t="str">
        <f>'Buildings &amp; stationary assets'!T45</f>
        <v/>
      </c>
      <c r="AA41" s="432" t="str">
        <f>'Buildings &amp; stationary assets'!U45</f>
        <v/>
      </c>
      <c r="AB41" s="432" t="str">
        <f>'Buildings &amp; stationary assets'!V45</f>
        <v/>
      </c>
      <c r="AC41" s="432" t="str">
        <f>'Buildings &amp; stationary assets'!W45</f>
        <v/>
      </c>
      <c r="AE41" s="432">
        <f t="shared" si="0"/>
        <v>0</v>
      </c>
      <c r="AF41" s="432">
        <f t="shared" si="1"/>
        <v>0</v>
      </c>
    </row>
    <row r="42" spans="2:32" x14ac:dyDescent="0.35">
      <c r="B42" s="432" t="e">
        <f>"2024"&amp;MATCH(Totals!D42,OrgType,0)&amp;"_"&amp;MATCH(Totals!E42,Organisations,0)&amp;"_"&amp;LEFT(Totals!F42,1)&amp;"_"&amp;LEFT(G42,1)&amp;"_"&amp;COUNTIF($G$3:G42,G42)</f>
        <v>#N/A</v>
      </c>
      <c r="C42" s="432">
        <v>2024</v>
      </c>
      <c r="D42" s="432">
        <f>Introduction!$D$7</f>
        <v>0</v>
      </c>
      <c r="E42" s="432">
        <f>Introduction!$D$8</f>
        <v>0</v>
      </c>
      <c r="F42" s="432" t="s">
        <v>110</v>
      </c>
      <c r="G42" s="432" t="s">
        <v>110</v>
      </c>
      <c r="H42" s="432">
        <f>'Buildings &amp; stationary assets'!B46</f>
        <v>0</v>
      </c>
      <c r="I42" s="432">
        <f>'Buildings &amp; stationary assets'!C46</f>
        <v>0</v>
      </c>
      <c r="J42" s="432">
        <f>'Buildings &amp; stationary assets'!D46</f>
        <v>0</v>
      </c>
      <c r="K42" s="432">
        <f>'Buildings &amp; stationary assets'!E46</f>
        <v>0</v>
      </c>
      <c r="L42" s="432">
        <f>'Buildings &amp; stationary assets'!F46</f>
        <v>0</v>
      </c>
      <c r="M42" s="432" t="str">
        <f>'Buildings &amp; stationary assets'!G46</f>
        <v/>
      </c>
      <c r="N42" s="432">
        <f>'Buildings &amp; stationary assets'!H46</f>
        <v>0</v>
      </c>
      <c r="O42" s="432">
        <f>'Buildings &amp; stationary assets'!I46</f>
        <v>0</v>
      </c>
      <c r="P42" s="432" t="str">
        <f>'Buildings &amp; stationary assets'!J46</f>
        <v/>
      </c>
      <c r="Q42" s="432" t="str">
        <f>'Buildings &amp; stationary assets'!K46</f>
        <v/>
      </c>
      <c r="R42" s="432" t="str">
        <f>'Buildings &amp; stationary assets'!L46</f>
        <v/>
      </c>
      <c r="S42" s="432" t="str">
        <f>'Buildings &amp; stationary assets'!M46</f>
        <v/>
      </c>
      <c r="T42" s="432">
        <f>'Buildings &amp; stationary assets'!N46</f>
        <v>0</v>
      </c>
      <c r="U42" s="432">
        <f>'Buildings &amp; stationary assets'!O46</f>
        <v>0</v>
      </c>
      <c r="V42" s="432" t="str">
        <f>'Buildings &amp; stationary assets'!P46</f>
        <v/>
      </c>
      <c r="W42" s="432" t="str">
        <f>'Buildings &amp; stationary assets'!Q46</f>
        <v/>
      </c>
      <c r="X42" s="432" t="str">
        <f>'Buildings &amp; stationary assets'!R46</f>
        <v/>
      </c>
      <c r="Y42" s="432" t="str">
        <f>'Buildings &amp; stationary assets'!S46</f>
        <v/>
      </c>
      <c r="Z42" s="432" t="str">
        <f>'Buildings &amp; stationary assets'!T46</f>
        <v/>
      </c>
      <c r="AA42" s="432" t="str">
        <f>'Buildings &amp; stationary assets'!U46</f>
        <v/>
      </c>
      <c r="AB42" s="432" t="str">
        <f>'Buildings &amp; stationary assets'!V46</f>
        <v/>
      </c>
      <c r="AC42" s="432" t="str">
        <f>'Buildings &amp; stationary assets'!W46</f>
        <v/>
      </c>
      <c r="AE42" s="432">
        <f t="shared" si="0"/>
        <v>0</v>
      </c>
      <c r="AF42" s="432">
        <f t="shared" si="1"/>
        <v>0</v>
      </c>
    </row>
    <row r="43" spans="2:32" x14ac:dyDescent="0.35">
      <c r="B43" s="432" t="e">
        <f>"2024"&amp;MATCH(Totals!D43,OrgType,0)&amp;"_"&amp;MATCH(Totals!E43,Organisations,0)&amp;"_"&amp;LEFT(Totals!F43,1)&amp;"_"&amp;LEFT(G43,1)&amp;"_"&amp;COUNTIF($G$3:G43,G43)</f>
        <v>#N/A</v>
      </c>
      <c r="C43" s="432">
        <v>2024</v>
      </c>
      <c r="D43" s="432">
        <f>Introduction!$D$7</f>
        <v>0</v>
      </c>
      <c r="E43" s="432">
        <f>Introduction!$D$8</f>
        <v>0</v>
      </c>
      <c r="F43" s="432" t="s">
        <v>110</v>
      </c>
      <c r="G43" s="432" t="s">
        <v>110</v>
      </c>
      <c r="H43" s="432">
        <f>'Buildings &amp; stationary assets'!B47</f>
        <v>0</v>
      </c>
      <c r="I43" s="432">
        <f>'Buildings &amp; stationary assets'!C47</f>
        <v>0</v>
      </c>
      <c r="J43" s="432">
        <f>'Buildings &amp; stationary assets'!D47</f>
        <v>0</v>
      </c>
      <c r="K43" s="432">
        <f>'Buildings &amp; stationary assets'!E47</f>
        <v>0</v>
      </c>
      <c r="L43" s="432">
        <f>'Buildings &amp; stationary assets'!F47</f>
        <v>0</v>
      </c>
      <c r="M43" s="432" t="str">
        <f>'Buildings &amp; stationary assets'!G47</f>
        <v/>
      </c>
      <c r="N43" s="432">
        <f>'Buildings &amp; stationary assets'!H47</f>
        <v>0</v>
      </c>
      <c r="O43" s="432">
        <f>'Buildings &amp; stationary assets'!I47</f>
        <v>0</v>
      </c>
      <c r="P43" s="432" t="str">
        <f>'Buildings &amp; stationary assets'!J47</f>
        <v/>
      </c>
      <c r="Q43" s="432" t="str">
        <f>'Buildings &amp; stationary assets'!K47</f>
        <v/>
      </c>
      <c r="R43" s="432" t="str">
        <f>'Buildings &amp; stationary assets'!L47</f>
        <v/>
      </c>
      <c r="S43" s="432" t="str">
        <f>'Buildings &amp; stationary assets'!M47</f>
        <v/>
      </c>
      <c r="T43" s="432">
        <f>'Buildings &amp; stationary assets'!N47</f>
        <v>0</v>
      </c>
      <c r="U43" s="432">
        <f>'Buildings &amp; stationary assets'!O47</f>
        <v>0</v>
      </c>
      <c r="V43" s="432" t="str">
        <f>'Buildings &amp; stationary assets'!P47</f>
        <v/>
      </c>
      <c r="W43" s="432" t="str">
        <f>'Buildings &amp; stationary assets'!Q47</f>
        <v/>
      </c>
      <c r="X43" s="432" t="str">
        <f>'Buildings &amp; stationary assets'!R47</f>
        <v/>
      </c>
      <c r="Y43" s="432" t="str">
        <f>'Buildings &amp; stationary assets'!S47</f>
        <v/>
      </c>
      <c r="Z43" s="432" t="str">
        <f>'Buildings &amp; stationary assets'!T47</f>
        <v/>
      </c>
      <c r="AA43" s="432" t="str">
        <f>'Buildings &amp; stationary assets'!U47</f>
        <v/>
      </c>
      <c r="AB43" s="432" t="str">
        <f>'Buildings &amp; stationary assets'!V47</f>
        <v/>
      </c>
      <c r="AC43" s="432" t="str">
        <f>'Buildings &amp; stationary assets'!W47</f>
        <v/>
      </c>
      <c r="AE43" s="432">
        <f t="shared" si="0"/>
        <v>0</v>
      </c>
      <c r="AF43" s="432">
        <f t="shared" si="1"/>
        <v>0</v>
      </c>
    </row>
    <row r="44" spans="2:32" x14ac:dyDescent="0.35">
      <c r="B44" s="432" t="e">
        <f>"2024"&amp;MATCH(Totals!D44,OrgType,0)&amp;"_"&amp;MATCH(Totals!E44,Organisations,0)&amp;"_"&amp;LEFT(Totals!F44,1)&amp;"_"&amp;LEFT(G44,1)&amp;"_"&amp;COUNTIF($G$3:G44,G44)</f>
        <v>#N/A</v>
      </c>
      <c r="C44" s="432">
        <v>2024</v>
      </c>
      <c r="D44" s="432">
        <f>Introduction!$D$7</f>
        <v>0</v>
      </c>
      <c r="E44" s="432">
        <f>Introduction!$D$8</f>
        <v>0</v>
      </c>
      <c r="F44" s="432" t="s">
        <v>110</v>
      </c>
      <c r="G44" s="432" t="s">
        <v>110</v>
      </c>
      <c r="H44" s="432">
        <f>'Buildings &amp; stationary assets'!B48</f>
        <v>0</v>
      </c>
      <c r="I44" s="432">
        <f>'Buildings &amp; stationary assets'!C48</f>
        <v>0</v>
      </c>
      <c r="J44" s="432">
        <f>'Buildings &amp; stationary assets'!D48</f>
        <v>0</v>
      </c>
      <c r="K44" s="432">
        <f>'Buildings &amp; stationary assets'!E48</f>
        <v>0</v>
      </c>
      <c r="L44" s="432">
        <f>'Buildings &amp; stationary assets'!F48</f>
        <v>0</v>
      </c>
      <c r="M44" s="432" t="str">
        <f>'Buildings &amp; stationary assets'!G48</f>
        <v/>
      </c>
      <c r="N44" s="432">
        <f>'Buildings &amp; stationary assets'!H48</f>
        <v>0</v>
      </c>
      <c r="O44" s="432">
        <f>'Buildings &amp; stationary assets'!I48</f>
        <v>0</v>
      </c>
      <c r="P44" s="432" t="str">
        <f>'Buildings &amp; stationary assets'!J48</f>
        <v/>
      </c>
      <c r="Q44" s="432" t="str">
        <f>'Buildings &amp; stationary assets'!K48</f>
        <v/>
      </c>
      <c r="R44" s="432" t="str">
        <f>'Buildings &amp; stationary assets'!L48</f>
        <v/>
      </c>
      <c r="S44" s="432" t="str">
        <f>'Buildings &amp; stationary assets'!M48</f>
        <v/>
      </c>
      <c r="T44" s="432">
        <f>'Buildings &amp; stationary assets'!N48</f>
        <v>0</v>
      </c>
      <c r="U44" s="432">
        <f>'Buildings &amp; stationary assets'!O48</f>
        <v>0</v>
      </c>
      <c r="V44" s="432" t="str">
        <f>'Buildings &amp; stationary assets'!P48</f>
        <v/>
      </c>
      <c r="W44" s="432" t="str">
        <f>'Buildings &amp; stationary assets'!Q48</f>
        <v/>
      </c>
      <c r="X44" s="432" t="str">
        <f>'Buildings &amp; stationary assets'!R48</f>
        <v/>
      </c>
      <c r="Y44" s="432" t="str">
        <f>'Buildings &amp; stationary assets'!S48</f>
        <v/>
      </c>
      <c r="Z44" s="432" t="str">
        <f>'Buildings &amp; stationary assets'!T48</f>
        <v/>
      </c>
      <c r="AA44" s="432" t="str">
        <f>'Buildings &amp; stationary assets'!U48</f>
        <v/>
      </c>
      <c r="AB44" s="432" t="str">
        <f>'Buildings &amp; stationary assets'!V48</f>
        <v/>
      </c>
      <c r="AC44" s="432" t="str">
        <f>'Buildings &amp; stationary assets'!W48</f>
        <v/>
      </c>
      <c r="AE44" s="432">
        <f t="shared" si="0"/>
        <v>0</v>
      </c>
      <c r="AF44" s="432">
        <f t="shared" si="1"/>
        <v>0</v>
      </c>
    </row>
    <row r="45" spans="2:32" x14ac:dyDescent="0.35">
      <c r="B45" s="432" t="e">
        <f>"2024"&amp;MATCH(Totals!D45,OrgType,0)&amp;"_"&amp;MATCH(Totals!E45,Organisations,0)&amp;"_"&amp;LEFT(Totals!F45,1)&amp;"_"&amp;LEFT(G45,1)&amp;"_"&amp;COUNTIF($G$3:G45,G45)</f>
        <v>#N/A</v>
      </c>
      <c r="C45" s="432">
        <v>2024</v>
      </c>
      <c r="D45" s="432">
        <f>Introduction!$D$7</f>
        <v>0</v>
      </c>
      <c r="E45" s="432">
        <f>Introduction!$D$8</f>
        <v>0</v>
      </c>
      <c r="F45" s="432" t="s">
        <v>110</v>
      </c>
      <c r="G45" s="432" t="s">
        <v>110</v>
      </c>
      <c r="H45" s="432">
        <f>'Buildings &amp; stationary assets'!B49</f>
        <v>0</v>
      </c>
      <c r="I45" s="432">
        <f>'Buildings &amp; stationary assets'!C49</f>
        <v>0</v>
      </c>
      <c r="J45" s="432">
        <f>'Buildings &amp; stationary assets'!D49</f>
        <v>0</v>
      </c>
      <c r="K45" s="432">
        <f>'Buildings &amp; stationary assets'!E49</f>
        <v>0</v>
      </c>
      <c r="L45" s="432">
        <f>'Buildings &amp; stationary assets'!F49</f>
        <v>0</v>
      </c>
      <c r="M45" s="432" t="str">
        <f>'Buildings &amp; stationary assets'!G49</f>
        <v/>
      </c>
      <c r="N45" s="432">
        <f>'Buildings &amp; stationary assets'!H49</f>
        <v>0</v>
      </c>
      <c r="O45" s="432">
        <f>'Buildings &amp; stationary assets'!I49</f>
        <v>0</v>
      </c>
      <c r="P45" s="432" t="str">
        <f>'Buildings &amp; stationary assets'!J49</f>
        <v/>
      </c>
      <c r="Q45" s="432" t="str">
        <f>'Buildings &amp; stationary assets'!K49</f>
        <v/>
      </c>
      <c r="R45" s="432" t="str">
        <f>'Buildings &amp; stationary assets'!L49</f>
        <v/>
      </c>
      <c r="S45" s="432" t="str">
        <f>'Buildings &amp; stationary assets'!M49</f>
        <v/>
      </c>
      <c r="T45" s="432">
        <f>'Buildings &amp; stationary assets'!N49</f>
        <v>0</v>
      </c>
      <c r="U45" s="432">
        <f>'Buildings &amp; stationary assets'!O49</f>
        <v>0</v>
      </c>
      <c r="V45" s="432" t="str">
        <f>'Buildings &amp; stationary assets'!P49</f>
        <v/>
      </c>
      <c r="W45" s="432" t="str">
        <f>'Buildings &amp; stationary assets'!Q49</f>
        <v/>
      </c>
      <c r="X45" s="432" t="str">
        <f>'Buildings &amp; stationary assets'!R49</f>
        <v/>
      </c>
      <c r="Y45" s="432" t="str">
        <f>'Buildings &amp; stationary assets'!S49</f>
        <v/>
      </c>
      <c r="Z45" s="432" t="str">
        <f>'Buildings &amp; stationary assets'!T49</f>
        <v/>
      </c>
      <c r="AA45" s="432" t="str">
        <f>'Buildings &amp; stationary assets'!U49</f>
        <v/>
      </c>
      <c r="AB45" s="432" t="str">
        <f>'Buildings &amp; stationary assets'!V49</f>
        <v/>
      </c>
      <c r="AC45" s="432" t="str">
        <f>'Buildings &amp; stationary assets'!W49</f>
        <v/>
      </c>
      <c r="AE45" s="432">
        <f t="shared" si="0"/>
        <v>0</v>
      </c>
      <c r="AF45" s="432">
        <f t="shared" si="1"/>
        <v>0</v>
      </c>
    </row>
    <row r="46" spans="2:32" x14ac:dyDescent="0.35">
      <c r="B46" s="432" t="e">
        <f>"2024"&amp;MATCH(Totals!D46,OrgType,0)&amp;"_"&amp;MATCH(Totals!E46,Organisations,0)&amp;"_"&amp;LEFT(Totals!F46,1)&amp;"_"&amp;LEFT(G46,1)&amp;"_"&amp;COUNTIF($G$3:G46,G46)</f>
        <v>#N/A</v>
      </c>
      <c r="C46" s="432">
        <v>2024</v>
      </c>
      <c r="D46" s="432">
        <f>Introduction!$D$7</f>
        <v>0</v>
      </c>
      <c r="E46" s="432">
        <f>Introduction!$D$8</f>
        <v>0</v>
      </c>
      <c r="F46" s="432" t="s">
        <v>110</v>
      </c>
      <c r="G46" s="432" t="s">
        <v>110</v>
      </c>
      <c r="H46" s="432">
        <f>'Buildings &amp; stationary assets'!B50</f>
        <v>0</v>
      </c>
      <c r="I46" s="432">
        <f>'Buildings &amp; stationary assets'!C50</f>
        <v>0</v>
      </c>
      <c r="J46" s="432">
        <f>'Buildings &amp; stationary assets'!D50</f>
        <v>0</v>
      </c>
      <c r="K46" s="432">
        <f>'Buildings &amp; stationary assets'!E50</f>
        <v>0</v>
      </c>
      <c r="L46" s="432">
        <f>'Buildings &amp; stationary assets'!F50</f>
        <v>0</v>
      </c>
      <c r="M46" s="432" t="str">
        <f>'Buildings &amp; stationary assets'!G50</f>
        <v/>
      </c>
      <c r="N46" s="432">
        <f>'Buildings &amp; stationary assets'!H50</f>
        <v>0</v>
      </c>
      <c r="O46" s="432">
        <f>'Buildings &amp; stationary assets'!I50</f>
        <v>0</v>
      </c>
      <c r="P46" s="432" t="str">
        <f>'Buildings &amp; stationary assets'!J50</f>
        <v/>
      </c>
      <c r="Q46" s="432" t="str">
        <f>'Buildings &amp; stationary assets'!K50</f>
        <v/>
      </c>
      <c r="R46" s="432" t="str">
        <f>'Buildings &amp; stationary assets'!L50</f>
        <v/>
      </c>
      <c r="S46" s="432" t="str">
        <f>'Buildings &amp; stationary assets'!M50</f>
        <v/>
      </c>
      <c r="T46" s="432">
        <f>'Buildings &amp; stationary assets'!N50</f>
        <v>0</v>
      </c>
      <c r="U46" s="432">
        <f>'Buildings &amp; stationary assets'!O50</f>
        <v>0</v>
      </c>
      <c r="V46" s="432" t="str">
        <f>'Buildings &amp; stationary assets'!P50</f>
        <v/>
      </c>
      <c r="W46" s="432" t="str">
        <f>'Buildings &amp; stationary assets'!Q50</f>
        <v/>
      </c>
      <c r="X46" s="432" t="str">
        <f>'Buildings &amp; stationary assets'!R50</f>
        <v/>
      </c>
      <c r="Y46" s="432" t="str">
        <f>'Buildings &amp; stationary assets'!S50</f>
        <v/>
      </c>
      <c r="Z46" s="432" t="str">
        <f>'Buildings &amp; stationary assets'!T50</f>
        <v/>
      </c>
      <c r="AA46" s="432" t="str">
        <f>'Buildings &amp; stationary assets'!U50</f>
        <v/>
      </c>
      <c r="AB46" s="432" t="str">
        <f>'Buildings &amp; stationary assets'!V50</f>
        <v/>
      </c>
      <c r="AC46" s="432" t="str">
        <f>'Buildings &amp; stationary assets'!W50</f>
        <v/>
      </c>
      <c r="AE46" s="432">
        <f t="shared" si="0"/>
        <v>0</v>
      </c>
      <c r="AF46" s="432">
        <f t="shared" si="1"/>
        <v>0</v>
      </c>
    </row>
    <row r="47" spans="2:32" x14ac:dyDescent="0.35">
      <c r="B47" s="432" t="e">
        <f>"2024"&amp;MATCH(Totals!D47,OrgType,0)&amp;"_"&amp;MATCH(Totals!E47,Organisations,0)&amp;"_"&amp;LEFT(Totals!F47,1)&amp;"_"&amp;LEFT(G47,1)&amp;"_"&amp;COUNTIF($G$3:G47,G47)</f>
        <v>#N/A</v>
      </c>
      <c r="C47" s="432">
        <v>2024</v>
      </c>
      <c r="D47" s="432">
        <f>Introduction!$D$7</f>
        <v>0</v>
      </c>
      <c r="E47" s="432">
        <f>Introduction!$D$8</f>
        <v>0</v>
      </c>
      <c r="F47" s="432" t="s">
        <v>110</v>
      </c>
      <c r="G47" s="432" t="s">
        <v>110</v>
      </c>
      <c r="H47" s="432">
        <f>'Buildings &amp; stationary assets'!B51</f>
        <v>0</v>
      </c>
      <c r="I47" s="432">
        <f>'Buildings &amp; stationary assets'!C51</f>
        <v>0</v>
      </c>
      <c r="J47" s="432">
        <f>'Buildings &amp; stationary assets'!D51</f>
        <v>0</v>
      </c>
      <c r="K47" s="432">
        <f>'Buildings &amp; stationary assets'!E51</f>
        <v>0</v>
      </c>
      <c r="L47" s="432">
        <f>'Buildings &amp; stationary assets'!F51</f>
        <v>0</v>
      </c>
      <c r="M47" s="432" t="str">
        <f>'Buildings &amp; stationary assets'!G51</f>
        <v/>
      </c>
      <c r="N47" s="432">
        <f>'Buildings &amp; stationary assets'!H51</f>
        <v>0</v>
      </c>
      <c r="O47" s="432">
        <f>'Buildings &amp; stationary assets'!I51</f>
        <v>0</v>
      </c>
      <c r="P47" s="432" t="str">
        <f>'Buildings &amp; stationary assets'!J51</f>
        <v/>
      </c>
      <c r="Q47" s="432" t="str">
        <f>'Buildings &amp; stationary assets'!K51</f>
        <v/>
      </c>
      <c r="R47" s="432" t="str">
        <f>'Buildings &amp; stationary assets'!L51</f>
        <v/>
      </c>
      <c r="S47" s="432" t="str">
        <f>'Buildings &amp; stationary assets'!M51</f>
        <v/>
      </c>
      <c r="T47" s="432">
        <f>'Buildings &amp; stationary assets'!N51</f>
        <v>0</v>
      </c>
      <c r="U47" s="432">
        <f>'Buildings &amp; stationary assets'!O51</f>
        <v>0</v>
      </c>
      <c r="V47" s="432" t="str">
        <f>'Buildings &amp; stationary assets'!P51</f>
        <v/>
      </c>
      <c r="W47" s="432" t="str">
        <f>'Buildings &amp; stationary assets'!Q51</f>
        <v/>
      </c>
      <c r="X47" s="432" t="str">
        <f>'Buildings &amp; stationary assets'!R51</f>
        <v/>
      </c>
      <c r="Y47" s="432" t="str">
        <f>'Buildings &amp; stationary assets'!S51</f>
        <v/>
      </c>
      <c r="Z47" s="432" t="str">
        <f>'Buildings &amp; stationary assets'!T51</f>
        <v/>
      </c>
      <c r="AA47" s="432" t="str">
        <f>'Buildings &amp; stationary assets'!U51</f>
        <v/>
      </c>
      <c r="AB47" s="432" t="str">
        <f>'Buildings &amp; stationary assets'!V51</f>
        <v/>
      </c>
      <c r="AC47" s="432" t="str">
        <f>'Buildings &amp; stationary assets'!W51</f>
        <v/>
      </c>
      <c r="AE47" s="432">
        <f t="shared" si="0"/>
        <v>0</v>
      </c>
      <c r="AF47" s="432">
        <f t="shared" si="1"/>
        <v>0</v>
      </c>
    </row>
    <row r="48" spans="2:32" x14ac:dyDescent="0.35">
      <c r="B48" s="432" t="e">
        <f>"2024"&amp;MATCH(Totals!D48,OrgType,0)&amp;"_"&amp;MATCH(Totals!E48,Organisations,0)&amp;"_"&amp;LEFT(Totals!F48,1)&amp;"_"&amp;LEFT(G48,1)&amp;"_"&amp;COUNTIF($G$3:G48,G48)</f>
        <v>#N/A</v>
      </c>
      <c r="C48" s="432">
        <v>2024</v>
      </c>
      <c r="D48" s="432">
        <f>Introduction!$D$7</f>
        <v>0</v>
      </c>
      <c r="E48" s="432">
        <f>Introduction!$D$8</f>
        <v>0</v>
      </c>
      <c r="F48" s="432" t="s">
        <v>110</v>
      </c>
      <c r="G48" s="432" t="s">
        <v>110</v>
      </c>
      <c r="H48" s="432">
        <f>'Buildings &amp; stationary assets'!B52</f>
        <v>0</v>
      </c>
      <c r="I48" s="432">
        <f>'Buildings &amp; stationary assets'!C52</f>
        <v>0</v>
      </c>
      <c r="J48" s="432">
        <f>'Buildings &amp; stationary assets'!D52</f>
        <v>0</v>
      </c>
      <c r="K48" s="432">
        <f>'Buildings &amp; stationary assets'!E52</f>
        <v>0</v>
      </c>
      <c r="L48" s="432">
        <f>'Buildings &amp; stationary assets'!F52</f>
        <v>0</v>
      </c>
      <c r="M48" s="432" t="str">
        <f>'Buildings &amp; stationary assets'!G52</f>
        <v/>
      </c>
      <c r="N48" s="432">
        <f>'Buildings &amp; stationary assets'!H52</f>
        <v>0</v>
      </c>
      <c r="O48" s="432">
        <f>'Buildings &amp; stationary assets'!I52</f>
        <v>0</v>
      </c>
      <c r="P48" s="432" t="str">
        <f>'Buildings &amp; stationary assets'!J52</f>
        <v/>
      </c>
      <c r="Q48" s="432" t="str">
        <f>'Buildings &amp; stationary assets'!K52</f>
        <v/>
      </c>
      <c r="R48" s="432" t="str">
        <f>'Buildings &amp; stationary assets'!L52</f>
        <v/>
      </c>
      <c r="S48" s="432" t="str">
        <f>'Buildings &amp; stationary assets'!M52</f>
        <v/>
      </c>
      <c r="T48" s="432">
        <f>'Buildings &amp; stationary assets'!N52</f>
        <v>0</v>
      </c>
      <c r="U48" s="432">
        <f>'Buildings &amp; stationary assets'!O52</f>
        <v>0</v>
      </c>
      <c r="V48" s="432" t="str">
        <f>'Buildings &amp; stationary assets'!P52</f>
        <v/>
      </c>
      <c r="W48" s="432" t="str">
        <f>'Buildings &amp; stationary assets'!Q52</f>
        <v/>
      </c>
      <c r="X48" s="432" t="str">
        <f>'Buildings &amp; stationary assets'!R52</f>
        <v/>
      </c>
      <c r="Y48" s="432" t="str">
        <f>'Buildings &amp; stationary assets'!S52</f>
        <v/>
      </c>
      <c r="Z48" s="432" t="str">
        <f>'Buildings &amp; stationary assets'!T52</f>
        <v/>
      </c>
      <c r="AA48" s="432" t="str">
        <f>'Buildings &amp; stationary assets'!U52</f>
        <v/>
      </c>
      <c r="AB48" s="432" t="str">
        <f>'Buildings &amp; stationary assets'!V52</f>
        <v/>
      </c>
      <c r="AC48" s="432" t="str">
        <f>'Buildings &amp; stationary assets'!W52</f>
        <v/>
      </c>
      <c r="AE48" s="432">
        <f t="shared" si="0"/>
        <v>0</v>
      </c>
      <c r="AF48" s="432">
        <f t="shared" si="1"/>
        <v>0</v>
      </c>
    </row>
    <row r="49" spans="2:32" x14ac:dyDescent="0.35">
      <c r="B49" s="432" t="e">
        <f>"2024"&amp;MATCH(Totals!D49,OrgType,0)&amp;"_"&amp;MATCH(Totals!E49,Organisations,0)&amp;"_"&amp;LEFT(Totals!F49,1)&amp;"_"&amp;LEFT(G49,1)&amp;"_"&amp;COUNTIF($G$3:G49,G49)</f>
        <v>#N/A</v>
      </c>
      <c r="C49" s="432">
        <v>2024</v>
      </c>
      <c r="D49" s="432">
        <f>Introduction!$D$7</f>
        <v>0</v>
      </c>
      <c r="E49" s="432">
        <f>Introduction!$D$8</f>
        <v>0</v>
      </c>
      <c r="F49" s="432" t="s">
        <v>110</v>
      </c>
      <c r="G49" s="432" t="s">
        <v>110</v>
      </c>
      <c r="H49" s="432">
        <f>'Buildings &amp; stationary assets'!B53</f>
        <v>0</v>
      </c>
      <c r="I49" s="432">
        <f>'Buildings &amp; stationary assets'!C53</f>
        <v>0</v>
      </c>
      <c r="J49" s="432">
        <f>'Buildings &amp; stationary assets'!D53</f>
        <v>0</v>
      </c>
      <c r="K49" s="432">
        <f>'Buildings &amp; stationary assets'!E53</f>
        <v>0</v>
      </c>
      <c r="L49" s="432">
        <f>'Buildings &amp; stationary assets'!F53</f>
        <v>0</v>
      </c>
      <c r="M49" s="432" t="str">
        <f>'Buildings &amp; stationary assets'!G53</f>
        <v/>
      </c>
      <c r="N49" s="432">
        <f>'Buildings &amp; stationary assets'!H53</f>
        <v>0</v>
      </c>
      <c r="O49" s="432">
        <f>'Buildings &amp; stationary assets'!I53</f>
        <v>0</v>
      </c>
      <c r="P49" s="432" t="str">
        <f>'Buildings &amp; stationary assets'!J53</f>
        <v/>
      </c>
      <c r="Q49" s="432" t="str">
        <f>'Buildings &amp; stationary assets'!K53</f>
        <v/>
      </c>
      <c r="R49" s="432" t="str">
        <f>'Buildings &amp; stationary assets'!L53</f>
        <v/>
      </c>
      <c r="S49" s="432" t="str">
        <f>'Buildings &amp; stationary assets'!M53</f>
        <v/>
      </c>
      <c r="T49" s="432">
        <f>'Buildings &amp; stationary assets'!N53</f>
        <v>0</v>
      </c>
      <c r="U49" s="432">
        <f>'Buildings &amp; stationary assets'!O53</f>
        <v>0</v>
      </c>
      <c r="V49" s="432" t="str">
        <f>'Buildings &amp; stationary assets'!P53</f>
        <v/>
      </c>
      <c r="W49" s="432" t="str">
        <f>'Buildings &amp; stationary assets'!Q53</f>
        <v/>
      </c>
      <c r="X49" s="432" t="str">
        <f>'Buildings &amp; stationary assets'!R53</f>
        <v/>
      </c>
      <c r="Y49" s="432" t="str">
        <f>'Buildings &amp; stationary assets'!S53</f>
        <v/>
      </c>
      <c r="Z49" s="432" t="str">
        <f>'Buildings &amp; stationary assets'!T53</f>
        <v/>
      </c>
      <c r="AA49" s="432" t="str">
        <f>'Buildings &amp; stationary assets'!U53</f>
        <v/>
      </c>
      <c r="AB49" s="432" t="str">
        <f>'Buildings &amp; stationary assets'!V53</f>
        <v/>
      </c>
      <c r="AC49" s="432" t="str">
        <f>'Buildings &amp; stationary assets'!W53</f>
        <v/>
      </c>
      <c r="AE49" s="432">
        <f t="shared" si="0"/>
        <v>0</v>
      </c>
      <c r="AF49" s="432">
        <f t="shared" si="1"/>
        <v>0</v>
      </c>
    </row>
    <row r="50" spans="2:32" x14ac:dyDescent="0.35">
      <c r="B50" s="432" t="e">
        <f>"2024"&amp;MATCH(Totals!D50,OrgType,0)&amp;"_"&amp;MATCH(Totals!E50,Organisations,0)&amp;"_"&amp;LEFT(Totals!F50,1)&amp;"_"&amp;LEFT(G50,1)&amp;"_"&amp;COUNTIF($G$3:G50,G50)</f>
        <v>#N/A</v>
      </c>
      <c r="C50" s="432">
        <v>2024</v>
      </c>
      <c r="D50" s="432">
        <f>Introduction!$D$7</f>
        <v>0</v>
      </c>
      <c r="E50" s="432">
        <f>Introduction!$D$8</f>
        <v>0</v>
      </c>
      <c r="F50" s="432" t="s">
        <v>110</v>
      </c>
      <c r="G50" s="432" t="s">
        <v>110</v>
      </c>
      <c r="H50" s="432">
        <f>'Buildings &amp; stationary assets'!B54</f>
        <v>0</v>
      </c>
      <c r="I50" s="432">
        <f>'Buildings &amp; stationary assets'!C54</f>
        <v>0</v>
      </c>
      <c r="J50" s="432">
        <f>'Buildings &amp; stationary assets'!D54</f>
        <v>0</v>
      </c>
      <c r="K50" s="432">
        <f>'Buildings &amp; stationary assets'!E54</f>
        <v>0</v>
      </c>
      <c r="L50" s="432">
        <f>'Buildings &amp; stationary assets'!F54</f>
        <v>0</v>
      </c>
      <c r="M50" s="432" t="str">
        <f>'Buildings &amp; stationary assets'!G54</f>
        <v/>
      </c>
      <c r="N50" s="432">
        <f>'Buildings &amp; stationary assets'!H54</f>
        <v>0</v>
      </c>
      <c r="O50" s="432">
        <f>'Buildings &amp; stationary assets'!I54</f>
        <v>0</v>
      </c>
      <c r="P50" s="432" t="str">
        <f>'Buildings &amp; stationary assets'!J54</f>
        <v/>
      </c>
      <c r="Q50" s="432" t="str">
        <f>'Buildings &amp; stationary assets'!K54</f>
        <v/>
      </c>
      <c r="R50" s="432" t="str">
        <f>'Buildings &amp; stationary assets'!L54</f>
        <v/>
      </c>
      <c r="S50" s="432" t="str">
        <f>'Buildings &amp; stationary assets'!M54</f>
        <v/>
      </c>
      <c r="T50" s="432">
        <f>'Buildings &amp; stationary assets'!N54</f>
        <v>0</v>
      </c>
      <c r="U50" s="432">
        <f>'Buildings &amp; stationary assets'!O54</f>
        <v>0</v>
      </c>
      <c r="V50" s="432" t="str">
        <f>'Buildings &amp; stationary assets'!P54</f>
        <v/>
      </c>
      <c r="W50" s="432" t="str">
        <f>'Buildings &amp; stationary assets'!Q54</f>
        <v/>
      </c>
      <c r="X50" s="432" t="str">
        <f>'Buildings &amp; stationary assets'!R54</f>
        <v/>
      </c>
      <c r="Y50" s="432" t="str">
        <f>'Buildings &amp; stationary assets'!S54</f>
        <v/>
      </c>
      <c r="Z50" s="432" t="str">
        <f>'Buildings &amp; stationary assets'!T54</f>
        <v/>
      </c>
      <c r="AA50" s="432" t="str">
        <f>'Buildings &amp; stationary assets'!U54</f>
        <v/>
      </c>
      <c r="AB50" s="432" t="str">
        <f>'Buildings &amp; stationary assets'!V54</f>
        <v/>
      </c>
      <c r="AC50" s="432" t="str">
        <f>'Buildings &amp; stationary assets'!W54</f>
        <v/>
      </c>
      <c r="AE50" s="432">
        <f t="shared" si="0"/>
        <v>0</v>
      </c>
      <c r="AF50" s="432">
        <f t="shared" si="1"/>
        <v>0</v>
      </c>
    </row>
    <row r="51" spans="2:32" x14ac:dyDescent="0.35">
      <c r="B51" s="432" t="e">
        <f>"2024"&amp;MATCH(Totals!D51,OrgType,0)&amp;"_"&amp;MATCH(Totals!E51,Organisations,0)&amp;"_"&amp;LEFT(Totals!F51,1)&amp;"_"&amp;LEFT(G51,1)&amp;"_"&amp;COUNTIF($G$3:G51,G51)</f>
        <v>#N/A</v>
      </c>
      <c r="C51" s="432">
        <v>2024</v>
      </c>
      <c r="D51" s="432">
        <f>Introduction!$D$7</f>
        <v>0</v>
      </c>
      <c r="E51" s="432">
        <f>Introduction!$D$8</f>
        <v>0</v>
      </c>
      <c r="F51" s="432" t="s">
        <v>110</v>
      </c>
      <c r="G51" s="432" t="s">
        <v>110</v>
      </c>
      <c r="H51" s="432">
        <f>'Buildings &amp; stationary assets'!B55</f>
        <v>0</v>
      </c>
      <c r="I51" s="432">
        <f>'Buildings &amp; stationary assets'!C55</f>
        <v>0</v>
      </c>
      <c r="J51" s="432">
        <f>'Buildings &amp; stationary assets'!D55</f>
        <v>0</v>
      </c>
      <c r="K51" s="432">
        <f>'Buildings &amp; stationary assets'!E55</f>
        <v>0</v>
      </c>
      <c r="L51" s="432">
        <f>'Buildings &amp; stationary assets'!F55</f>
        <v>0</v>
      </c>
      <c r="M51" s="432" t="str">
        <f>'Buildings &amp; stationary assets'!G55</f>
        <v/>
      </c>
      <c r="N51" s="432">
        <f>'Buildings &amp; stationary assets'!H55</f>
        <v>0</v>
      </c>
      <c r="O51" s="432">
        <f>'Buildings &amp; stationary assets'!I55</f>
        <v>0</v>
      </c>
      <c r="P51" s="432" t="str">
        <f>'Buildings &amp; stationary assets'!J55</f>
        <v/>
      </c>
      <c r="Q51" s="432" t="str">
        <f>'Buildings &amp; stationary assets'!K55</f>
        <v/>
      </c>
      <c r="R51" s="432" t="str">
        <f>'Buildings &amp; stationary assets'!L55</f>
        <v/>
      </c>
      <c r="S51" s="432" t="str">
        <f>'Buildings &amp; stationary assets'!M55</f>
        <v/>
      </c>
      <c r="T51" s="432">
        <f>'Buildings &amp; stationary assets'!N55</f>
        <v>0</v>
      </c>
      <c r="U51" s="432">
        <f>'Buildings &amp; stationary assets'!O55</f>
        <v>0</v>
      </c>
      <c r="V51" s="432" t="str">
        <f>'Buildings &amp; stationary assets'!P55</f>
        <v/>
      </c>
      <c r="W51" s="432" t="str">
        <f>'Buildings &amp; stationary assets'!Q55</f>
        <v/>
      </c>
      <c r="X51" s="432" t="str">
        <f>'Buildings &amp; stationary assets'!R55</f>
        <v/>
      </c>
      <c r="Y51" s="432" t="str">
        <f>'Buildings &amp; stationary assets'!S55</f>
        <v/>
      </c>
      <c r="Z51" s="432" t="str">
        <f>'Buildings &amp; stationary assets'!T55</f>
        <v/>
      </c>
      <c r="AA51" s="432" t="str">
        <f>'Buildings &amp; stationary assets'!U55</f>
        <v/>
      </c>
      <c r="AB51" s="432" t="str">
        <f>'Buildings &amp; stationary assets'!V55</f>
        <v/>
      </c>
      <c r="AC51" s="432" t="str">
        <f>'Buildings &amp; stationary assets'!W55</f>
        <v/>
      </c>
      <c r="AE51" s="432">
        <f t="shared" si="0"/>
        <v>0</v>
      </c>
      <c r="AF51" s="432">
        <f t="shared" si="1"/>
        <v>0</v>
      </c>
    </row>
    <row r="52" spans="2:32" x14ac:dyDescent="0.35">
      <c r="B52" s="432" t="e">
        <f>"2024"&amp;MATCH(Totals!D52,OrgType,0)&amp;"_"&amp;MATCH(Totals!E52,Organisations,0)&amp;"_"&amp;LEFT(Totals!F52,1)&amp;"_"&amp;LEFT(G52,1)&amp;"_"&amp;COUNTIF($G$3:G52,G52)</f>
        <v>#N/A</v>
      </c>
      <c r="C52" s="432">
        <v>2024</v>
      </c>
      <c r="D52" s="432">
        <f>Introduction!$D$7</f>
        <v>0</v>
      </c>
      <c r="E52" s="432">
        <f>Introduction!$D$8</f>
        <v>0</v>
      </c>
      <c r="F52" s="432" t="s">
        <v>110</v>
      </c>
      <c r="G52" s="432" t="s">
        <v>110</v>
      </c>
      <c r="H52" s="432">
        <f>'Buildings &amp; stationary assets'!B56</f>
        <v>0</v>
      </c>
      <c r="I52" s="432">
        <f>'Buildings &amp; stationary assets'!C56</f>
        <v>0</v>
      </c>
      <c r="J52" s="432">
        <f>'Buildings &amp; stationary assets'!D56</f>
        <v>0</v>
      </c>
      <c r="K52" s="432">
        <f>'Buildings &amp; stationary assets'!E56</f>
        <v>0</v>
      </c>
      <c r="L52" s="432">
        <f>'Buildings &amp; stationary assets'!F56</f>
        <v>0</v>
      </c>
      <c r="M52" s="432" t="str">
        <f>'Buildings &amp; stationary assets'!G56</f>
        <v/>
      </c>
      <c r="N52" s="432">
        <f>'Buildings &amp; stationary assets'!H56</f>
        <v>0</v>
      </c>
      <c r="O52" s="432">
        <f>'Buildings &amp; stationary assets'!I56</f>
        <v>0</v>
      </c>
      <c r="P52" s="432" t="str">
        <f>'Buildings &amp; stationary assets'!J56</f>
        <v/>
      </c>
      <c r="Q52" s="432" t="str">
        <f>'Buildings &amp; stationary assets'!K56</f>
        <v/>
      </c>
      <c r="R52" s="432" t="str">
        <f>'Buildings &amp; stationary assets'!L56</f>
        <v/>
      </c>
      <c r="S52" s="432" t="str">
        <f>'Buildings &amp; stationary assets'!M56</f>
        <v/>
      </c>
      <c r="T52" s="432">
        <f>'Buildings &amp; stationary assets'!N56</f>
        <v>0</v>
      </c>
      <c r="U52" s="432">
        <f>'Buildings &amp; stationary assets'!O56</f>
        <v>0</v>
      </c>
      <c r="V52" s="432" t="str">
        <f>'Buildings &amp; stationary assets'!P56</f>
        <v/>
      </c>
      <c r="W52" s="432" t="str">
        <f>'Buildings &amp; stationary assets'!Q56</f>
        <v/>
      </c>
      <c r="X52" s="432" t="str">
        <f>'Buildings &amp; stationary assets'!R56</f>
        <v/>
      </c>
      <c r="Y52" s="432" t="str">
        <f>'Buildings &amp; stationary assets'!S56</f>
        <v/>
      </c>
      <c r="Z52" s="432" t="str">
        <f>'Buildings &amp; stationary assets'!T56</f>
        <v/>
      </c>
      <c r="AA52" s="432" t="str">
        <f>'Buildings &amp; stationary assets'!U56</f>
        <v/>
      </c>
      <c r="AB52" s="432" t="str">
        <f>'Buildings &amp; stationary assets'!V56</f>
        <v/>
      </c>
      <c r="AC52" s="432" t="str">
        <f>'Buildings &amp; stationary assets'!W56</f>
        <v/>
      </c>
      <c r="AE52" s="432">
        <f t="shared" si="0"/>
        <v>0</v>
      </c>
      <c r="AF52" s="432">
        <f t="shared" si="1"/>
        <v>0</v>
      </c>
    </row>
    <row r="53" spans="2:32" x14ac:dyDescent="0.35">
      <c r="B53" s="432" t="e">
        <f>"2024"&amp;MATCH(Totals!D53,OrgType,0)&amp;"_"&amp;MATCH(Totals!E53,Organisations,0)&amp;"_"&amp;LEFT(Totals!F53,1)&amp;"_"&amp;LEFT(G53,1)&amp;"_"&amp;COUNTIF($G$3:G53,G53)</f>
        <v>#N/A</v>
      </c>
      <c r="C53" s="432">
        <v>2024</v>
      </c>
      <c r="D53" s="432">
        <f>Introduction!$D$7</f>
        <v>0</v>
      </c>
      <c r="E53" s="432">
        <f>Introduction!$D$8</f>
        <v>0</v>
      </c>
      <c r="F53" s="432" t="s">
        <v>110</v>
      </c>
      <c r="G53" s="432" t="s">
        <v>110</v>
      </c>
      <c r="H53" s="432">
        <f>'Buildings &amp; stationary assets'!B57</f>
        <v>0</v>
      </c>
      <c r="I53" s="432">
        <f>'Buildings &amp; stationary assets'!C57</f>
        <v>0</v>
      </c>
      <c r="J53" s="432">
        <f>'Buildings &amp; stationary assets'!D57</f>
        <v>0</v>
      </c>
      <c r="K53" s="432">
        <f>'Buildings &amp; stationary assets'!E57</f>
        <v>0</v>
      </c>
      <c r="L53" s="432">
        <f>'Buildings &amp; stationary assets'!F57</f>
        <v>0</v>
      </c>
      <c r="M53" s="432" t="str">
        <f>'Buildings &amp; stationary assets'!G57</f>
        <v/>
      </c>
      <c r="N53" s="432">
        <f>'Buildings &amp; stationary assets'!H57</f>
        <v>0</v>
      </c>
      <c r="O53" s="432">
        <f>'Buildings &amp; stationary assets'!I57</f>
        <v>0</v>
      </c>
      <c r="P53" s="432" t="str">
        <f>'Buildings &amp; stationary assets'!J57</f>
        <v/>
      </c>
      <c r="Q53" s="432" t="str">
        <f>'Buildings &amp; stationary assets'!K57</f>
        <v/>
      </c>
      <c r="R53" s="432" t="str">
        <f>'Buildings &amp; stationary assets'!L57</f>
        <v/>
      </c>
      <c r="S53" s="432" t="str">
        <f>'Buildings &amp; stationary assets'!M57</f>
        <v/>
      </c>
      <c r="T53" s="432">
        <f>'Buildings &amp; stationary assets'!N57</f>
        <v>0</v>
      </c>
      <c r="U53" s="432">
        <f>'Buildings &amp; stationary assets'!O57</f>
        <v>0</v>
      </c>
      <c r="V53" s="432" t="str">
        <f>'Buildings &amp; stationary assets'!P57</f>
        <v/>
      </c>
      <c r="W53" s="432" t="str">
        <f>'Buildings &amp; stationary assets'!Q57</f>
        <v/>
      </c>
      <c r="X53" s="432" t="str">
        <f>'Buildings &amp; stationary assets'!R57</f>
        <v/>
      </c>
      <c r="Y53" s="432" t="str">
        <f>'Buildings &amp; stationary assets'!S57</f>
        <v/>
      </c>
      <c r="Z53" s="432" t="str">
        <f>'Buildings &amp; stationary assets'!T57</f>
        <v/>
      </c>
      <c r="AA53" s="432" t="str">
        <f>'Buildings &amp; stationary assets'!U57</f>
        <v/>
      </c>
      <c r="AB53" s="432" t="str">
        <f>'Buildings &amp; stationary assets'!V57</f>
        <v/>
      </c>
      <c r="AC53" s="432" t="str">
        <f>'Buildings &amp; stationary assets'!W57</f>
        <v/>
      </c>
      <c r="AE53" s="432">
        <f t="shared" si="0"/>
        <v>0</v>
      </c>
      <c r="AF53" s="432">
        <f t="shared" si="1"/>
        <v>0</v>
      </c>
    </row>
    <row r="54" spans="2:32" x14ac:dyDescent="0.35">
      <c r="B54" s="432" t="e">
        <f>"2024"&amp;MATCH(Totals!D54,OrgType,0)&amp;"_"&amp;MATCH(Totals!E54,Organisations,0)&amp;"_"&amp;LEFT(Totals!F54,1)&amp;"_"&amp;LEFT(G54,1)&amp;"_"&amp;COUNTIF($G$3:G54,G54)</f>
        <v>#N/A</v>
      </c>
      <c r="C54" s="432">
        <v>2024</v>
      </c>
      <c r="D54" s="432">
        <f>Introduction!$D$7</f>
        <v>0</v>
      </c>
      <c r="E54" s="432">
        <f>Introduction!$D$8</f>
        <v>0</v>
      </c>
      <c r="F54" s="432" t="s">
        <v>110</v>
      </c>
      <c r="G54" s="432" t="s">
        <v>110</v>
      </c>
      <c r="H54" s="432">
        <f>'Buildings &amp; stationary assets'!B58</f>
        <v>0</v>
      </c>
      <c r="I54" s="432">
        <f>'Buildings &amp; stationary assets'!C58</f>
        <v>0</v>
      </c>
      <c r="J54" s="432">
        <f>'Buildings &amp; stationary assets'!D58</f>
        <v>0</v>
      </c>
      <c r="K54" s="432">
        <f>'Buildings &amp; stationary assets'!E58</f>
        <v>0</v>
      </c>
      <c r="L54" s="432">
        <f>'Buildings &amp; stationary assets'!F58</f>
        <v>0</v>
      </c>
      <c r="M54" s="432" t="str">
        <f>'Buildings &amp; stationary assets'!G58</f>
        <v/>
      </c>
      <c r="N54" s="432">
        <f>'Buildings &amp; stationary assets'!H58</f>
        <v>0</v>
      </c>
      <c r="O54" s="432">
        <f>'Buildings &amp; stationary assets'!I58</f>
        <v>0</v>
      </c>
      <c r="P54" s="432" t="str">
        <f>'Buildings &amp; stationary assets'!J58</f>
        <v/>
      </c>
      <c r="Q54" s="432" t="str">
        <f>'Buildings &amp; stationary assets'!K58</f>
        <v/>
      </c>
      <c r="R54" s="432" t="str">
        <f>'Buildings &amp; stationary assets'!L58</f>
        <v/>
      </c>
      <c r="S54" s="432" t="str">
        <f>'Buildings &amp; stationary assets'!M58</f>
        <v/>
      </c>
      <c r="T54" s="432">
        <f>'Buildings &amp; stationary assets'!N58</f>
        <v>0</v>
      </c>
      <c r="U54" s="432">
        <f>'Buildings &amp; stationary assets'!O58</f>
        <v>0</v>
      </c>
      <c r="V54" s="432" t="str">
        <f>'Buildings &amp; stationary assets'!P58</f>
        <v/>
      </c>
      <c r="W54" s="432" t="str">
        <f>'Buildings &amp; stationary assets'!Q58</f>
        <v/>
      </c>
      <c r="X54" s="432" t="str">
        <f>'Buildings &amp; stationary assets'!R58</f>
        <v/>
      </c>
      <c r="Y54" s="432" t="str">
        <f>'Buildings &amp; stationary assets'!S58</f>
        <v/>
      </c>
      <c r="Z54" s="432" t="str">
        <f>'Buildings &amp; stationary assets'!T58</f>
        <v/>
      </c>
      <c r="AA54" s="432" t="str">
        <f>'Buildings &amp; stationary assets'!U58</f>
        <v/>
      </c>
      <c r="AB54" s="432" t="str">
        <f>'Buildings &amp; stationary assets'!V58</f>
        <v/>
      </c>
      <c r="AC54" s="432" t="str">
        <f>'Buildings &amp; stationary assets'!W58</f>
        <v/>
      </c>
      <c r="AE54" s="432">
        <f t="shared" si="0"/>
        <v>0</v>
      </c>
      <c r="AF54" s="432">
        <f t="shared" si="1"/>
        <v>0</v>
      </c>
    </row>
    <row r="55" spans="2:32" x14ac:dyDescent="0.35">
      <c r="B55" s="432" t="e">
        <f>"2024"&amp;MATCH(Totals!D55,OrgType,0)&amp;"_"&amp;MATCH(Totals!E55,Organisations,0)&amp;"_"&amp;LEFT(Totals!F55,1)&amp;"_"&amp;LEFT(G55,1)&amp;"_"&amp;COUNTIF($G$3:G55,G55)</f>
        <v>#N/A</v>
      </c>
      <c r="C55" s="432">
        <v>2024</v>
      </c>
      <c r="D55" s="432">
        <f>Introduction!$D$7</f>
        <v>0</v>
      </c>
      <c r="E55" s="432">
        <f>Introduction!$D$8</f>
        <v>0</v>
      </c>
      <c r="F55" s="432" t="s">
        <v>110</v>
      </c>
      <c r="G55" s="432" t="s">
        <v>110</v>
      </c>
      <c r="H55" s="432">
        <f>'Buildings &amp; stationary assets'!B59</f>
        <v>0</v>
      </c>
      <c r="I55" s="432">
        <f>'Buildings &amp; stationary assets'!C59</f>
        <v>0</v>
      </c>
      <c r="J55" s="432">
        <f>'Buildings &amp; stationary assets'!D59</f>
        <v>0</v>
      </c>
      <c r="K55" s="432">
        <f>'Buildings &amp; stationary assets'!E59</f>
        <v>0</v>
      </c>
      <c r="L55" s="432">
        <f>'Buildings &amp; stationary assets'!F59</f>
        <v>0</v>
      </c>
      <c r="M55" s="432" t="str">
        <f>'Buildings &amp; stationary assets'!G59</f>
        <v/>
      </c>
      <c r="N55" s="432">
        <f>'Buildings &amp; stationary assets'!H59</f>
        <v>0</v>
      </c>
      <c r="O55" s="432">
        <f>'Buildings &amp; stationary assets'!I59</f>
        <v>0</v>
      </c>
      <c r="P55" s="432" t="str">
        <f>'Buildings &amp; stationary assets'!J59</f>
        <v/>
      </c>
      <c r="Q55" s="432" t="str">
        <f>'Buildings &amp; stationary assets'!K59</f>
        <v/>
      </c>
      <c r="R55" s="432" t="str">
        <f>'Buildings &amp; stationary assets'!L59</f>
        <v/>
      </c>
      <c r="S55" s="432" t="str">
        <f>'Buildings &amp; stationary assets'!M59</f>
        <v/>
      </c>
      <c r="T55" s="432">
        <f>'Buildings &amp; stationary assets'!N59</f>
        <v>0</v>
      </c>
      <c r="U55" s="432">
        <f>'Buildings &amp; stationary assets'!O59</f>
        <v>0</v>
      </c>
      <c r="V55" s="432" t="str">
        <f>'Buildings &amp; stationary assets'!P59</f>
        <v/>
      </c>
      <c r="W55" s="432" t="str">
        <f>'Buildings &amp; stationary assets'!Q59</f>
        <v/>
      </c>
      <c r="X55" s="432" t="str">
        <f>'Buildings &amp; stationary assets'!R59</f>
        <v/>
      </c>
      <c r="Y55" s="432" t="str">
        <f>'Buildings &amp; stationary assets'!S59</f>
        <v/>
      </c>
      <c r="Z55" s="432" t="str">
        <f>'Buildings &amp; stationary assets'!T59</f>
        <v/>
      </c>
      <c r="AA55" s="432" t="str">
        <f>'Buildings &amp; stationary assets'!U59</f>
        <v/>
      </c>
      <c r="AB55" s="432" t="str">
        <f>'Buildings &amp; stationary assets'!V59</f>
        <v/>
      </c>
      <c r="AC55" s="432" t="str">
        <f>'Buildings &amp; stationary assets'!W59</f>
        <v/>
      </c>
      <c r="AE55" s="432">
        <f t="shared" si="0"/>
        <v>0</v>
      </c>
      <c r="AF55" s="432">
        <f t="shared" si="1"/>
        <v>0</v>
      </c>
    </row>
    <row r="56" spans="2:32" x14ac:dyDescent="0.35">
      <c r="B56" s="432" t="e">
        <f>"2024"&amp;MATCH(Totals!D56,OrgType,0)&amp;"_"&amp;MATCH(Totals!E56,Organisations,0)&amp;"_"&amp;LEFT(Totals!F56,1)&amp;"_"&amp;LEFT(G56,1)&amp;"_"&amp;COUNTIF($G$3:G56,G56)</f>
        <v>#N/A</v>
      </c>
      <c r="C56" s="432">
        <v>2024</v>
      </c>
      <c r="D56" s="432">
        <f>Introduction!$D$7</f>
        <v>0</v>
      </c>
      <c r="E56" s="432">
        <f>Introduction!$D$8</f>
        <v>0</v>
      </c>
      <c r="F56" s="432" t="s">
        <v>110</v>
      </c>
      <c r="G56" s="432" t="s">
        <v>110</v>
      </c>
      <c r="H56" s="432">
        <f>'Buildings &amp; stationary assets'!B60</f>
        <v>0</v>
      </c>
      <c r="I56" s="432">
        <f>'Buildings &amp; stationary assets'!C60</f>
        <v>0</v>
      </c>
      <c r="J56" s="432">
        <f>'Buildings &amp; stationary assets'!D60</f>
        <v>0</v>
      </c>
      <c r="K56" s="432">
        <f>'Buildings &amp; stationary assets'!E60</f>
        <v>0</v>
      </c>
      <c r="L56" s="432">
        <f>'Buildings &amp; stationary assets'!F60</f>
        <v>0</v>
      </c>
      <c r="M56" s="432" t="str">
        <f>'Buildings &amp; stationary assets'!G60</f>
        <v/>
      </c>
      <c r="N56" s="432">
        <f>'Buildings &amp; stationary assets'!H60</f>
        <v>0</v>
      </c>
      <c r="O56" s="432">
        <f>'Buildings &amp; stationary assets'!I60</f>
        <v>0</v>
      </c>
      <c r="P56" s="432" t="str">
        <f>'Buildings &amp; stationary assets'!J60</f>
        <v/>
      </c>
      <c r="Q56" s="432" t="str">
        <f>'Buildings &amp; stationary assets'!K60</f>
        <v/>
      </c>
      <c r="R56" s="432" t="str">
        <f>'Buildings &amp; stationary assets'!L60</f>
        <v/>
      </c>
      <c r="S56" s="432" t="str">
        <f>'Buildings &amp; stationary assets'!M60</f>
        <v/>
      </c>
      <c r="T56" s="432">
        <f>'Buildings &amp; stationary assets'!N60</f>
        <v>0</v>
      </c>
      <c r="U56" s="432">
        <f>'Buildings &amp; stationary assets'!O60</f>
        <v>0</v>
      </c>
      <c r="V56" s="432" t="str">
        <f>'Buildings &amp; stationary assets'!P60</f>
        <v/>
      </c>
      <c r="W56" s="432" t="str">
        <f>'Buildings &amp; stationary assets'!Q60</f>
        <v/>
      </c>
      <c r="X56" s="432" t="str">
        <f>'Buildings &amp; stationary assets'!R60</f>
        <v/>
      </c>
      <c r="Y56" s="432" t="str">
        <f>'Buildings &amp; stationary assets'!S60</f>
        <v/>
      </c>
      <c r="Z56" s="432" t="str">
        <f>'Buildings &amp; stationary assets'!T60</f>
        <v/>
      </c>
      <c r="AA56" s="432" t="str">
        <f>'Buildings &amp; stationary assets'!U60</f>
        <v/>
      </c>
      <c r="AB56" s="432" t="str">
        <f>'Buildings &amp; stationary assets'!V60</f>
        <v/>
      </c>
      <c r="AC56" s="432" t="str">
        <f>'Buildings &amp; stationary assets'!W60</f>
        <v/>
      </c>
      <c r="AE56" s="432">
        <f t="shared" si="0"/>
        <v>0</v>
      </c>
      <c r="AF56" s="432">
        <f t="shared" si="1"/>
        <v>0</v>
      </c>
    </row>
    <row r="57" spans="2:32" x14ac:dyDescent="0.35">
      <c r="B57" s="432" t="e">
        <f>"2024"&amp;MATCH(Totals!D57,OrgType,0)&amp;"_"&amp;MATCH(Totals!E57,Organisations,0)&amp;"_"&amp;LEFT(Totals!F57,1)&amp;"_"&amp;LEFT(G57,1)&amp;"_"&amp;COUNTIF($G$3:G57,G57)</f>
        <v>#N/A</v>
      </c>
      <c r="C57" s="432">
        <v>2024</v>
      </c>
      <c r="D57" s="432">
        <f>Introduction!$D$7</f>
        <v>0</v>
      </c>
      <c r="E57" s="432">
        <f>Introduction!$D$8</f>
        <v>0</v>
      </c>
      <c r="F57" s="432" t="s">
        <v>110</v>
      </c>
      <c r="G57" s="432" t="s">
        <v>110</v>
      </c>
      <c r="H57" s="432">
        <f>'Buildings &amp; stationary assets'!B61</f>
        <v>0</v>
      </c>
      <c r="I57" s="432">
        <f>'Buildings &amp; stationary assets'!C61</f>
        <v>0</v>
      </c>
      <c r="J57" s="432">
        <f>'Buildings &amp; stationary assets'!D61</f>
        <v>0</v>
      </c>
      <c r="K57" s="432">
        <f>'Buildings &amp; stationary assets'!E61</f>
        <v>0</v>
      </c>
      <c r="L57" s="432">
        <f>'Buildings &amp; stationary assets'!F61</f>
        <v>0</v>
      </c>
      <c r="M57" s="432" t="str">
        <f>'Buildings &amp; stationary assets'!G61</f>
        <v/>
      </c>
      <c r="N57" s="432">
        <f>'Buildings &amp; stationary assets'!H61</f>
        <v>0</v>
      </c>
      <c r="O57" s="432">
        <f>'Buildings &amp; stationary assets'!I61</f>
        <v>0</v>
      </c>
      <c r="P57" s="432" t="str">
        <f>'Buildings &amp; stationary assets'!J61</f>
        <v/>
      </c>
      <c r="Q57" s="432" t="str">
        <f>'Buildings &amp; stationary assets'!K61</f>
        <v/>
      </c>
      <c r="R57" s="432" t="str">
        <f>'Buildings &amp; stationary assets'!L61</f>
        <v/>
      </c>
      <c r="S57" s="432" t="str">
        <f>'Buildings &amp; stationary assets'!M61</f>
        <v/>
      </c>
      <c r="T57" s="432">
        <f>'Buildings &amp; stationary assets'!N61</f>
        <v>0</v>
      </c>
      <c r="U57" s="432">
        <f>'Buildings &amp; stationary assets'!O61</f>
        <v>0</v>
      </c>
      <c r="V57" s="432" t="str">
        <f>'Buildings &amp; stationary assets'!P61</f>
        <v/>
      </c>
      <c r="W57" s="432" t="str">
        <f>'Buildings &amp; stationary assets'!Q61</f>
        <v/>
      </c>
      <c r="X57" s="432" t="str">
        <f>'Buildings &amp; stationary assets'!R61</f>
        <v/>
      </c>
      <c r="Y57" s="432" t="str">
        <f>'Buildings &amp; stationary assets'!S61</f>
        <v/>
      </c>
      <c r="Z57" s="432" t="str">
        <f>'Buildings &amp; stationary assets'!T61</f>
        <v/>
      </c>
      <c r="AA57" s="432" t="str">
        <f>'Buildings &amp; stationary assets'!U61</f>
        <v/>
      </c>
      <c r="AB57" s="432" t="str">
        <f>'Buildings &amp; stationary assets'!V61</f>
        <v/>
      </c>
      <c r="AC57" s="432" t="str">
        <f>'Buildings &amp; stationary assets'!W61</f>
        <v/>
      </c>
      <c r="AE57" s="432">
        <f t="shared" si="0"/>
        <v>0</v>
      </c>
      <c r="AF57" s="432">
        <f t="shared" si="1"/>
        <v>0</v>
      </c>
    </row>
    <row r="58" spans="2:32" x14ac:dyDescent="0.35">
      <c r="B58" s="432" t="e">
        <f>"2024"&amp;MATCH(Totals!D58,OrgType,0)&amp;"_"&amp;MATCH(Totals!E58,Organisations,0)&amp;"_"&amp;LEFT(Totals!F58,1)&amp;"_"&amp;LEFT(G58,1)&amp;"_"&amp;COUNTIF($G$3:G58,G58)</f>
        <v>#N/A</v>
      </c>
      <c r="C58" s="432">
        <v>2024</v>
      </c>
      <c r="D58" s="432">
        <f>Introduction!$D$7</f>
        <v>0</v>
      </c>
      <c r="E58" s="432">
        <f>Introduction!$D$8</f>
        <v>0</v>
      </c>
      <c r="F58" s="432" t="s">
        <v>110</v>
      </c>
      <c r="G58" s="432" t="s">
        <v>110</v>
      </c>
      <c r="H58" s="432">
        <f>'Buildings &amp; stationary assets'!B62</f>
        <v>0</v>
      </c>
      <c r="I58" s="432">
        <f>'Buildings &amp; stationary assets'!C62</f>
        <v>0</v>
      </c>
      <c r="J58" s="432">
        <f>'Buildings &amp; stationary assets'!D62</f>
        <v>0</v>
      </c>
      <c r="K58" s="432">
        <f>'Buildings &amp; stationary assets'!E62</f>
        <v>0</v>
      </c>
      <c r="L58" s="432">
        <f>'Buildings &amp; stationary assets'!F62</f>
        <v>0</v>
      </c>
      <c r="M58" s="432" t="str">
        <f>'Buildings &amp; stationary assets'!G62</f>
        <v/>
      </c>
      <c r="N58" s="432">
        <f>'Buildings &amp; stationary assets'!H62</f>
        <v>0</v>
      </c>
      <c r="O58" s="432">
        <f>'Buildings &amp; stationary assets'!I62</f>
        <v>0</v>
      </c>
      <c r="P58" s="432" t="str">
        <f>'Buildings &amp; stationary assets'!J62</f>
        <v/>
      </c>
      <c r="Q58" s="432" t="str">
        <f>'Buildings &amp; stationary assets'!K62</f>
        <v/>
      </c>
      <c r="R58" s="432" t="str">
        <f>'Buildings &amp; stationary assets'!L62</f>
        <v/>
      </c>
      <c r="S58" s="432" t="str">
        <f>'Buildings &amp; stationary assets'!M62</f>
        <v/>
      </c>
      <c r="T58" s="432">
        <f>'Buildings &amp; stationary assets'!N62</f>
        <v>0</v>
      </c>
      <c r="U58" s="432">
        <f>'Buildings &amp; stationary assets'!O62</f>
        <v>0</v>
      </c>
      <c r="V58" s="432" t="str">
        <f>'Buildings &amp; stationary assets'!P62</f>
        <v/>
      </c>
      <c r="W58" s="432" t="str">
        <f>'Buildings &amp; stationary assets'!Q62</f>
        <v/>
      </c>
      <c r="X58" s="432" t="str">
        <f>'Buildings &amp; stationary assets'!R62</f>
        <v/>
      </c>
      <c r="Y58" s="432" t="str">
        <f>'Buildings &amp; stationary assets'!S62</f>
        <v/>
      </c>
      <c r="Z58" s="432" t="str">
        <f>'Buildings &amp; stationary assets'!T62</f>
        <v/>
      </c>
      <c r="AA58" s="432" t="str">
        <f>'Buildings &amp; stationary assets'!U62</f>
        <v/>
      </c>
      <c r="AB58" s="432" t="str">
        <f>'Buildings &amp; stationary assets'!V62</f>
        <v/>
      </c>
      <c r="AC58" s="432" t="str">
        <f>'Buildings &amp; stationary assets'!W62</f>
        <v/>
      </c>
      <c r="AE58" s="432">
        <f t="shared" si="0"/>
        <v>0</v>
      </c>
      <c r="AF58" s="432">
        <f t="shared" si="1"/>
        <v>0</v>
      </c>
    </row>
    <row r="59" spans="2:32" x14ac:dyDescent="0.35">
      <c r="B59" s="432" t="e">
        <f>"2024"&amp;MATCH(Totals!D59,OrgType,0)&amp;"_"&amp;MATCH(Totals!E59,Organisations,0)&amp;"_"&amp;LEFT(Totals!F59,1)&amp;"_"&amp;LEFT(G59,1)&amp;"_"&amp;COUNTIF($G$3:G59,G59)</f>
        <v>#N/A</v>
      </c>
      <c r="C59" s="432">
        <v>2024</v>
      </c>
      <c r="D59" s="432">
        <f>Introduction!$D$7</f>
        <v>0</v>
      </c>
      <c r="E59" s="432">
        <f>Introduction!$D$8</f>
        <v>0</v>
      </c>
      <c r="F59" s="432" t="s">
        <v>110</v>
      </c>
      <c r="G59" s="432" t="s">
        <v>110</v>
      </c>
      <c r="H59" s="432">
        <f>'Buildings &amp; stationary assets'!B63</f>
        <v>0</v>
      </c>
      <c r="I59" s="432">
        <f>'Buildings &amp; stationary assets'!C63</f>
        <v>0</v>
      </c>
      <c r="J59" s="432">
        <f>'Buildings &amp; stationary assets'!D63</f>
        <v>0</v>
      </c>
      <c r="K59" s="432">
        <f>'Buildings &amp; stationary assets'!E63</f>
        <v>0</v>
      </c>
      <c r="L59" s="432">
        <f>'Buildings &amp; stationary assets'!F63</f>
        <v>0</v>
      </c>
      <c r="M59" s="432" t="str">
        <f>'Buildings &amp; stationary assets'!G63</f>
        <v/>
      </c>
      <c r="N59" s="432">
        <f>'Buildings &amp; stationary assets'!H63</f>
        <v>0</v>
      </c>
      <c r="O59" s="432">
        <f>'Buildings &amp; stationary assets'!I63</f>
        <v>0</v>
      </c>
      <c r="P59" s="432" t="str">
        <f>'Buildings &amp; stationary assets'!J63</f>
        <v/>
      </c>
      <c r="Q59" s="432" t="str">
        <f>'Buildings &amp; stationary assets'!K63</f>
        <v/>
      </c>
      <c r="R59" s="432" t="str">
        <f>'Buildings &amp; stationary assets'!L63</f>
        <v/>
      </c>
      <c r="S59" s="432" t="str">
        <f>'Buildings &amp; stationary assets'!M63</f>
        <v/>
      </c>
      <c r="T59" s="432">
        <f>'Buildings &amp; stationary assets'!N63</f>
        <v>0</v>
      </c>
      <c r="U59" s="432">
        <f>'Buildings &amp; stationary assets'!O63</f>
        <v>0</v>
      </c>
      <c r="V59" s="432" t="str">
        <f>'Buildings &amp; stationary assets'!P63</f>
        <v/>
      </c>
      <c r="W59" s="432" t="str">
        <f>'Buildings &amp; stationary assets'!Q63</f>
        <v/>
      </c>
      <c r="X59" s="432" t="str">
        <f>'Buildings &amp; stationary assets'!R63</f>
        <v/>
      </c>
      <c r="Y59" s="432" t="str">
        <f>'Buildings &amp; stationary assets'!S63</f>
        <v/>
      </c>
      <c r="Z59" s="432" t="str">
        <f>'Buildings &amp; stationary assets'!T63</f>
        <v/>
      </c>
      <c r="AA59" s="432" t="str">
        <f>'Buildings &amp; stationary assets'!U63</f>
        <v/>
      </c>
      <c r="AB59" s="432" t="str">
        <f>'Buildings &amp; stationary assets'!V63</f>
        <v/>
      </c>
      <c r="AC59" s="432" t="str">
        <f>'Buildings &amp; stationary assets'!W63</f>
        <v/>
      </c>
      <c r="AE59" s="432">
        <f t="shared" si="0"/>
        <v>0</v>
      </c>
      <c r="AF59" s="432">
        <f t="shared" si="1"/>
        <v>0</v>
      </c>
    </row>
    <row r="60" spans="2:32" x14ac:dyDescent="0.35">
      <c r="B60" s="432" t="e">
        <f>"2024"&amp;MATCH(Totals!D60,OrgType,0)&amp;"_"&amp;MATCH(Totals!E60,Organisations,0)&amp;"_"&amp;LEFT(Totals!F60,1)&amp;"_"&amp;LEFT(G60,1)&amp;"_"&amp;COUNTIF($G$3:G60,G60)</f>
        <v>#N/A</v>
      </c>
      <c r="C60" s="432">
        <v>2024</v>
      </c>
      <c r="D60" s="432">
        <f>Introduction!$D$7</f>
        <v>0</v>
      </c>
      <c r="E60" s="432">
        <f>Introduction!$D$8</f>
        <v>0</v>
      </c>
      <c r="F60" s="432" t="s">
        <v>110</v>
      </c>
      <c r="G60" s="432" t="s">
        <v>110</v>
      </c>
      <c r="H60" s="432">
        <f>'Buildings &amp; stationary assets'!B64</f>
        <v>0</v>
      </c>
      <c r="I60" s="432">
        <f>'Buildings &amp; stationary assets'!C64</f>
        <v>0</v>
      </c>
      <c r="J60" s="432">
        <f>'Buildings &amp; stationary assets'!D64</f>
        <v>0</v>
      </c>
      <c r="K60" s="432">
        <f>'Buildings &amp; stationary assets'!E64</f>
        <v>0</v>
      </c>
      <c r="L60" s="432">
        <f>'Buildings &amp; stationary assets'!F64</f>
        <v>0</v>
      </c>
      <c r="M60" s="432" t="str">
        <f>'Buildings &amp; stationary assets'!G64</f>
        <v/>
      </c>
      <c r="N60" s="432">
        <f>'Buildings &amp; stationary assets'!H64</f>
        <v>0</v>
      </c>
      <c r="O60" s="432">
        <f>'Buildings &amp; stationary assets'!I64</f>
        <v>0</v>
      </c>
      <c r="P60" s="432" t="str">
        <f>'Buildings &amp; stationary assets'!J64</f>
        <v/>
      </c>
      <c r="Q60" s="432" t="str">
        <f>'Buildings &amp; stationary assets'!K64</f>
        <v/>
      </c>
      <c r="R60" s="432" t="str">
        <f>'Buildings &amp; stationary assets'!L64</f>
        <v/>
      </c>
      <c r="S60" s="432" t="str">
        <f>'Buildings &amp; stationary assets'!M64</f>
        <v/>
      </c>
      <c r="T60" s="432">
        <f>'Buildings &amp; stationary assets'!N64</f>
        <v>0</v>
      </c>
      <c r="U60" s="432">
        <f>'Buildings &amp; stationary assets'!O64</f>
        <v>0</v>
      </c>
      <c r="V60" s="432" t="str">
        <f>'Buildings &amp; stationary assets'!P64</f>
        <v/>
      </c>
      <c r="W60" s="432" t="str">
        <f>'Buildings &amp; stationary assets'!Q64</f>
        <v/>
      </c>
      <c r="X60" s="432" t="str">
        <f>'Buildings &amp; stationary assets'!R64</f>
        <v/>
      </c>
      <c r="Y60" s="432" t="str">
        <f>'Buildings &amp; stationary assets'!S64</f>
        <v/>
      </c>
      <c r="Z60" s="432" t="str">
        <f>'Buildings &amp; stationary assets'!T64</f>
        <v/>
      </c>
      <c r="AA60" s="432" t="str">
        <f>'Buildings &amp; stationary assets'!U64</f>
        <v/>
      </c>
      <c r="AB60" s="432" t="str">
        <f>'Buildings &amp; stationary assets'!V64</f>
        <v/>
      </c>
      <c r="AC60" s="432" t="str">
        <f>'Buildings &amp; stationary assets'!W64</f>
        <v/>
      </c>
      <c r="AE60" s="432">
        <f t="shared" si="0"/>
        <v>0</v>
      </c>
      <c r="AF60" s="432">
        <f t="shared" si="1"/>
        <v>0</v>
      </c>
    </row>
    <row r="61" spans="2:32" x14ac:dyDescent="0.35">
      <c r="B61" s="432" t="e">
        <f>"2024"&amp;MATCH(Totals!D61,OrgType,0)&amp;"_"&amp;MATCH(Totals!E61,Organisations,0)&amp;"_"&amp;LEFT(Totals!F61,1)&amp;"_"&amp;LEFT(G61,1)&amp;"_"&amp;COUNTIF($G$3:G61,G61)</f>
        <v>#N/A</v>
      </c>
      <c r="C61" s="432">
        <v>2024</v>
      </c>
      <c r="D61" s="432">
        <f>Introduction!$D$7</f>
        <v>0</v>
      </c>
      <c r="E61" s="432">
        <f>Introduction!$D$8</f>
        <v>0</v>
      </c>
      <c r="F61" s="432" t="s">
        <v>110</v>
      </c>
      <c r="G61" s="432" t="s">
        <v>110</v>
      </c>
      <c r="H61" s="432">
        <f>'Buildings &amp; stationary assets'!B65</f>
        <v>0</v>
      </c>
      <c r="I61" s="432">
        <f>'Buildings &amp; stationary assets'!C65</f>
        <v>0</v>
      </c>
      <c r="J61" s="432">
        <f>'Buildings &amp; stationary assets'!D65</f>
        <v>0</v>
      </c>
      <c r="K61" s="432">
        <f>'Buildings &amp; stationary assets'!E65</f>
        <v>0</v>
      </c>
      <c r="L61" s="432">
        <f>'Buildings &amp; stationary assets'!F65</f>
        <v>0</v>
      </c>
      <c r="M61" s="432" t="str">
        <f>'Buildings &amp; stationary assets'!G65</f>
        <v/>
      </c>
      <c r="N61" s="432">
        <f>'Buildings &amp; stationary assets'!H65</f>
        <v>0</v>
      </c>
      <c r="O61" s="432">
        <f>'Buildings &amp; stationary assets'!I65</f>
        <v>0</v>
      </c>
      <c r="P61" s="432" t="str">
        <f>'Buildings &amp; stationary assets'!J65</f>
        <v/>
      </c>
      <c r="Q61" s="432" t="str">
        <f>'Buildings &amp; stationary assets'!K65</f>
        <v/>
      </c>
      <c r="R61" s="432" t="str">
        <f>'Buildings &amp; stationary assets'!L65</f>
        <v/>
      </c>
      <c r="S61" s="432" t="str">
        <f>'Buildings &amp; stationary assets'!M65</f>
        <v/>
      </c>
      <c r="T61" s="432">
        <f>'Buildings &amp; stationary assets'!N65</f>
        <v>0</v>
      </c>
      <c r="U61" s="432">
        <f>'Buildings &amp; stationary assets'!O65</f>
        <v>0</v>
      </c>
      <c r="V61" s="432" t="str">
        <f>'Buildings &amp; stationary assets'!P65</f>
        <v/>
      </c>
      <c r="W61" s="432" t="str">
        <f>'Buildings &amp; stationary assets'!Q65</f>
        <v/>
      </c>
      <c r="X61" s="432" t="str">
        <f>'Buildings &amp; stationary assets'!R65</f>
        <v/>
      </c>
      <c r="Y61" s="432" t="str">
        <f>'Buildings &amp; stationary assets'!S65</f>
        <v/>
      </c>
      <c r="Z61" s="432" t="str">
        <f>'Buildings &amp; stationary assets'!T65</f>
        <v/>
      </c>
      <c r="AA61" s="432" t="str">
        <f>'Buildings &amp; stationary assets'!U65</f>
        <v/>
      </c>
      <c r="AB61" s="432" t="str">
        <f>'Buildings &amp; stationary assets'!V65</f>
        <v/>
      </c>
      <c r="AC61" s="432" t="str">
        <f>'Buildings &amp; stationary assets'!W65</f>
        <v/>
      </c>
      <c r="AE61" s="432">
        <f t="shared" si="0"/>
        <v>0</v>
      </c>
      <c r="AF61" s="432">
        <f t="shared" si="1"/>
        <v>0</v>
      </c>
    </row>
    <row r="62" spans="2:32" x14ac:dyDescent="0.35">
      <c r="B62" s="432" t="e">
        <f>"2024"&amp;MATCH(Totals!D62,OrgType,0)&amp;"_"&amp;MATCH(Totals!E62,Organisations,0)&amp;"_"&amp;LEFT(Totals!F62,1)&amp;"_"&amp;LEFT(G62,1)&amp;"_"&amp;COUNTIF($G$3:G62,G62)</f>
        <v>#N/A</v>
      </c>
      <c r="C62" s="432">
        <v>2024</v>
      </c>
      <c r="D62" s="432">
        <f>Introduction!$D$7</f>
        <v>0</v>
      </c>
      <c r="E62" s="432">
        <f>Introduction!$D$8</f>
        <v>0</v>
      </c>
      <c r="F62" s="432" t="s">
        <v>110</v>
      </c>
      <c r="G62" s="432" t="s">
        <v>110</v>
      </c>
      <c r="H62" s="432">
        <f>'Buildings &amp; stationary assets'!B66</f>
        <v>0</v>
      </c>
      <c r="I62" s="432">
        <f>'Buildings &amp; stationary assets'!C66</f>
        <v>0</v>
      </c>
      <c r="J62" s="432">
        <f>'Buildings &amp; stationary assets'!D66</f>
        <v>0</v>
      </c>
      <c r="K62" s="432">
        <f>'Buildings &amp; stationary assets'!E66</f>
        <v>0</v>
      </c>
      <c r="L62" s="432">
        <f>'Buildings &amp; stationary assets'!F66</f>
        <v>0</v>
      </c>
      <c r="M62" s="432" t="str">
        <f>'Buildings &amp; stationary assets'!G66</f>
        <v/>
      </c>
      <c r="N62" s="432">
        <f>'Buildings &amp; stationary assets'!H66</f>
        <v>0</v>
      </c>
      <c r="O62" s="432">
        <f>'Buildings &amp; stationary assets'!I66</f>
        <v>0</v>
      </c>
      <c r="P62" s="432" t="str">
        <f>'Buildings &amp; stationary assets'!J66</f>
        <v/>
      </c>
      <c r="Q62" s="432" t="str">
        <f>'Buildings &amp; stationary assets'!K66</f>
        <v/>
      </c>
      <c r="R62" s="432" t="str">
        <f>'Buildings &amp; stationary assets'!L66</f>
        <v/>
      </c>
      <c r="S62" s="432" t="str">
        <f>'Buildings &amp; stationary assets'!M66</f>
        <v/>
      </c>
      <c r="T62" s="432">
        <f>'Buildings &amp; stationary assets'!N66</f>
        <v>0</v>
      </c>
      <c r="U62" s="432">
        <f>'Buildings &amp; stationary assets'!O66</f>
        <v>0</v>
      </c>
      <c r="V62" s="432" t="str">
        <f>'Buildings &amp; stationary assets'!P66</f>
        <v/>
      </c>
      <c r="W62" s="432" t="str">
        <f>'Buildings &amp; stationary assets'!Q66</f>
        <v/>
      </c>
      <c r="X62" s="432" t="str">
        <f>'Buildings &amp; stationary assets'!R66</f>
        <v/>
      </c>
      <c r="Y62" s="432" t="str">
        <f>'Buildings &amp; stationary assets'!S66</f>
        <v/>
      </c>
      <c r="Z62" s="432" t="str">
        <f>'Buildings &amp; stationary assets'!T66</f>
        <v/>
      </c>
      <c r="AA62" s="432" t="str">
        <f>'Buildings &amp; stationary assets'!U66</f>
        <v/>
      </c>
      <c r="AB62" s="432" t="str">
        <f>'Buildings &amp; stationary assets'!V66</f>
        <v/>
      </c>
      <c r="AC62" s="432" t="str">
        <f>'Buildings &amp; stationary assets'!W66</f>
        <v/>
      </c>
      <c r="AE62" s="432">
        <f t="shared" si="0"/>
        <v>0</v>
      </c>
      <c r="AF62" s="432">
        <f t="shared" si="1"/>
        <v>0</v>
      </c>
    </row>
    <row r="63" spans="2:32" x14ac:dyDescent="0.35">
      <c r="B63" s="432" t="e">
        <f>"2024"&amp;MATCH(Totals!D63,OrgType,0)&amp;"_"&amp;MATCH(Totals!E63,Organisations,0)&amp;"_"&amp;LEFT(Totals!F63,1)&amp;"_"&amp;LEFT(G63,1)&amp;"_"&amp;COUNTIF($G$3:G63,G63)</f>
        <v>#N/A</v>
      </c>
      <c r="C63" s="432">
        <v>2024</v>
      </c>
      <c r="D63" s="432">
        <f>Introduction!$D$7</f>
        <v>0</v>
      </c>
      <c r="E63" s="432">
        <f>Introduction!$D$8</f>
        <v>0</v>
      </c>
      <c r="F63" s="432" t="s">
        <v>110</v>
      </c>
      <c r="G63" s="432" t="s">
        <v>110</v>
      </c>
      <c r="H63" s="432">
        <f>'Buildings &amp; stationary assets'!B67</f>
        <v>0</v>
      </c>
      <c r="I63" s="432">
        <f>'Buildings &amp; stationary assets'!C67</f>
        <v>0</v>
      </c>
      <c r="J63" s="432">
        <f>'Buildings &amp; stationary assets'!D67</f>
        <v>0</v>
      </c>
      <c r="K63" s="432">
        <f>'Buildings &amp; stationary assets'!E67</f>
        <v>0</v>
      </c>
      <c r="L63" s="432">
        <f>'Buildings &amp; stationary assets'!F67</f>
        <v>0</v>
      </c>
      <c r="M63" s="432" t="str">
        <f>'Buildings &amp; stationary assets'!G67</f>
        <v/>
      </c>
      <c r="N63" s="432">
        <f>'Buildings &amp; stationary assets'!H67</f>
        <v>0</v>
      </c>
      <c r="O63" s="432">
        <f>'Buildings &amp; stationary assets'!I67</f>
        <v>0</v>
      </c>
      <c r="P63" s="432" t="str">
        <f>'Buildings &amp; stationary assets'!J67</f>
        <v/>
      </c>
      <c r="Q63" s="432" t="str">
        <f>'Buildings &amp; stationary assets'!K67</f>
        <v/>
      </c>
      <c r="R63" s="432" t="str">
        <f>'Buildings &amp; stationary assets'!L67</f>
        <v/>
      </c>
      <c r="S63" s="432" t="str">
        <f>'Buildings &amp; stationary assets'!M67</f>
        <v/>
      </c>
      <c r="T63" s="432">
        <f>'Buildings &amp; stationary assets'!N67</f>
        <v>0</v>
      </c>
      <c r="U63" s="432">
        <f>'Buildings &amp; stationary assets'!O67</f>
        <v>0</v>
      </c>
      <c r="V63" s="432" t="str">
        <f>'Buildings &amp; stationary assets'!P67</f>
        <v/>
      </c>
      <c r="W63" s="432" t="str">
        <f>'Buildings &amp; stationary assets'!Q67</f>
        <v/>
      </c>
      <c r="X63" s="432" t="str">
        <f>'Buildings &amp; stationary assets'!R67</f>
        <v/>
      </c>
      <c r="Y63" s="432" t="str">
        <f>'Buildings &amp; stationary assets'!S67</f>
        <v/>
      </c>
      <c r="Z63" s="432" t="str">
        <f>'Buildings &amp; stationary assets'!T67</f>
        <v/>
      </c>
      <c r="AA63" s="432" t="str">
        <f>'Buildings &amp; stationary assets'!U67</f>
        <v/>
      </c>
      <c r="AB63" s="432" t="str">
        <f>'Buildings &amp; stationary assets'!V67</f>
        <v/>
      </c>
      <c r="AC63" s="432" t="str">
        <f>'Buildings &amp; stationary assets'!W67</f>
        <v/>
      </c>
      <c r="AE63" s="432">
        <f t="shared" si="0"/>
        <v>0</v>
      </c>
      <c r="AF63" s="432">
        <f t="shared" si="1"/>
        <v>0</v>
      </c>
    </row>
    <row r="64" spans="2:32" x14ac:dyDescent="0.35">
      <c r="B64" s="432" t="e">
        <f>"2024"&amp;MATCH(Totals!D64,OrgType,0)&amp;"_"&amp;MATCH(Totals!E64,Organisations,0)&amp;"_"&amp;LEFT(Totals!F64,1)&amp;"_"&amp;LEFT(G64,1)&amp;"_"&amp;COUNTIF($G$3:G64,G64)</f>
        <v>#N/A</v>
      </c>
      <c r="C64" s="432">
        <v>2024</v>
      </c>
      <c r="D64" s="432">
        <f>Introduction!$D$7</f>
        <v>0</v>
      </c>
      <c r="E64" s="432">
        <f>Introduction!$D$8</f>
        <v>0</v>
      </c>
      <c r="F64" s="432" t="s">
        <v>110</v>
      </c>
      <c r="G64" s="432" t="s">
        <v>110</v>
      </c>
      <c r="H64" s="432">
        <f>'Buildings &amp; stationary assets'!B68</f>
        <v>0</v>
      </c>
      <c r="I64" s="432">
        <f>'Buildings &amp; stationary assets'!C68</f>
        <v>0</v>
      </c>
      <c r="J64" s="432">
        <f>'Buildings &amp; stationary assets'!D68</f>
        <v>0</v>
      </c>
      <c r="K64" s="432">
        <f>'Buildings &amp; stationary assets'!E68</f>
        <v>0</v>
      </c>
      <c r="L64" s="432">
        <f>'Buildings &amp; stationary assets'!F68</f>
        <v>0</v>
      </c>
      <c r="M64" s="432" t="str">
        <f>'Buildings &amp; stationary assets'!G68</f>
        <v/>
      </c>
      <c r="N64" s="432">
        <f>'Buildings &amp; stationary assets'!H68</f>
        <v>0</v>
      </c>
      <c r="O64" s="432">
        <f>'Buildings &amp; stationary assets'!I68</f>
        <v>0</v>
      </c>
      <c r="P64" s="432" t="str">
        <f>'Buildings &amp; stationary assets'!J68</f>
        <v/>
      </c>
      <c r="Q64" s="432" t="str">
        <f>'Buildings &amp; stationary assets'!K68</f>
        <v/>
      </c>
      <c r="R64" s="432" t="str">
        <f>'Buildings &amp; stationary assets'!L68</f>
        <v/>
      </c>
      <c r="S64" s="432" t="str">
        <f>'Buildings &amp; stationary assets'!M68</f>
        <v/>
      </c>
      <c r="T64" s="432">
        <f>'Buildings &amp; stationary assets'!N68</f>
        <v>0</v>
      </c>
      <c r="U64" s="432">
        <f>'Buildings &amp; stationary assets'!O68</f>
        <v>0</v>
      </c>
      <c r="V64" s="432" t="str">
        <f>'Buildings &amp; stationary assets'!P68</f>
        <v/>
      </c>
      <c r="W64" s="432" t="str">
        <f>'Buildings &amp; stationary assets'!Q68</f>
        <v/>
      </c>
      <c r="X64" s="432" t="str">
        <f>'Buildings &amp; stationary assets'!R68</f>
        <v/>
      </c>
      <c r="Y64" s="432" t="str">
        <f>'Buildings &amp; stationary assets'!S68</f>
        <v/>
      </c>
      <c r="Z64" s="432" t="str">
        <f>'Buildings &amp; stationary assets'!T68</f>
        <v/>
      </c>
      <c r="AA64" s="432" t="str">
        <f>'Buildings &amp; stationary assets'!U68</f>
        <v/>
      </c>
      <c r="AB64" s="432" t="str">
        <f>'Buildings &amp; stationary assets'!V68</f>
        <v/>
      </c>
      <c r="AC64" s="432" t="str">
        <f>'Buildings &amp; stationary assets'!W68</f>
        <v/>
      </c>
      <c r="AE64" s="432">
        <f t="shared" si="0"/>
        <v>0</v>
      </c>
      <c r="AF64" s="432">
        <f t="shared" si="1"/>
        <v>0</v>
      </c>
    </row>
    <row r="65" spans="2:32" x14ac:dyDescent="0.35">
      <c r="B65" s="432" t="e">
        <f>"2024"&amp;MATCH(Totals!D65,OrgType,0)&amp;"_"&amp;MATCH(Totals!E65,Organisations,0)&amp;"_"&amp;LEFT(Totals!F65,1)&amp;"_"&amp;LEFT(G65,1)&amp;"_"&amp;COUNTIF($G$3:G65,G65)</f>
        <v>#N/A</v>
      </c>
      <c r="C65" s="432">
        <v>2024</v>
      </c>
      <c r="D65" s="432">
        <f>Introduction!$D$7</f>
        <v>0</v>
      </c>
      <c r="E65" s="432">
        <f>Introduction!$D$8</f>
        <v>0</v>
      </c>
      <c r="F65" s="432" t="s">
        <v>110</v>
      </c>
      <c r="G65" s="432" t="s">
        <v>110</v>
      </c>
      <c r="H65" s="432">
        <f>'Buildings &amp; stationary assets'!B69</f>
        <v>0</v>
      </c>
      <c r="I65" s="432">
        <f>'Buildings &amp; stationary assets'!C69</f>
        <v>0</v>
      </c>
      <c r="J65" s="432">
        <f>'Buildings &amp; stationary assets'!D69</f>
        <v>0</v>
      </c>
      <c r="K65" s="432">
        <f>'Buildings &amp; stationary assets'!E69</f>
        <v>0</v>
      </c>
      <c r="L65" s="432">
        <f>'Buildings &amp; stationary assets'!F69</f>
        <v>0</v>
      </c>
      <c r="M65" s="432" t="str">
        <f>'Buildings &amp; stationary assets'!G69</f>
        <v/>
      </c>
      <c r="N65" s="432">
        <f>'Buildings &amp; stationary assets'!H69</f>
        <v>0</v>
      </c>
      <c r="O65" s="432">
        <f>'Buildings &amp; stationary assets'!I69</f>
        <v>0</v>
      </c>
      <c r="P65" s="432" t="str">
        <f>'Buildings &amp; stationary assets'!J69</f>
        <v/>
      </c>
      <c r="Q65" s="432" t="str">
        <f>'Buildings &amp; stationary assets'!K69</f>
        <v/>
      </c>
      <c r="R65" s="432" t="str">
        <f>'Buildings &amp; stationary assets'!L69</f>
        <v/>
      </c>
      <c r="S65" s="432" t="str">
        <f>'Buildings &amp; stationary assets'!M69</f>
        <v/>
      </c>
      <c r="T65" s="432">
        <f>'Buildings &amp; stationary assets'!N69</f>
        <v>0</v>
      </c>
      <c r="U65" s="432">
        <f>'Buildings &amp; stationary assets'!O69</f>
        <v>0</v>
      </c>
      <c r="V65" s="432" t="str">
        <f>'Buildings &amp; stationary assets'!P69</f>
        <v/>
      </c>
      <c r="W65" s="432" t="str">
        <f>'Buildings &amp; stationary assets'!Q69</f>
        <v/>
      </c>
      <c r="X65" s="432" t="str">
        <f>'Buildings &amp; stationary assets'!R69</f>
        <v/>
      </c>
      <c r="Y65" s="432" t="str">
        <f>'Buildings &amp; stationary assets'!S69</f>
        <v/>
      </c>
      <c r="Z65" s="432" t="str">
        <f>'Buildings &amp; stationary assets'!T69</f>
        <v/>
      </c>
      <c r="AA65" s="432" t="str">
        <f>'Buildings &amp; stationary assets'!U69</f>
        <v/>
      </c>
      <c r="AB65" s="432" t="str">
        <f>'Buildings &amp; stationary assets'!V69</f>
        <v/>
      </c>
      <c r="AC65" s="432" t="str">
        <f>'Buildings &amp; stationary assets'!W69</f>
        <v/>
      </c>
      <c r="AE65" s="432">
        <f t="shared" si="0"/>
        <v>0</v>
      </c>
      <c r="AF65" s="432">
        <f t="shared" si="1"/>
        <v>0</v>
      </c>
    </row>
    <row r="66" spans="2:32" x14ac:dyDescent="0.35">
      <c r="B66" s="432" t="e">
        <f>"2024"&amp;MATCH(Totals!D66,OrgType,0)&amp;"_"&amp;MATCH(Totals!E66,Organisations,0)&amp;"_"&amp;LEFT(Totals!F66,1)&amp;"_"&amp;LEFT(G66,1)&amp;"_"&amp;COUNTIF($G$3:G66,G66)</f>
        <v>#N/A</v>
      </c>
      <c r="C66" s="432">
        <v>2024</v>
      </c>
      <c r="D66" s="432">
        <f>Introduction!$D$7</f>
        <v>0</v>
      </c>
      <c r="E66" s="432">
        <f>Introduction!$D$8</f>
        <v>0</v>
      </c>
      <c r="F66" s="432" t="s">
        <v>110</v>
      </c>
      <c r="G66" s="432" t="s">
        <v>110</v>
      </c>
      <c r="H66" s="432">
        <f>'Buildings &amp; stationary assets'!B70</f>
        <v>0</v>
      </c>
      <c r="I66" s="432">
        <f>'Buildings &amp; stationary assets'!C70</f>
        <v>0</v>
      </c>
      <c r="J66" s="432">
        <f>'Buildings &amp; stationary assets'!D70</f>
        <v>0</v>
      </c>
      <c r="K66" s="432">
        <f>'Buildings &amp; stationary assets'!E70</f>
        <v>0</v>
      </c>
      <c r="L66" s="432">
        <f>'Buildings &amp; stationary assets'!F70</f>
        <v>0</v>
      </c>
      <c r="M66" s="432" t="str">
        <f>'Buildings &amp; stationary assets'!G70</f>
        <v/>
      </c>
      <c r="N66" s="432">
        <f>'Buildings &amp; stationary assets'!H70</f>
        <v>0</v>
      </c>
      <c r="O66" s="432">
        <f>'Buildings &amp; stationary assets'!I70</f>
        <v>0</v>
      </c>
      <c r="P66" s="432" t="str">
        <f>'Buildings &amp; stationary assets'!J70</f>
        <v/>
      </c>
      <c r="Q66" s="432" t="str">
        <f>'Buildings &amp; stationary assets'!K70</f>
        <v/>
      </c>
      <c r="R66" s="432" t="str">
        <f>'Buildings &amp; stationary assets'!L70</f>
        <v/>
      </c>
      <c r="S66" s="432" t="str">
        <f>'Buildings &amp; stationary assets'!M70</f>
        <v/>
      </c>
      <c r="T66" s="432">
        <f>'Buildings &amp; stationary assets'!N70</f>
        <v>0</v>
      </c>
      <c r="U66" s="432">
        <f>'Buildings &amp; stationary assets'!O70</f>
        <v>0</v>
      </c>
      <c r="V66" s="432" t="str">
        <f>'Buildings &amp; stationary assets'!P70</f>
        <v/>
      </c>
      <c r="W66" s="432" t="str">
        <f>'Buildings &amp; stationary assets'!Q70</f>
        <v/>
      </c>
      <c r="X66" s="432" t="str">
        <f>'Buildings &amp; stationary assets'!R70</f>
        <v/>
      </c>
      <c r="Y66" s="432" t="str">
        <f>'Buildings &amp; stationary assets'!S70</f>
        <v/>
      </c>
      <c r="Z66" s="432" t="str">
        <f>'Buildings &amp; stationary assets'!T70</f>
        <v/>
      </c>
      <c r="AA66" s="432" t="str">
        <f>'Buildings &amp; stationary assets'!U70</f>
        <v/>
      </c>
      <c r="AB66" s="432" t="str">
        <f>'Buildings &amp; stationary assets'!V70</f>
        <v/>
      </c>
      <c r="AC66" s="432" t="str">
        <f>'Buildings &amp; stationary assets'!W70</f>
        <v/>
      </c>
      <c r="AE66" s="432">
        <f t="shared" si="0"/>
        <v>0</v>
      </c>
      <c r="AF66" s="432">
        <f t="shared" si="1"/>
        <v>0</v>
      </c>
    </row>
    <row r="67" spans="2:32" x14ac:dyDescent="0.35">
      <c r="B67" s="432" t="e">
        <f>"2024"&amp;MATCH(Totals!D67,OrgType,0)&amp;"_"&amp;MATCH(Totals!E67,Organisations,0)&amp;"_"&amp;LEFT(Totals!F67,1)&amp;"_"&amp;LEFT(G67,1)&amp;"_"&amp;COUNTIF($G$3:G67,G67)</f>
        <v>#N/A</v>
      </c>
      <c r="C67" s="432">
        <v>2024</v>
      </c>
      <c r="D67" s="432">
        <f>Introduction!$D$7</f>
        <v>0</v>
      </c>
      <c r="E67" s="432">
        <f>Introduction!$D$8</f>
        <v>0</v>
      </c>
      <c r="F67" s="432" t="s">
        <v>110</v>
      </c>
      <c r="G67" s="432" t="s">
        <v>110</v>
      </c>
      <c r="H67" s="432">
        <f>'Buildings &amp; stationary assets'!B71</f>
        <v>0</v>
      </c>
      <c r="I67" s="432">
        <f>'Buildings &amp; stationary assets'!C71</f>
        <v>0</v>
      </c>
      <c r="J67" s="432">
        <f>'Buildings &amp; stationary assets'!D71</f>
        <v>0</v>
      </c>
      <c r="K67" s="432">
        <f>'Buildings &amp; stationary assets'!E71</f>
        <v>0</v>
      </c>
      <c r="L67" s="432">
        <f>'Buildings &amp; stationary assets'!F71</f>
        <v>0</v>
      </c>
      <c r="M67" s="432" t="str">
        <f>'Buildings &amp; stationary assets'!G71</f>
        <v/>
      </c>
      <c r="N67" s="432">
        <f>'Buildings &amp; stationary assets'!H71</f>
        <v>0</v>
      </c>
      <c r="O67" s="432">
        <f>'Buildings &amp; stationary assets'!I71</f>
        <v>0</v>
      </c>
      <c r="P67" s="432" t="str">
        <f>'Buildings &amp; stationary assets'!J71</f>
        <v/>
      </c>
      <c r="Q67" s="432" t="str">
        <f>'Buildings &amp; stationary assets'!K71</f>
        <v/>
      </c>
      <c r="R67" s="432" t="str">
        <f>'Buildings &amp; stationary assets'!L71</f>
        <v/>
      </c>
      <c r="S67" s="432" t="str">
        <f>'Buildings &amp; stationary assets'!M71</f>
        <v/>
      </c>
      <c r="T67" s="432">
        <f>'Buildings &amp; stationary assets'!N71</f>
        <v>0</v>
      </c>
      <c r="U67" s="432">
        <f>'Buildings &amp; stationary assets'!O71</f>
        <v>0</v>
      </c>
      <c r="V67" s="432" t="str">
        <f>'Buildings &amp; stationary assets'!P71</f>
        <v/>
      </c>
      <c r="W67" s="432" t="str">
        <f>'Buildings &amp; stationary assets'!Q71</f>
        <v/>
      </c>
      <c r="X67" s="432" t="str">
        <f>'Buildings &amp; stationary assets'!R71</f>
        <v/>
      </c>
      <c r="Y67" s="432" t="str">
        <f>'Buildings &amp; stationary assets'!S71</f>
        <v/>
      </c>
      <c r="Z67" s="432" t="str">
        <f>'Buildings &amp; stationary assets'!T71</f>
        <v/>
      </c>
      <c r="AA67" s="432" t="str">
        <f>'Buildings &amp; stationary assets'!U71</f>
        <v/>
      </c>
      <c r="AB67" s="432" t="str">
        <f>'Buildings &amp; stationary assets'!V71</f>
        <v/>
      </c>
      <c r="AC67" s="432" t="str">
        <f>'Buildings &amp; stationary assets'!W71</f>
        <v/>
      </c>
      <c r="AE67" s="432">
        <f t="shared" si="0"/>
        <v>0</v>
      </c>
      <c r="AF67" s="432">
        <f t="shared" si="1"/>
        <v>0</v>
      </c>
    </row>
    <row r="68" spans="2:32" x14ac:dyDescent="0.35">
      <c r="B68" s="432" t="e">
        <f>"2024"&amp;MATCH(Totals!D68,OrgType,0)&amp;"_"&amp;MATCH(Totals!E68,Organisations,0)&amp;"_"&amp;LEFT(Totals!F68,1)&amp;"_"&amp;LEFT(G68,1)&amp;"_"&amp;COUNTIF($G$3:G68,G68)</f>
        <v>#N/A</v>
      </c>
      <c r="C68" s="432">
        <v>2024</v>
      </c>
      <c r="D68" s="432">
        <f>Introduction!$D$7</f>
        <v>0</v>
      </c>
      <c r="E68" s="432">
        <f>Introduction!$D$8</f>
        <v>0</v>
      </c>
      <c r="F68" s="432" t="s">
        <v>110</v>
      </c>
      <c r="G68" s="432" t="s">
        <v>110</v>
      </c>
      <c r="H68" s="432">
        <f>'Buildings &amp; stationary assets'!B72</f>
        <v>0</v>
      </c>
      <c r="I68" s="432">
        <f>'Buildings &amp; stationary assets'!C72</f>
        <v>0</v>
      </c>
      <c r="J68" s="432">
        <f>'Buildings &amp; stationary assets'!D72</f>
        <v>0</v>
      </c>
      <c r="K68" s="432">
        <f>'Buildings &amp; stationary assets'!E72</f>
        <v>0</v>
      </c>
      <c r="L68" s="432">
        <f>'Buildings &amp; stationary assets'!F72</f>
        <v>0</v>
      </c>
      <c r="M68" s="432" t="str">
        <f>'Buildings &amp; stationary assets'!G72</f>
        <v/>
      </c>
      <c r="N68" s="432">
        <f>'Buildings &amp; stationary assets'!H72</f>
        <v>0</v>
      </c>
      <c r="O68" s="432">
        <f>'Buildings &amp; stationary assets'!I72</f>
        <v>0</v>
      </c>
      <c r="P68" s="432" t="str">
        <f>'Buildings &amp; stationary assets'!J72</f>
        <v/>
      </c>
      <c r="Q68" s="432" t="str">
        <f>'Buildings &amp; stationary assets'!K72</f>
        <v/>
      </c>
      <c r="R68" s="432" t="str">
        <f>'Buildings &amp; stationary assets'!L72</f>
        <v/>
      </c>
      <c r="S68" s="432" t="str">
        <f>'Buildings &amp; stationary assets'!M72</f>
        <v/>
      </c>
      <c r="T68" s="432">
        <f>'Buildings &amp; stationary assets'!N72</f>
        <v>0</v>
      </c>
      <c r="U68" s="432">
        <f>'Buildings &amp; stationary assets'!O72</f>
        <v>0</v>
      </c>
      <c r="V68" s="432" t="str">
        <f>'Buildings &amp; stationary assets'!P72</f>
        <v/>
      </c>
      <c r="W68" s="432" t="str">
        <f>'Buildings &amp; stationary assets'!Q72</f>
        <v/>
      </c>
      <c r="X68" s="432" t="str">
        <f>'Buildings &amp; stationary assets'!R72</f>
        <v/>
      </c>
      <c r="Y68" s="432" t="str">
        <f>'Buildings &amp; stationary assets'!S72</f>
        <v/>
      </c>
      <c r="Z68" s="432" t="str">
        <f>'Buildings &amp; stationary assets'!T72</f>
        <v/>
      </c>
      <c r="AA68" s="432" t="str">
        <f>'Buildings &amp; stationary assets'!U72</f>
        <v/>
      </c>
      <c r="AB68" s="432" t="str">
        <f>'Buildings &amp; stationary assets'!V72</f>
        <v/>
      </c>
      <c r="AC68" s="432" t="str">
        <f>'Buildings &amp; stationary assets'!W72</f>
        <v/>
      </c>
      <c r="AE68" s="432">
        <f t="shared" ref="AE68:AE131" si="2">IF(AND(R68="",N68&lt;&gt;0),1,0)</f>
        <v>0</v>
      </c>
      <c r="AF68" s="432">
        <f t="shared" ref="AF68:AF131" si="3">IF(AND(S68="",N68&lt;&gt;0),1,0)</f>
        <v>0</v>
      </c>
    </row>
    <row r="69" spans="2:32" x14ac:dyDescent="0.35">
      <c r="B69" s="432" t="e">
        <f>"2024"&amp;MATCH(Totals!D69,OrgType,0)&amp;"_"&amp;MATCH(Totals!E69,Organisations,0)&amp;"_"&amp;LEFT(Totals!F69,1)&amp;"_"&amp;LEFT(G69,1)&amp;"_"&amp;COUNTIF($G$3:G69,G69)</f>
        <v>#N/A</v>
      </c>
      <c r="C69" s="432">
        <v>2024</v>
      </c>
      <c r="D69" s="432">
        <f>Introduction!$D$7</f>
        <v>0</v>
      </c>
      <c r="E69" s="432">
        <f>Introduction!$D$8</f>
        <v>0</v>
      </c>
      <c r="F69" s="432" t="s">
        <v>110</v>
      </c>
      <c r="G69" s="432" t="s">
        <v>110</v>
      </c>
      <c r="H69" s="432">
        <f>'Buildings &amp; stationary assets'!B73</f>
        <v>0</v>
      </c>
      <c r="I69" s="432">
        <f>'Buildings &amp; stationary assets'!C73</f>
        <v>0</v>
      </c>
      <c r="J69" s="432">
        <f>'Buildings &amp; stationary assets'!D73</f>
        <v>0</v>
      </c>
      <c r="K69" s="432">
        <f>'Buildings &amp; stationary assets'!E73</f>
        <v>0</v>
      </c>
      <c r="L69" s="432">
        <f>'Buildings &amp; stationary assets'!F73</f>
        <v>0</v>
      </c>
      <c r="M69" s="432" t="str">
        <f>'Buildings &amp; stationary assets'!G73</f>
        <v/>
      </c>
      <c r="N69" s="432">
        <f>'Buildings &amp; stationary assets'!H73</f>
        <v>0</v>
      </c>
      <c r="O69" s="432">
        <f>'Buildings &amp; stationary assets'!I73</f>
        <v>0</v>
      </c>
      <c r="P69" s="432" t="str">
        <f>'Buildings &amp; stationary assets'!J73</f>
        <v/>
      </c>
      <c r="Q69" s="432" t="str">
        <f>'Buildings &amp; stationary assets'!K73</f>
        <v/>
      </c>
      <c r="R69" s="432" t="str">
        <f>'Buildings &amp; stationary assets'!L73</f>
        <v/>
      </c>
      <c r="S69" s="432" t="str">
        <f>'Buildings &amp; stationary assets'!M73</f>
        <v/>
      </c>
      <c r="T69" s="432">
        <f>'Buildings &amp; stationary assets'!N73</f>
        <v>0</v>
      </c>
      <c r="U69" s="432">
        <f>'Buildings &amp; stationary assets'!O73</f>
        <v>0</v>
      </c>
      <c r="V69" s="432" t="str">
        <f>'Buildings &amp; stationary assets'!P73</f>
        <v/>
      </c>
      <c r="W69" s="432" t="str">
        <f>'Buildings &amp; stationary assets'!Q73</f>
        <v/>
      </c>
      <c r="X69" s="432" t="str">
        <f>'Buildings &amp; stationary assets'!R73</f>
        <v/>
      </c>
      <c r="Y69" s="432" t="str">
        <f>'Buildings &amp; stationary assets'!S73</f>
        <v/>
      </c>
      <c r="Z69" s="432" t="str">
        <f>'Buildings &amp; stationary assets'!T73</f>
        <v/>
      </c>
      <c r="AA69" s="432" t="str">
        <f>'Buildings &amp; stationary assets'!U73</f>
        <v/>
      </c>
      <c r="AB69" s="432" t="str">
        <f>'Buildings &amp; stationary assets'!V73</f>
        <v/>
      </c>
      <c r="AC69" s="432" t="str">
        <f>'Buildings &amp; stationary assets'!W73</f>
        <v/>
      </c>
      <c r="AE69" s="432">
        <f t="shared" si="2"/>
        <v>0</v>
      </c>
      <c r="AF69" s="432">
        <f t="shared" si="3"/>
        <v>0</v>
      </c>
    </row>
    <row r="70" spans="2:32" x14ac:dyDescent="0.35">
      <c r="B70" s="432" t="e">
        <f>"2024"&amp;MATCH(Totals!D70,OrgType,0)&amp;"_"&amp;MATCH(Totals!E70,Organisations,0)&amp;"_"&amp;LEFT(Totals!F70,1)&amp;"_"&amp;LEFT(G70,1)&amp;"_"&amp;COUNTIF($G$3:G70,G70)</f>
        <v>#N/A</v>
      </c>
      <c r="C70" s="432">
        <v>2024</v>
      </c>
      <c r="D70" s="432">
        <f>Introduction!$D$7</f>
        <v>0</v>
      </c>
      <c r="E70" s="432">
        <f>Introduction!$D$8</f>
        <v>0</v>
      </c>
      <c r="F70" s="432" t="s">
        <v>110</v>
      </c>
      <c r="G70" s="432" t="s">
        <v>110</v>
      </c>
      <c r="H70" s="432">
        <f>'Buildings &amp; stationary assets'!B74</f>
        <v>0</v>
      </c>
      <c r="I70" s="432">
        <f>'Buildings &amp; stationary assets'!C74</f>
        <v>0</v>
      </c>
      <c r="J70" s="432">
        <f>'Buildings &amp; stationary assets'!D74</f>
        <v>0</v>
      </c>
      <c r="K70" s="432">
        <f>'Buildings &amp; stationary assets'!E74</f>
        <v>0</v>
      </c>
      <c r="L70" s="432">
        <f>'Buildings &amp; stationary assets'!F74</f>
        <v>0</v>
      </c>
      <c r="M70" s="432" t="str">
        <f>'Buildings &amp; stationary assets'!G74</f>
        <v/>
      </c>
      <c r="N70" s="432">
        <f>'Buildings &amp; stationary assets'!H74</f>
        <v>0</v>
      </c>
      <c r="O70" s="432">
        <f>'Buildings &amp; stationary assets'!I74</f>
        <v>0</v>
      </c>
      <c r="P70" s="432" t="str">
        <f>'Buildings &amp; stationary assets'!J74</f>
        <v/>
      </c>
      <c r="Q70" s="432" t="str">
        <f>'Buildings &amp; stationary assets'!K74</f>
        <v/>
      </c>
      <c r="R70" s="432" t="str">
        <f>'Buildings &amp; stationary assets'!L74</f>
        <v/>
      </c>
      <c r="S70" s="432" t="str">
        <f>'Buildings &amp; stationary assets'!M74</f>
        <v/>
      </c>
      <c r="T70" s="432">
        <f>'Buildings &amp; stationary assets'!N74</f>
        <v>0</v>
      </c>
      <c r="U70" s="432">
        <f>'Buildings &amp; stationary assets'!O74</f>
        <v>0</v>
      </c>
      <c r="V70" s="432" t="str">
        <f>'Buildings &amp; stationary assets'!P74</f>
        <v/>
      </c>
      <c r="W70" s="432" t="str">
        <f>'Buildings &amp; stationary assets'!Q74</f>
        <v/>
      </c>
      <c r="X70" s="432" t="str">
        <f>'Buildings &amp; stationary assets'!R74</f>
        <v/>
      </c>
      <c r="Y70" s="432" t="str">
        <f>'Buildings &amp; stationary assets'!S74</f>
        <v/>
      </c>
      <c r="Z70" s="432" t="str">
        <f>'Buildings &amp; stationary assets'!T74</f>
        <v/>
      </c>
      <c r="AA70" s="432" t="str">
        <f>'Buildings &amp; stationary assets'!U74</f>
        <v/>
      </c>
      <c r="AB70" s="432" t="str">
        <f>'Buildings &amp; stationary assets'!V74</f>
        <v/>
      </c>
      <c r="AC70" s="432" t="str">
        <f>'Buildings &amp; stationary assets'!W74</f>
        <v/>
      </c>
      <c r="AE70" s="432">
        <f t="shared" si="2"/>
        <v>0</v>
      </c>
      <c r="AF70" s="432">
        <f t="shared" si="3"/>
        <v>0</v>
      </c>
    </row>
    <row r="71" spans="2:32" x14ac:dyDescent="0.35">
      <c r="B71" s="432" t="e">
        <f>"2024"&amp;MATCH(Totals!D71,OrgType,0)&amp;"_"&amp;MATCH(Totals!E71,Organisations,0)&amp;"_"&amp;LEFT(Totals!F71,1)&amp;"_"&amp;LEFT(G71,1)&amp;"_"&amp;COUNTIF($G$3:G71,G71)</f>
        <v>#N/A</v>
      </c>
      <c r="C71" s="432">
        <v>2024</v>
      </c>
      <c r="D71" s="432">
        <f>Introduction!$D$7</f>
        <v>0</v>
      </c>
      <c r="E71" s="432">
        <f>Introduction!$D$8</f>
        <v>0</v>
      </c>
      <c r="F71" s="432" t="s">
        <v>110</v>
      </c>
      <c r="G71" s="432" t="s">
        <v>110</v>
      </c>
      <c r="H71" s="432">
        <f>'Buildings &amp; stationary assets'!B75</f>
        <v>0</v>
      </c>
      <c r="I71" s="432">
        <f>'Buildings &amp; stationary assets'!C75</f>
        <v>0</v>
      </c>
      <c r="J71" s="432">
        <f>'Buildings &amp; stationary assets'!D75</f>
        <v>0</v>
      </c>
      <c r="K71" s="432">
        <f>'Buildings &amp; stationary assets'!E75</f>
        <v>0</v>
      </c>
      <c r="L71" s="432">
        <f>'Buildings &amp; stationary assets'!F75</f>
        <v>0</v>
      </c>
      <c r="M71" s="432" t="str">
        <f>'Buildings &amp; stationary assets'!G75</f>
        <v/>
      </c>
      <c r="N71" s="432">
        <f>'Buildings &amp; stationary assets'!H75</f>
        <v>0</v>
      </c>
      <c r="O71" s="432">
        <f>'Buildings &amp; stationary assets'!I75</f>
        <v>0</v>
      </c>
      <c r="P71" s="432" t="str">
        <f>'Buildings &amp; stationary assets'!J75</f>
        <v/>
      </c>
      <c r="Q71" s="432" t="str">
        <f>'Buildings &amp; stationary assets'!K75</f>
        <v/>
      </c>
      <c r="R71" s="432" t="str">
        <f>'Buildings &amp; stationary assets'!L75</f>
        <v/>
      </c>
      <c r="S71" s="432" t="str">
        <f>'Buildings &amp; stationary assets'!M75</f>
        <v/>
      </c>
      <c r="T71" s="432">
        <f>'Buildings &amp; stationary assets'!N75</f>
        <v>0</v>
      </c>
      <c r="U71" s="432">
        <f>'Buildings &amp; stationary assets'!O75</f>
        <v>0</v>
      </c>
      <c r="V71" s="432" t="str">
        <f>'Buildings &amp; stationary assets'!P75</f>
        <v/>
      </c>
      <c r="W71" s="432" t="str">
        <f>'Buildings &amp; stationary assets'!Q75</f>
        <v/>
      </c>
      <c r="X71" s="432" t="str">
        <f>'Buildings &amp; stationary assets'!R75</f>
        <v/>
      </c>
      <c r="Y71" s="432" t="str">
        <f>'Buildings &amp; stationary assets'!S75</f>
        <v/>
      </c>
      <c r="Z71" s="432" t="str">
        <f>'Buildings &amp; stationary assets'!T75</f>
        <v/>
      </c>
      <c r="AA71" s="432" t="str">
        <f>'Buildings &amp; stationary assets'!U75</f>
        <v/>
      </c>
      <c r="AB71" s="432" t="str">
        <f>'Buildings &amp; stationary assets'!V75</f>
        <v/>
      </c>
      <c r="AC71" s="432" t="str">
        <f>'Buildings &amp; stationary assets'!W75</f>
        <v/>
      </c>
      <c r="AE71" s="432">
        <f t="shared" si="2"/>
        <v>0</v>
      </c>
      <c r="AF71" s="432">
        <f t="shared" si="3"/>
        <v>0</v>
      </c>
    </row>
    <row r="72" spans="2:32" x14ac:dyDescent="0.35">
      <c r="B72" s="432" t="e">
        <f>"2024"&amp;MATCH(Totals!D72,OrgType,0)&amp;"_"&amp;MATCH(Totals!E72,Organisations,0)&amp;"_"&amp;LEFT(Totals!F72,1)&amp;"_"&amp;LEFT(G72,1)&amp;"_"&amp;COUNTIF($G$3:G72,G72)</f>
        <v>#N/A</v>
      </c>
      <c r="C72" s="432">
        <v>2024</v>
      </c>
      <c r="D72" s="432">
        <f>Introduction!$D$7</f>
        <v>0</v>
      </c>
      <c r="E72" s="432">
        <f>Introduction!$D$8</f>
        <v>0</v>
      </c>
      <c r="F72" s="432" t="s">
        <v>110</v>
      </c>
      <c r="G72" s="432" t="s">
        <v>110</v>
      </c>
      <c r="H72" s="432">
        <f>'Buildings &amp; stationary assets'!B76</f>
        <v>0</v>
      </c>
      <c r="I72" s="432">
        <f>'Buildings &amp; stationary assets'!C76</f>
        <v>0</v>
      </c>
      <c r="J72" s="432">
        <f>'Buildings &amp; stationary assets'!D76</f>
        <v>0</v>
      </c>
      <c r="K72" s="432">
        <f>'Buildings &amp; stationary assets'!E76</f>
        <v>0</v>
      </c>
      <c r="L72" s="432">
        <f>'Buildings &amp; stationary assets'!F76</f>
        <v>0</v>
      </c>
      <c r="M72" s="432" t="str">
        <f>'Buildings &amp; stationary assets'!G76</f>
        <v/>
      </c>
      <c r="N72" s="432">
        <f>'Buildings &amp; stationary assets'!H76</f>
        <v>0</v>
      </c>
      <c r="O72" s="432">
        <f>'Buildings &amp; stationary assets'!I76</f>
        <v>0</v>
      </c>
      <c r="P72" s="432" t="str">
        <f>'Buildings &amp; stationary assets'!J76</f>
        <v/>
      </c>
      <c r="Q72" s="432" t="str">
        <f>'Buildings &amp; stationary assets'!K76</f>
        <v/>
      </c>
      <c r="R72" s="432" t="str">
        <f>'Buildings &amp; stationary assets'!L76</f>
        <v/>
      </c>
      <c r="S72" s="432" t="str">
        <f>'Buildings &amp; stationary assets'!M76</f>
        <v/>
      </c>
      <c r="T72" s="432">
        <f>'Buildings &amp; stationary assets'!N76</f>
        <v>0</v>
      </c>
      <c r="U72" s="432">
        <f>'Buildings &amp; stationary assets'!O76</f>
        <v>0</v>
      </c>
      <c r="V72" s="432" t="str">
        <f>'Buildings &amp; stationary assets'!P76</f>
        <v/>
      </c>
      <c r="W72" s="432" t="str">
        <f>'Buildings &amp; stationary assets'!Q76</f>
        <v/>
      </c>
      <c r="X72" s="432" t="str">
        <f>'Buildings &amp; stationary assets'!R76</f>
        <v/>
      </c>
      <c r="Y72" s="432" t="str">
        <f>'Buildings &amp; stationary assets'!S76</f>
        <v/>
      </c>
      <c r="Z72" s="432" t="str">
        <f>'Buildings &amp; stationary assets'!T76</f>
        <v/>
      </c>
      <c r="AA72" s="432" t="str">
        <f>'Buildings &amp; stationary assets'!U76</f>
        <v/>
      </c>
      <c r="AB72" s="432" t="str">
        <f>'Buildings &amp; stationary assets'!V76</f>
        <v/>
      </c>
      <c r="AC72" s="432" t="str">
        <f>'Buildings &amp; stationary assets'!W76</f>
        <v/>
      </c>
      <c r="AE72" s="432">
        <f t="shared" si="2"/>
        <v>0</v>
      </c>
      <c r="AF72" s="432">
        <f t="shared" si="3"/>
        <v>0</v>
      </c>
    </row>
    <row r="73" spans="2:32" x14ac:dyDescent="0.35">
      <c r="B73" s="432" t="e">
        <f>"2024"&amp;MATCH(Totals!D73,OrgType,0)&amp;"_"&amp;MATCH(Totals!E73,Organisations,0)&amp;"_"&amp;LEFT(Totals!F73,1)&amp;"_"&amp;LEFT(G73,1)&amp;"_"&amp;COUNTIF($G$3:G73,G73)</f>
        <v>#N/A</v>
      </c>
      <c r="C73" s="432">
        <v>2024</v>
      </c>
      <c r="D73" s="432">
        <f>Introduction!$D$7</f>
        <v>0</v>
      </c>
      <c r="E73" s="432">
        <f>Introduction!$D$8</f>
        <v>0</v>
      </c>
      <c r="F73" s="432" t="s">
        <v>110</v>
      </c>
      <c r="G73" s="432" t="s">
        <v>110</v>
      </c>
      <c r="H73" s="432">
        <f>'Buildings &amp; stationary assets'!B77</f>
        <v>0</v>
      </c>
      <c r="I73" s="432">
        <f>'Buildings &amp; stationary assets'!C77</f>
        <v>0</v>
      </c>
      <c r="J73" s="432">
        <f>'Buildings &amp; stationary assets'!D77</f>
        <v>0</v>
      </c>
      <c r="K73" s="432">
        <f>'Buildings &amp; stationary assets'!E77</f>
        <v>0</v>
      </c>
      <c r="L73" s="432">
        <f>'Buildings &amp; stationary assets'!F77</f>
        <v>0</v>
      </c>
      <c r="M73" s="432" t="str">
        <f>'Buildings &amp; stationary assets'!G77</f>
        <v/>
      </c>
      <c r="N73" s="432">
        <f>'Buildings &amp; stationary assets'!H77</f>
        <v>0</v>
      </c>
      <c r="O73" s="432">
        <f>'Buildings &amp; stationary assets'!I77</f>
        <v>0</v>
      </c>
      <c r="P73" s="432" t="str">
        <f>'Buildings &amp; stationary assets'!J77</f>
        <v/>
      </c>
      <c r="Q73" s="432" t="str">
        <f>'Buildings &amp; stationary assets'!K77</f>
        <v/>
      </c>
      <c r="R73" s="432" t="str">
        <f>'Buildings &amp; stationary assets'!L77</f>
        <v/>
      </c>
      <c r="S73" s="432" t="str">
        <f>'Buildings &amp; stationary assets'!M77</f>
        <v/>
      </c>
      <c r="T73" s="432">
        <f>'Buildings &amp; stationary assets'!N77</f>
        <v>0</v>
      </c>
      <c r="U73" s="432">
        <f>'Buildings &amp; stationary assets'!O77</f>
        <v>0</v>
      </c>
      <c r="V73" s="432" t="str">
        <f>'Buildings &amp; stationary assets'!P77</f>
        <v/>
      </c>
      <c r="W73" s="432" t="str">
        <f>'Buildings &amp; stationary assets'!Q77</f>
        <v/>
      </c>
      <c r="X73" s="432" t="str">
        <f>'Buildings &amp; stationary assets'!R77</f>
        <v/>
      </c>
      <c r="Y73" s="432" t="str">
        <f>'Buildings &amp; stationary assets'!S77</f>
        <v/>
      </c>
      <c r="Z73" s="432" t="str">
        <f>'Buildings &amp; stationary assets'!T77</f>
        <v/>
      </c>
      <c r="AA73" s="432" t="str">
        <f>'Buildings &amp; stationary assets'!U77</f>
        <v/>
      </c>
      <c r="AB73" s="432" t="str">
        <f>'Buildings &amp; stationary assets'!V77</f>
        <v/>
      </c>
      <c r="AC73" s="432" t="str">
        <f>'Buildings &amp; stationary assets'!W77</f>
        <v/>
      </c>
      <c r="AE73" s="432">
        <f t="shared" si="2"/>
        <v>0</v>
      </c>
      <c r="AF73" s="432">
        <f t="shared" si="3"/>
        <v>0</v>
      </c>
    </row>
    <row r="74" spans="2:32" x14ac:dyDescent="0.35">
      <c r="B74" s="432" t="e">
        <f>"2024"&amp;MATCH(Totals!D74,OrgType,0)&amp;"_"&amp;MATCH(Totals!E74,Organisations,0)&amp;"_"&amp;LEFT(Totals!F74,1)&amp;"_"&amp;LEFT(G74,1)&amp;"_"&amp;COUNTIF($G$3:G74,G74)</f>
        <v>#N/A</v>
      </c>
      <c r="C74" s="432">
        <v>2024</v>
      </c>
      <c r="D74" s="432">
        <f>Introduction!$D$7</f>
        <v>0</v>
      </c>
      <c r="E74" s="432">
        <f>Introduction!$D$8</f>
        <v>0</v>
      </c>
      <c r="F74" s="432" t="s">
        <v>110</v>
      </c>
      <c r="G74" s="432" t="s">
        <v>110</v>
      </c>
      <c r="H74" s="432">
        <f>'Buildings &amp; stationary assets'!B78</f>
        <v>0</v>
      </c>
      <c r="I74" s="432">
        <f>'Buildings &amp; stationary assets'!C78</f>
        <v>0</v>
      </c>
      <c r="J74" s="432">
        <f>'Buildings &amp; stationary assets'!D78</f>
        <v>0</v>
      </c>
      <c r="K74" s="432">
        <f>'Buildings &amp; stationary assets'!E78</f>
        <v>0</v>
      </c>
      <c r="L74" s="432">
        <f>'Buildings &amp; stationary assets'!F78</f>
        <v>0</v>
      </c>
      <c r="M74" s="432" t="str">
        <f>'Buildings &amp; stationary assets'!G78</f>
        <v/>
      </c>
      <c r="N74" s="432">
        <f>'Buildings &amp; stationary assets'!H78</f>
        <v>0</v>
      </c>
      <c r="O74" s="432">
        <f>'Buildings &amp; stationary assets'!I78</f>
        <v>0</v>
      </c>
      <c r="P74" s="432" t="str">
        <f>'Buildings &amp; stationary assets'!J78</f>
        <v/>
      </c>
      <c r="Q74" s="432" t="str">
        <f>'Buildings &amp; stationary assets'!K78</f>
        <v/>
      </c>
      <c r="R74" s="432" t="str">
        <f>'Buildings &amp; stationary assets'!L78</f>
        <v/>
      </c>
      <c r="S74" s="432" t="str">
        <f>'Buildings &amp; stationary assets'!M78</f>
        <v/>
      </c>
      <c r="T74" s="432">
        <f>'Buildings &amp; stationary assets'!N78</f>
        <v>0</v>
      </c>
      <c r="U74" s="432">
        <f>'Buildings &amp; stationary assets'!O78</f>
        <v>0</v>
      </c>
      <c r="V74" s="432" t="str">
        <f>'Buildings &amp; stationary assets'!P78</f>
        <v/>
      </c>
      <c r="W74" s="432" t="str">
        <f>'Buildings &amp; stationary assets'!Q78</f>
        <v/>
      </c>
      <c r="X74" s="432" t="str">
        <f>'Buildings &amp; stationary assets'!R78</f>
        <v/>
      </c>
      <c r="Y74" s="432" t="str">
        <f>'Buildings &amp; stationary assets'!S78</f>
        <v/>
      </c>
      <c r="Z74" s="432" t="str">
        <f>'Buildings &amp; stationary assets'!T78</f>
        <v/>
      </c>
      <c r="AA74" s="432" t="str">
        <f>'Buildings &amp; stationary assets'!U78</f>
        <v/>
      </c>
      <c r="AB74" s="432" t="str">
        <f>'Buildings &amp; stationary assets'!V78</f>
        <v/>
      </c>
      <c r="AC74" s="432" t="str">
        <f>'Buildings &amp; stationary assets'!W78</f>
        <v/>
      </c>
      <c r="AE74" s="432">
        <f t="shared" si="2"/>
        <v>0</v>
      </c>
      <c r="AF74" s="432">
        <f t="shared" si="3"/>
        <v>0</v>
      </c>
    </row>
    <row r="75" spans="2:32" x14ac:dyDescent="0.35">
      <c r="B75" s="432" t="e">
        <f>"2024"&amp;MATCH(Totals!D75,OrgType,0)&amp;"_"&amp;MATCH(Totals!E75,Organisations,0)&amp;"_"&amp;LEFT(Totals!F75,1)&amp;"_"&amp;LEFT(G75,1)&amp;"_"&amp;COUNTIF($G$3:G75,G75)</f>
        <v>#N/A</v>
      </c>
      <c r="C75" s="432">
        <v>2024</v>
      </c>
      <c r="D75" s="432">
        <f>Introduction!$D$7</f>
        <v>0</v>
      </c>
      <c r="E75" s="432">
        <f>Introduction!$D$8</f>
        <v>0</v>
      </c>
      <c r="F75" s="432" t="s">
        <v>110</v>
      </c>
      <c r="G75" s="432" t="s">
        <v>110</v>
      </c>
      <c r="H75" s="432">
        <f>'Buildings &amp; stationary assets'!B79</f>
        <v>0</v>
      </c>
      <c r="I75" s="432">
        <f>'Buildings &amp; stationary assets'!C79</f>
        <v>0</v>
      </c>
      <c r="J75" s="432">
        <f>'Buildings &amp; stationary assets'!D79</f>
        <v>0</v>
      </c>
      <c r="K75" s="432">
        <f>'Buildings &amp; stationary assets'!E79</f>
        <v>0</v>
      </c>
      <c r="L75" s="432">
        <f>'Buildings &amp; stationary assets'!F79</f>
        <v>0</v>
      </c>
      <c r="M75" s="432" t="str">
        <f>'Buildings &amp; stationary assets'!G79</f>
        <v/>
      </c>
      <c r="N75" s="432">
        <f>'Buildings &amp; stationary assets'!H79</f>
        <v>0</v>
      </c>
      <c r="O75" s="432">
        <f>'Buildings &amp; stationary assets'!I79</f>
        <v>0</v>
      </c>
      <c r="P75" s="432" t="str">
        <f>'Buildings &amp; stationary assets'!J79</f>
        <v/>
      </c>
      <c r="Q75" s="432" t="str">
        <f>'Buildings &amp; stationary assets'!K79</f>
        <v/>
      </c>
      <c r="R75" s="432" t="str">
        <f>'Buildings &amp; stationary assets'!L79</f>
        <v/>
      </c>
      <c r="S75" s="432" t="str">
        <f>'Buildings &amp; stationary assets'!M79</f>
        <v/>
      </c>
      <c r="T75" s="432">
        <f>'Buildings &amp; stationary assets'!N79</f>
        <v>0</v>
      </c>
      <c r="U75" s="432">
        <f>'Buildings &amp; stationary assets'!O79</f>
        <v>0</v>
      </c>
      <c r="V75" s="432" t="str">
        <f>'Buildings &amp; stationary assets'!P79</f>
        <v/>
      </c>
      <c r="W75" s="432" t="str">
        <f>'Buildings &amp; stationary assets'!Q79</f>
        <v/>
      </c>
      <c r="X75" s="432" t="str">
        <f>'Buildings &amp; stationary assets'!R79</f>
        <v/>
      </c>
      <c r="Y75" s="432" t="str">
        <f>'Buildings &amp; stationary assets'!S79</f>
        <v/>
      </c>
      <c r="Z75" s="432" t="str">
        <f>'Buildings &amp; stationary assets'!T79</f>
        <v/>
      </c>
      <c r="AA75" s="432" t="str">
        <f>'Buildings &amp; stationary assets'!U79</f>
        <v/>
      </c>
      <c r="AB75" s="432" t="str">
        <f>'Buildings &amp; stationary assets'!V79</f>
        <v/>
      </c>
      <c r="AC75" s="432" t="str">
        <f>'Buildings &amp; stationary assets'!W79</f>
        <v/>
      </c>
      <c r="AE75" s="432">
        <f t="shared" si="2"/>
        <v>0</v>
      </c>
      <c r="AF75" s="432">
        <f t="shared" si="3"/>
        <v>0</v>
      </c>
    </row>
    <row r="76" spans="2:32" x14ac:dyDescent="0.35">
      <c r="B76" s="432" t="e">
        <f>"2024"&amp;MATCH(Totals!D76,OrgType,0)&amp;"_"&amp;MATCH(Totals!E76,Organisations,0)&amp;"_"&amp;LEFT(Totals!F76,1)&amp;"_"&amp;LEFT(G76,1)&amp;"_"&amp;COUNTIF($G$3:G76,G76)</f>
        <v>#N/A</v>
      </c>
      <c r="C76" s="432">
        <v>2024</v>
      </c>
      <c r="D76" s="432">
        <f>Introduction!$D$7</f>
        <v>0</v>
      </c>
      <c r="E76" s="432">
        <f>Introduction!$D$8</f>
        <v>0</v>
      </c>
      <c r="F76" s="432" t="s">
        <v>110</v>
      </c>
      <c r="G76" s="432" t="s">
        <v>110</v>
      </c>
      <c r="H76" s="432">
        <f>'Buildings &amp; stationary assets'!B80</f>
        <v>0</v>
      </c>
      <c r="I76" s="432">
        <f>'Buildings &amp; stationary assets'!C80</f>
        <v>0</v>
      </c>
      <c r="J76" s="432">
        <f>'Buildings &amp; stationary assets'!D80</f>
        <v>0</v>
      </c>
      <c r="K76" s="432">
        <f>'Buildings &amp; stationary assets'!E80</f>
        <v>0</v>
      </c>
      <c r="L76" s="432">
        <f>'Buildings &amp; stationary assets'!F80</f>
        <v>0</v>
      </c>
      <c r="M76" s="432" t="str">
        <f>'Buildings &amp; stationary assets'!G80</f>
        <v/>
      </c>
      <c r="N76" s="432">
        <f>'Buildings &amp; stationary assets'!H80</f>
        <v>0</v>
      </c>
      <c r="O76" s="432">
        <f>'Buildings &amp; stationary assets'!I80</f>
        <v>0</v>
      </c>
      <c r="P76" s="432" t="str">
        <f>'Buildings &amp; stationary assets'!J80</f>
        <v/>
      </c>
      <c r="Q76" s="432" t="str">
        <f>'Buildings &amp; stationary assets'!K80</f>
        <v/>
      </c>
      <c r="R76" s="432" t="str">
        <f>'Buildings &amp; stationary assets'!L80</f>
        <v/>
      </c>
      <c r="S76" s="432" t="str">
        <f>'Buildings &amp; stationary assets'!M80</f>
        <v/>
      </c>
      <c r="T76" s="432">
        <f>'Buildings &amp; stationary assets'!N80</f>
        <v>0</v>
      </c>
      <c r="U76" s="432">
        <f>'Buildings &amp; stationary assets'!O80</f>
        <v>0</v>
      </c>
      <c r="V76" s="432" t="str">
        <f>'Buildings &amp; stationary assets'!P80</f>
        <v/>
      </c>
      <c r="W76" s="432" t="str">
        <f>'Buildings &amp; stationary assets'!Q80</f>
        <v/>
      </c>
      <c r="X76" s="432" t="str">
        <f>'Buildings &amp; stationary assets'!R80</f>
        <v/>
      </c>
      <c r="Y76" s="432" t="str">
        <f>'Buildings &amp; stationary assets'!S80</f>
        <v/>
      </c>
      <c r="Z76" s="432" t="str">
        <f>'Buildings &amp; stationary assets'!T80</f>
        <v/>
      </c>
      <c r="AA76" s="432" t="str">
        <f>'Buildings &amp; stationary assets'!U80</f>
        <v/>
      </c>
      <c r="AB76" s="432" t="str">
        <f>'Buildings &amp; stationary assets'!V80</f>
        <v/>
      </c>
      <c r="AC76" s="432" t="str">
        <f>'Buildings &amp; stationary assets'!W80</f>
        <v/>
      </c>
      <c r="AE76" s="432">
        <f t="shared" si="2"/>
        <v>0</v>
      </c>
      <c r="AF76" s="432">
        <f t="shared" si="3"/>
        <v>0</v>
      </c>
    </row>
    <row r="77" spans="2:32" x14ac:dyDescent="0.35">
      <c r="B77" s="432" t="e">
        <f>"2024"&amp;MATCH(Totals!D77,OrgType,0)&amp;"_"&amp;MATCH(Totals!E77,Organisations,0)&amp;"_"&amp;LEFT(Totals!F77,1)&amp;"_"&amp;LEFT(G77,1)&amp;"_"&amp;COUNTIF($G$3:G77,G77)</f>
        <v>#N/A</v>
      </c>
      <c r="C77" s="432">
        <v>2024</v>
      </c>
      <c r="D77" s="432">
        <f>Introduction!$D$7</f>
        <v>0</v>
      </c>
      <c r="E77" s="432">
        <f>Introduction!$D$8</f>
        <v>0</v>
      </c>
      <c r="F77" s="432" t="s">
        <v>110</v>
      </c>
      <c r="G77" s="432" t="s">
        <v>110</v>
      </c>
      <c r="H77" s="432">
        <f>'Buildings &amp; stationary assets'!B81</f>
        <v>0</v>
      </c>
      <c r="I77" s="432">
        <f>'Buildings &amp; stationary assets'!C81</f>
        <v>0</v>
      </c>
      <c r="J77" s="432">
        <f>'Buildings &amp; stationary assets'!D81</f>
        <v>0</v>
      </c>
      <c r="K77" s="432">
        <f>'Buildings &amp; stationary assets'!E81</f>
        <v>0</v>
      </c>
      <c r="L77" s="432">
        <f>'Buildings &amp; stationary assets'!F81</f>
        <v>0</v>
      </c>
      <c r="M77" s="432" t="str">
        <f>'Buildings &amp; stationary assets'!G81</f>
        <v/>
      </c>
      <c r="N77" s="432">
        <f>'Buildings &amp; stationary assets'!H81</f>
        <v>0</v>
      </c>
      <c r="O77" s="432">
        <f>'Buildings &amp; stationary assets'!I81</f>
        <v>0</v>
      </c>
      <c r="P77" s="432" t="str">
        <f>'Buildings &amp; stationary assets'!J81</f>
        <v/>
      </c>
      <c r="Q77" s="432" t="str">
        <f>'Buildings &amp; stationary assets'!K81</f>
        <v/>
      </c>
      <c r="R77" s="432" t="str">
        <f>'Buildings &amp; stationary assets'!L81</f>
        <v/>
      </c>
      <c r="S77" s="432" t="str">
        <f>'Buildings &amp; stationary assets'!M81</f>
        <v/>
      </c>
      <c r="T77" s="432">
        <f>'Buildings &amp; stationary assets'!N81</f>
        <v>0</v>
      </c>
      <c r="U77" s="432">
        <f>'Buildings &amp; stationary assets'!O81</f>
        <v>0</v>
      </c>
      <c r="V77" s="432" t="str">
        <f>'Buildings &amp; stationary assets'!P81</f>
        <v/>
      </c>
      <c r="W77" s="432" t="str">
        <f>'Buildings &amp; stationary assets'!Q81</f>
        <v/>
      </c>
      <c r="X77" s="432" t="str">
        <f>'Buildings &amp; stationary assets'!R81</f>
        <v/>
      </c>
      <c r="Y77" s="432" t="str">
        <f>'Buildings &amp; stationary assets'!S81</f>
        <v/>
      </c>
      <c r="Z77" s="432" t="str">
        <f>'Buildings &amp; stationary assets'!T81</f>
        <v/>
      </c>
      <c r="AA77" s="432" t="str">
        <f>'Buildings &amp; stationary assets'!U81</f>
        <v/>
      </c>
      <c r="AB77" s="432" t="str">
        <f>'Buildings &amp; stationary assets'!V81</f>
        <v/>
      </c>
      <c r="AC77" s="432" t="str">
        <f>'Buildings &amp; stationary assets'!W81</f>
        <v/>
      </c>
      <c r="AE77" s="432">
        <f t="shared" si="2"/>
        <v>0</v>
      </c>
      <c r="AF77" s="432">
        <f t="shared" si="3"/>
        <v>0</v>
      </c>
    </row>
    <row r="78" spans="2:32" x14ac:dyDescent="0.35">
      <c r="B78" s="432" t="e">
        <f>"2024"&amp;MATCH(Totals!D78,OrgType,0)&amp;"_"&amp;MATCH(Totals!E78,Organisations,0)&amp;"_"&amp;LEFT(Totals!F78,1)&amp;"_"&amp;LEFT(G78,1)&amp;"_"&amp;COUNTIF($G$3:G78,G78)</f>
        <v>#N/A</v>
      </c>
      <c r="C78" s="432">
        <v>2024</v>
      </c>
      <c r="D78" s="432">
        <f>Introduction!$D$7</f>
        <v>0</v>
      </c>
      <c r="E78" s="432">
        <f>Introduction!$D$8</f>
        <v>0</v>
      </c>
      <c r="F78" s="432" t="s">
        <v>110</v>
      </c>
      <c r="G78" s="432" t="s">
        <v>110</v>
      </c>
      <c r="H78" s="432">
        <f>'Buildings &amp; stationary assets'!B82</f>
        <v>0</v>
      </c>
      <c r="I78" s="432">
        <f>'Buildings &amp; stationary assets'!C82</f>
        <v>0</v>
      </c>
      <c r="J78" s="432">
        <f>'Buildings &amp; stationary assets'!D82</f>
        <v>0</v>
      </c>
      <c r="K78" s="432">
        <f>'Buildings &amp; stationary assets'!E82</f>
        <v>0</v>
      </c>
      <c r="L78" s="432">
        <f>'Buildings &amp; stationary assets'!F82</f>
        <v>0</v>
      </c>
      <c r="M78" s="432" t="str">
        <f>'Buildings &amp; stationary assets'!G82</f>
        <v/>
      </c>
      <c r="N78" s="432">
        <f>'Buildings &amp; stationary assets'!H82</f>
        <v>0</v>
      </c>
      <c r="O78" s="432">
        <f>'Buildings &amp; stationary assets'!I82</f>
        <v>0</v>
      </c>
      <c r="P78" s="432" t="str">
        <f>'Buildings &amp; stationary assets'!J82</f>
        <v/>
      </c>
      <c r="Q78" s="432" t="str">
        <f>'Buildings &amp; stationary assets'!K82</f>
        <v/>
      </c>
      <c r="R78" s="432" t="str">
        <f>'Buildings &amp; stationary assets'!L82</f>
        <v/>
      </c>
      <c r="S78" s="432" t="str">
        <f>'Buildings &amp; stationary assets'!M82</f>
        <v/>
      </c>
      <c r="T78" s="432">
        <f>'Buildings &amp; stationary assets'!N82</f>
        <v>0</v>
      </c>
      <c r="U78" s="432">
        <f>'Buildings &amp; stationary assets'!O82</f>
        <v>0</v>
      </c>
      <c r="V78" s="432" t="str">
        <f>'Buildings &amp; stationary assets'!P82</f>
        <v/>
      </c>
      <c r="W78" s="432" t="str">
        <f>'Buildings &amp; stationary assets'!Q82</f>
        <v/>
      </c>
      <c r="X78" s="432" t="str">
        <f>'Buildings &amp; stationary assets'!R82</f>
        <v/>
      </c>
      <c r="Y78" s="432" t="str">
        <f>'Buildings &amp; stationary assets'!S82</f>
        <v/>
      </c>
      <c r="Z78" s="432" t="str">
        <f>'Buildings &amp; stationary assets'!T82</f>
        <v/>
      </c>
      <c r="AA78" s="432" t="str">
        <f>'Buildings &amp; stationary assets'!U82</f>
        <v/>
      </c>
      <c r="AB78" s="432" t="str">
        <f>'Buildings &amp; stationary assets'!V82</f>
        <v/>
      </c>
      <c r="AC78" s="432" t="str">
        <f>'Buildings &amp; stationary assets'!W82</f>
        <v/>
      </c>
      <c r="AE78" s="432">
        <f t="shared" si="2"/>
        <v>0</v>
      </c>
      <c r="AF78" s="432">
        <f t="shared" si="3"/>
        <v>0</v>
      </c>
    </row>
    <row r="79" spans="2:32" x14ac:dyDescent="0.35">
      <c r="B79" s="432" t="e">
        <f>"2024"&amp;MATCH(Totals!D79,OrgType,0)&amp;"_"&amp;MATCH(Totals!E79,Organisations,0)&amp;"_"&amp;LEFT(Totals!F79,1)&amp;"_"&amp;LEFT(G79,1)&amp;"_"&amp;COUNTIF($G$3:G79,G79)</f>
        <v>#N/A</v>
      </c>
      <c r="C79" s="432">
        <v>2024</v>
      </c>
      <c r="D79" s="432">
        <f>Introduction!$D$7</f>
        <v>0</v>
      </c>
      <c r="E79" s="432">
        <f>Introduction!$D$8</f>
        <v>0</v>
      </c>
      <c r="F79" s="432" t="s">
        <v>110</v>
      </c>
      <c r="G79" s="432" t="s">
        <v>110</v>
      </c>
      <c r="H79" s="432">
        <f>'Buildings &amp; stationary assets'!B83</f>
        <v>0</v>
      </c>
      <c r="I79" s="432">
        <f>'Buildings &amp; stationary assets'!C83</f>
        <v>0</v>
      </c>
      <c r="J79" s="432">
        <f>'Buildings &amp; stationary assets'!D83</f>
        <v>0</v>
      </c>
      <c r="K79" s="432">
        <f>'Buildings &amp; stationary assets'!E83</f>
        <v>0</v>
      </c>
      <c r="L79" s="432">
        <f>'Buildings &amp; stationary assets'!F83</f>
        <v>0</v>
      </c>
      <c r="M79" s="432" t="str">
        <f>'Buildings &amp; stationary assets'!G83</f>
        <v/>
      </c>
      <c r="N79" s="432">
        <f>'Buildings &amp; stationary assets'!H83</f>
        <v>0</v>
      </c>
      <c r="O79" s="432">
        <f>'Buildings &amp; stationary assets'!I83</f>
        <v>0</v>
      </c>
      <c r="P79" s="432" t="str">
        <f>'Buildings &amp; stationary assets'!J83</f>
        <v/>
      </c>
      <c r="Q79" s="432" t="str">
        <f>'Buildings &amp; stationary assets'!K83</f>
        <v/>
      </c>
      <c r="R79" s="432" t="str">
        <f>'Buildings &amp; stationary assets'!L83</f>
        <v/>
      </c>
      <c r="S79" s="432" t="str">
        <f>'Buildings &amp; stationary assets'!M83</f>
        <v/>
      </c>
      <c r="T79" s="432">
        <f>'Buildings &amp; stationary assets'!N83</f>
        <v>0</v>
      </c>
      <c r="U79" s="432">
        <f>'Buildings &amp; stationary assets'!O83</f>
        <v>0</v>
      </c>
      <c r="V79" s="432" t="str">
        <f>'Buildings &amp; stationary assets'!P83</f>
        <v/>
      </c>
      <c r="W79" s="432" t="str">
        <f>'Buildings &amp; stationary assets'!Q83</f>
        <v/>
      </c>
      <c r="X79" s="432" t="str">
        <f>'Buildings &amp; stationary assets'!R83</f>
        <v/>
      </c>
      <c r="Y79" s="432" t="str">
        <f>'Buildings &amp; stationary assets'!S83</f>
        <v/>
      </c>
      <c r="Z79" s="432" t="str">
        <f>'Buildings &amp; stationary assets'!T83</f>
        <v/>
      </c>
      <c r="AA79" s="432" t="str">
        <f>'Buildings &amp; stationary assets'!U83</f>
        <v/>
      </c>
      <c r="AB79" s="432" t="str">
        <f>'Buildings &amp; stationary assets'!V83</f>
        <v/>
      </c>
      <c r="AC79" s="432" t="str">
        <f>'Buildings &amp; stationary assets'!W83</f>
        <v/>
      </c>
      <c r="AE79" s="432">
        <f t="shared" si="2"/>
        <v>0</v>
      </c>
      <c r="AF79" s="432">
        <f t="shared" si="3"/>
        <v>0</v>
      </c>
    </row>
    <row r="80" spans="2:32" x14ac:dyDescent="0.35">
      <c r="B80" s="432" t="e">
        <f>"2024"&amp;MATCH(Totals!D80,OrgType,0)&amp;"_"&amp;MATCH(Totals!E80,Organisations,0)&amp;"_"&amp;LEFT(Totals!F80,1)&amp;"_"&amp;LEFT(G80,1)&amp;"_"&amp;COUNTIF($G$3:G80,G80)</f>
        <v>#N/A</v>
      </c>
      <c r="C80" s="432">
        <v>2024</v>
      </c>
      <c r="D80" s="432">
        <f>Introduction!$D$7</f>
        <v>0</v>
      </c>
      <c r="E80" s="432">
        <f>Introduction!$D$8</f>
        <v>0</v>
      </c>
      <c r="F80" s="432" t="s">
        <v>110</v>
      </c>
      <c r="G80" s="432" t="s">
        <v>110</v>
      </c>
      <c r="H80" s="432">
        <f>'Buildings &amp; stationary assets'!B84</f>
        <v>0</v>
      </c>
      <c r="I80" s="432">
        <f>'Buildings &amp; stationary assets'!C84</f>
        <v>0</v>
      </c>
      <c r="J80" s="432">
        <f>'Buildings &amp; stationary assets'!D84</f>
        <v>0</v>
      </c>
      <c r="K80" s="432">
        <f>'Buildings &amp; stationary assets'!E84</f>
        <v>0</v>
      </c>
      <c r="L80" s="432">
        <f>'Buildings &amp; stationary assets'!F84</f>
        <v>0</v>
      </c>
      <c r="M80" s="432" t="str">
        <f>'Buildings &amp; stationary assets'!G84</f>
        <v/>
      </c>
      <c r="N80" s="432">
        <f>'Buildings &amp; stationary assets'!H84</f>
        <v>0</v>
      </c>
      <c r="O80" s="432">
        <f>'Buildings &amp; stationary assets'!I84</f>
        <v>0</v>
      </c>
      <c r="P80" s="432" t="str">
        <f>'Buildings &amp; stationary assets'!J84</f>
        <v/>
      </c>
      <c r="Q80" s="432" t="str">
        <f>'Buildings &amp; stationary assets'!K84</f>
        <v/>
      </c>
      <c r="R80" s="432" t="str">
        <f>'Buildings &amp; stationary assets'!L84</f>
        <v/>
      </c>
      <c r="S80" s="432" t="str">
        <f>'Buildings &amp; stationary assets'!M84</f>
        <v/>
      </c>
      <c r="T80" s="432">
        <f>'Buildings &amp; stationary assets'!N84</f>
        <v>0</v>
      </c>
      <c r="U80" s="432">
        <f>'Buildings &amp; stationary assets'!O84</f>
        <v>0</v>
      </c>
      <c r="V80" s="432" t="str">
        <f>'Buildings &amp; stationary assets'!P84</f>
        <v/>
      </c>
      <c r="W80" s="432" t="str">
        <f>'Buildings &amp; stationary assets'!Q84</f>
        <v/>
      </c>
      <c r="X80" s="432" t="str">
        <f>'Buildings &amp; stationary assets'!R84</f>
        <v/>
      </c>
      <c r="Y80" s="432" t="str">
        <f>'Buildings &amp; stationary assets'!S84</f>
        <v/>
      </c>
      <c r="Z80" s="432" t="str">
        <f>'Buildings &amp; stationary assets'!T84</f>
        <v/>
      </c>
      <c r="AA80" s="432" t="str">
        <f>'Buildings &amp; stationary assets'!U84</f>
        <v/>
      </c>
      <c r="AB80" s="432" t="str">
        <f>'Buildings &amp; stationary assets'!V84</f>
        <v/>
      </c>
      <c r="AC80" s="432" t="str">
        <f>'Buildings &amp; stationary assets'!W84</f>
        <v/>
      </c>
      <c r="AE80" s="432">
        <f t="shared" si="2"/>
        <v>0</v>
      </c>
      <c r="AF80" s="432">
        <f t="shared" si="3"/>
        <v>0</v>
      </c>
    </row>
    <row r="81" spans="2:32" x14ac:dyDescent="0.35">
      <c r="B81" s="432" t="e">
        <f>"2024"&amp;MATCH(Totals!D81,OrgType,0)&amp;"_"&amp;MATCH(Totals!E81,Organisations,0)&amp;"_"&amp;LEFT(Totals!F81,1)&amp;"_"&amp;LEFT(G81,1)&amp;"_"&amp;COUNTIF($G$3:G81,G81)</f>
        <v>#N/A</v>
      </c>
      <c r="C81" s="432">
        <v>2024</v>
      </c>
      <c r="D81" s="432">
        <f>Introduction!$D$7</f>
        <v>0</v>
      </c>
      <c r="E81" s="432">
        <f>Introduction!$D$8</f>
        <v>0</v>
      </c>
      <c r="F81" s="432" t="s">
        <v>110</v>
      </c>
      <c r="G81" s="432" t="s">
        <v>110</v>
      </c>
      <c r="H81" s="432">
        <f>'Buildings &amp; stationary assets'!B85</f>
        <v>0</v>
      </c>
      <c r="I81" s="432">
        <f>'Buildings &amp; stationary assets'!C85</f>
        <v>0</v>
      </c>
      <c r="J81" s="432">
        <f>'Buildings &amp; stationary assets'!D85</f>
        <v>0</v>
      </c>
      <c r="K81" s="432">
        <f>'Buildings &amp; stationary assets'!E85</f>
        <v>0</v>
      </c>
      <c r="L81" s="432">
        <f>'Buildings &amp; stationary assets'!F85</f>
        <v>0</v>
      </c>
      <c r="M81" s="432" t="str">
        <f>'Buildings &amp; stationary assets'!G85</f>
        <v/>
      </c>
      <c r="N81" s="432">
        <f>'Buildings &amp; stationary assets'!H85</f>
        <v>0</v>
      </c>
      <c r="O81" s="432">
        <f>'Buildings &amp; stationary assets'!I85</f>
        <v>0</v>
      </c>
      <c r="P81" s="432" t="str">
        <f>'Buildings &amp; stationary assets'!J85</f>
        <v/>
      </c>
      <c r="Q81" s="432" t="str">
        <f>'Buildings &amp; stationary assets'!K85</f>
        <v/>
      </c>
      <c r="R81" s="432" t="str">
        <f>'Buildings &amp; stationary assets'!L85</f>
        <v/>
      </c>
      <c r="S81" s="432" t="str">
        <f>'Buildings &amp; stationary assets'!M85</f>
        <v/>
      </c>
      <c r="T81" s="432">
        <f>'Buildings &amp; stationary assets'!N85</f>
        <v>0</v>
      </c>
      <c r="U81" s="432">
        <f>'Buildings &amp; stationary assets'!O85</f>
        <v>0</v>
      </c>
      <c r="V81" s="432" t="str">
        <f>'Buildings &amp; stationary assets'!P85</f>
        <v/>
      </c>
      <c r="W81" s="432" t="str">
        <f>'Buildings &amp; stationary assets'!Q85</f>
        <v/>
      </c>
      <c r="X81" s="432" t="str">
        <f>'Buildings &amp; stationary assets'!R85</f>
        <v/>
      </c>
      <c r="Y81" s="432" t="str">
        <f>'Buildings &amp; stationary assets'!S85</f>
        <v/>
      </c>
      <c r="Z81" s="432" t="str">
        <f>'Buildings &amp; stationary assets'!T85</f>
        <v/>
      </c>
      <c r="AA81" s="432" t="str">
        <f>'Buildings &amp; stationary assets'!U85</f>
        <v/>
      </c>
      <c r="AB81" s="432" t="str">
        <f>'Buildings &amp; stationary assets'!V85</f>
        <v/>
      </c>
      <c r="AC81" s="432" t="str">
        <f>'Buildings &amp; stationary assets'!W85</f>
        <v/>
      </c>
      <c r="AE81" s="432">
        <f t="shared" si="2"/>
        <v>0</v>
      </c>
      <c r="AF81" s="432">
        <f t="shared" si="3"/>
        <v>0</v>
      </c>
    </row>
    <row r="82" spans="2:32" x14ac:dyDescent="0.35">
      <c r="B82" s="432" t="e">
        <f>"2024"&amp;MATCH(Totals!D82,OrgType,0)&amp;"_"&amp;MATCH(Totals!E82,Organisations,0)&amp;"_"&amp;LEFT(Totals!F82,1)&amp;"_"&amp;LEFT(G82,1)&amp;"_"&amp;COUNTIF($G$3:G82,G82)</f>
        <v>#N/A</v>
      </c>
      <c r="C82" s="432">
        <v>2024</v>
      </c>
      <c r="D82" s="432">
        <f>Introduction!$D$7</f>
        <v>0</v>
      </c>
      <c r="E82" s="432">
        <f>Introduction!$D$8</f>
        <v>0</v>
      </c>
      <c r="F82" s="432" t="s">
        <v>110</v>
      </c>
      <c r="G82" s="432" t="s">
        <v>110</v>
      </c>
      <c r="H82" s="432">
        <f>'Buildings &amp; stationary assets'!B86</f>
        <v>0</v>
      </c>
      <c r="I82" s="432">
        <f>'Buildings &amp; stationary assets'!C86</f>
        <v>0</v>
      </c>
      <c r="J82" s="432">
        <f>'Buildings &amp; stationary assets'!D86</f>
        <v>0</v>
      </c>
      <c r="K82" s="432">
        <f>'Buildings &amp; stationary assets'!E86</f>
        <v>0</v>
      </c>
      <c r="L82" s="432">
        <f>'Buildings &amp; stationary assets'!F86</f>
        <v>0</v>
      </c>
      <c r="M82" s="432" t="str">
        <f>'Buildings &amp; stationary assets'!G86</f>
        <v/>
      </c>
      <c r="N82" s="432">
        <f>'Buildings &amp; stationary assets'!H86</f>
        <v>0</v>
      </c>
      <c r="O82" s="432">
        <f>'Buildings &amp; stationary assets'!I86</f>
        <v>0</v>
      </c>
      <c r="P82" s="432" t="str">
        <f>'Buildings &amp; stationary assets'!J86</f>
        <v/>
      </c>
      <c r="Q82" s="432" t="str">
        <f>'Buildings &amp; stationary assets'!K86</f>
        <v/>
      </c>
      <c r="R82" s="432" t="str">
        <f>'Buildings &amp; stationary assets'!L86</f>
        <v/>
      </c>
      <c r="S82" s="432" t="str">
        <f>'Buildings &amp; stationary assets'!M86</f>
        <v/>
      </c>
      <c r="T82" s="432">
        <f>'Buildings &amp; stationary assets'!N86</f>
        <v>0</v>
      </c>
      <c r="U82" s="432">
        <f>'Buildings &amp; stationary assets'!O86</f>
        <v>0</v>
      </c>
      <c r="V82" s="432" t="str">
        <f>'Buildings &amp; stationary assets'!P86</f>
        <v/>
      </c>
      <c r="W82" s="432" t="str">
        <f>'Buildings &amp; stationary assets'!Q86</f>
        <v/>
      </c>
      <c r="X82" s="432" t="str">
        <f>'Buildings &amp; stationary assets'!R86</f>
        <v/>
      </c>
      <c r="Y82" s="432" t="str">
        <f>'Buildings &amp; stationary assets'!S86</f>
        <v/>
      </c>
      <c r="Z82" s="432" t="str">
        <f>'Buildings &amp; stationary assets'!T86</f>
        <v/>
      </c>
      <c r="AA82" s="432" t="str">
        <f>'Buildings &amp; stationary assets'!U86</f>
        <v/>
      </c>
      <c r="AB82" s="432" t="str">
        <f>'Buildings &amp; stationary assets'!V86</f>
        <v/>
      </c>
      <c r="AC82" s="432" t="str">
        <f>'Buildings &amp; stationary assets'!W86</f>
        <v/>
      </c>
      <c r="AE82" s="432">
        <f t="shared" si="2"/>
        <v>0</v>
      </c>
      <c r="AF82" s="432">
        <f t="shared" si="3"/>
        <v>0</v>
      </c>
    </row>
    <row r="83" spans="2:32" x14ac:dyDescent="0.35">
      <c r="B83" s="432" t="e">
        <f>"2024"&amp;MATCH(Totals!D83,OrgType,0)&amp;"_"&amp;MATCH(Totals!E83,Organisations,0)&amp;"_"&amp;LEFT(Totals!F83,1)&amp;"_"&amp;LEFT(G83,1)&amp;"_"&amp;COUNTIF($G$3:G83,G83)</f>
        <v>#N/A</v>
      </c>
      <c r="C83" s="432">
        <v>2024</v>
      </c>
      <c r="D83" s="432">
        <f>Introduction!$D$7</f>
        <v>0</v>
      </c>
      <c r="E83" s="432">
        <f>Introduction!$D$8</f>
        <v>0</v>
      </c>
      <c r="F83" s="432" t="s">
        <v>110</v>
      </c>
      <c r="G83" s="432" t="s">
        <v>110</v>
      </c>
      <c r="H83" s="432">
        <f>'Buildings &amp; stationary assets'!B87</f>
        <v>0</v>
      </c>
      <c r="I83" s="432">
        <f>'Buildings &amp; stationary assets'!C87</f>
        <v>0</v>
      </c>
      <c r="J83" s="432">
        <f>'Buildings &amp; stationary assets'!D87</f>
        <v>0</v>
      </c>
      <c r="K83" s="432">
        <f>'Buildings &amp; stationary assets'!E87</f>
        <v>0</v>
      </c>
      <c r="L83" s="432">
        <f>'Buildings &amp; stationary assets'!F87</f>
        <v>0</v>
      </c>
      <c r="M83" s="432" t="str">
        <f>'Buildings &amp; stationary assets'!G87</f>
        <v/>
      </c>
      <c r="N83" s="432">
        <f>'Buildings &amp; stationary assets'!H87</f>
        <v>0</v>
      </c>
      <c r="O83" s="432">
        <f>'Buildings &amp; stationary assets'!I87</f>
        <v>0</v>
      </c>
      <c r="P83" s="432" t="str">
        <f>'Buildings &amp; stationary assets'!J87</f>
        <v/>
      </c>
      <c r="Q83" s="432" t="str">
        <f>'Buildings &amp; stationary assets'!K87</f>
        <v/>
      </c>
      <c r="R83" s="432" t="str">
        <f>'Buildings &amp; stationary assets'!L87</f>
        <v/>
      </c>
      <c r="S83" s="432" t="str">
        <f>'Buildings &amp; stationary assets'!M87</f>
        <v/>
      </c>
      <c r="T83" s="432">
        <f>'Buildings &amp; stationary assets'!N87</f>
        <v>0</v>
      </c>
      <c r="U83" s="432">
        <f>'Buildings &amp; stationary assets'!O87</f>
        <v>0</v>
      </c>
      <c r="V83" s="432" t="str">
        <f>'Buildings &amp; stationary assets'!P87</f>
        <v/>
      </c>
      <c r="W83" s="432" t="str">
        <f>'Buildings &amp; stationary assets'!Q87</f>
        <v/>
      </c>
      <c r="X83" s="432" t="str">
        <f>'Buildings &amp; stationary assets'!R87</f>
        <v/>
      </c>
      <c r="Y83" s="432" t="str">
        <f>'Buildings &amp; stationary assets'!S87</f>
        <v/>
      </c>
      <c r="Z83" s="432" t="str">
        <f>'Buildings &amp; stationary assets'!T87</f>
        <v/>
      </c>
      <c r="AA83" s="432" t="str">
        <f>'Buildings &amp; stationary assets'!U87</f>
        <v/>
      </c>
      <c r="AB83" s="432" t="str">
        <f>'Buildings &amp; stationary assets'!V87</f>
        <v/>
      </c>
      <c r="AC83" s="432" t="str">
        <f>'Buildings &amp; stationary assets'!W87</f>
        <v/>
      </c>
      <c r="AE83" s="432">
        <f t="shared" si="2"/>
        <v>0</v>
      </c>
      <c r="AF83" s="432">
        <f t="shared" si="3"/>
        <v>0</v>
      </c>
    </row>
    <row r="84" spans="2:32" x14ac:dyDescent="0.35">
      <c r="B84" s="432" t="e">
        <f>"2024"&amp;MATCH(Totals!D84,OrgType,0)&amp;"_"&amp;MATCH(Totals!E84,Organisations,0)&amp;"_"&amp;LEFT(Totals!F84,1)&amp;"_"&amp;LEFT(G84,1)&amp;"_"&amp;COUNTIF($G$3:G84,G84)</f>
        <v>#N/A</v>
      </c>
      <c r="C84" s="432">
        <v>2024</v>
      </c>
      <c r="D84" s="432">
        <f>Introduction!$D$7</f>
        <v>0</v>
      </c>
      <c r="E84" s="432">
        <f>Introduction!$D$8</f>
        <v>0</v>
      </c>
      <c r="F84" s="432" t="s">
        <v>110</v>
      </c>
      <c r="G84" s="432" t="s">
        <v>110</v>
      </c>
      <c r="H84" s="432">
        <f>'Buildings &amp; stationary assets'!B88</f>
        <v>0</v>
      </c>
      <c r="I84" s="432">
        <f>'Buildings &amp; stationary assets'!C88</f>
        <v>0</v>
      </c>
      <c r="J84" s="432">
        <f>'Buildings &amp; stationary assets'!D88</f>
        <v>0</v>
      </c>
      <c r="K84" s="432">
        <f>'Buildings &amp; stationary assets'!E88</f>
        <v>0</v>
      </c>
      <c r="L84" s="432">
        <f>'Buildings &amp; stationary assets'!F88</f>
        <v>0</v>
      </c>
      <c r="M84" s="432" t="str">
        <f>'Buildings &amp; stationary assets'!G88</f>
        <v/>
      </c>
      <c r="N84" s="432">
        <f>'Buildings &amp; stationary assets'!H88</f>
        <v>0</v>
      </c>
      <c r="O84" s="432">
        <f>'Buildings &amp; stationary assets'!I88</f>
        <v>0</v>
      </c>
      <c r="P84" s="432" t="str">
        <f>'Buildings &amp; stationary assets'!J88</f>
        <v/>
      </c>
      <c r="Q84" s="432" t="str">
        <f>'Buildings &amp; stationary assets'!K88</f>
        <v/>
      </c>
      <c r="R84" s="432" t="str">
        <f>'Buildings &amp; stationary assets'!L88</f>
        <v/>
      </c>
      <c r="S84" s="432" t="str">
        <f>'Buildings &amp; stationary assets'!M88</f>
        <v/>
      </c>
      <c r="T84" s="432">
        <f>'Buildings &amp; stationary assets'!N88</f>
        <v>0</v>
      </c>
      <c r="U84" s="432">
        <f>'Buildings &amp; stationary assets'!O88</f>
        <v>0</v>
      </c>
      <c r="V84" s="432" t="str">
        <f>'Buildings &amp; stationary assets'!P88</f>
        <v/>
      </c>
      <c r="W84" s="432" t="str">
        <f>'Buildings &amp; stationary assets'!Q88</f>
        <v/>
      </c>
      <c r="X84" s="432" t="str">
        <f>'Buildings &amp; stationary assets'!R88</f>
        <v/>
      </c>
      <c r="Y84" s="432" t="str">
        <f>'Buildings &amp; stationary assets'!S88</f>
        <v/>
      </c>
      <c r="Z84" s="432" t="str">
        <f>'Buildings &amp; stationary assets'!T88</f>
        <v/>
      </c>
      <c r="AA84" s="432" t="str">
        <f>'Buildings &amp; stationary assets'!U88</f>
        <v/>
      </c>
      <c r="AB84" s="432" t="str">
        <f>'Buildings &amp; stationary assets'!V88</f>
        <v/>
      </c>
      <c r="AC84" s="432" t="str">
        <f>'Buildings &amp; stationary assets'!W88</f>
        <v/>
      </c>
      <c r="AE84" s="432">
        <f t="shared" si="2"/>
        <v>0</v>
      </c>
      <c r="AF84" s="432">
        <f t="shared" si="3"/>
        <v>0</v>
      </c>
    </row>
    <row r="85" spans="2:32" x14ac:dyDescent="0.35">
      <c r="B85" s="432" t="e">
        <f>"2024"&amp;MATCH(Totals!D85,OrgType,0)&amp;"_"&amp;MATCH(Totals!E85,Organisations,0)&amp;"_"&amp;LEFT(Totals!F85,1)&amp;"_"&amp;LEFT(G85,1)&amp;"_"&amp;COUNTIF($G$3:G85,G85)</f>
        <v>#N/A</v>
      </c>
      <c r="C85" s="432">
        <v>2024</v>
      </c>
      <c r="D85" s="432">
        <f>Introduction!$D$7</f>
        <v>0</v>
      </c>
      <c r="E85" s="432">
        <f>Introduction!$D$8</f>
        <v>0</v>
      </c>
      <c r="F85" s="432" t="s">
        <v>110</v>
      </c>
      <c r="G85" s="432" t="s">
        <v>110</v>
      </c>
      <c r="H85" s="432">
        <f>'Buildings &amp; stationary assets'!B89</f>
        <v>0</v>
      </c>
      <c r="I85" s="432">
        <f>'Buildings &amp; stationary assets'!C89</f>
        <v>0</v>
      </c>
      <c r="J85" s="432">
        <f>'Buildings &amp; stationary assets'!D89</f>
        <v>0</v>
      </c>
      <c r="K85" s="432">
        <f>'Buildings &amp; stationary assets'!E89</f>
        <v>0</v>
      </c>
      <c r="L85" s="432">
        <f>'Buildings &amp; stationary assets'!F89</f>
        <v>0</v>
      </c>
      <c r="M85" s="432" t="str">
        <f>'Buildings &amp; stationary assets'!G89</f>
        <v/>
      </c>
      <c r="N85" s="432">
        <f>'Buildings &amp; stationary assets'!H89</f>
        <v>0</v>
      </c>
      <c r="O85" s="432">
        <f>'Buildings &amp; stationary assets'!I89</f>
        <v>0</v>
      </c>
      <c r="P85" s="432" t="str">
        <f>'Buildings &amp; stationary assets'!J89</f>
        <v/>
      </c>
      <c r="Q85" s="432" t="str">
        <f>'Buildings &amp; stationary assets'!K89</f>
        <v/>
      </c>
      <c r="R85" s="432" t="str">
        <f>'Buildings &amp; stationary assets'!L89</f>
        <v/>
      </c>
      <c r="S85" s="432" t="str">
        <f>'Buildings &amp; stationary assets'!M89</f>
        <v/>
      </c>
      <c r="T85" s="432">
        <f>'Buildings &amp; stationary assets'!N89</f>
        <v>0</v>
      </c>
      <c r="U85" s="432">
        <f>'Buildings &amp; stationary assets'!O89</f>
        <v>0</v>
      </c>
      <c r="V85" s="432" t="str">
        <f>'Buildings &amp; stationary assets'!P89</f>
        <v/>
      </c>
      <c r="W85" s="432" t="str">
        <f>'Buildings &amp; stationary assets'!Q89</f>
        <v/>
      </c>
      <c r="X85" s="432" t="str">
        <f>'Buildings &amp; stationary assets'!R89</f>
        <v/>
      </c>
      <c r="Y85" s="432" t="str">
        <f>'Buildings &amp; stationary assets'!S89</f>
        <v/>
      </c>
      <c r="Z85" s="432" t="str">
        <f>'Buildings &amp; stationary assets'!T89</f>
        <v/>
      </c>
      <c r="AA85" s="432" t="str">
        <f>'Buildings &amp; stationary assets'!U89</f>
        <v/>
      </c>
      <c r="AB85" s="432" t="str">
        <f>'Buildings &amp; stationary assets'!V89</f>
        <v/>
      </c>
      <c r="AC85" s="432" t="str">
        <f>'Buildings &amp; stationary assets'!W89</f>
        <v/>
      </c>
      <c r="AE85" s="432">
        <f t="shared" si="2"/>
        <v>0</v>
      </c>
      <c r="AF85" s="432">
        <f t="shared" si="3"/>
        <v>0</v>
      </c>
    </row>
    <row r="86" spans="2:32" x14ac:dyDescent="0.35">
      <c r="B86" s="432" t="e">
        <f>"2024"&amp;MATCH(Totals!D86,OrgType,0)&amp;"_"&amp;MATCH(Totals!E86,Organisations,0)&amp;"_"&amp;LEFT(Totals!F86,1)&amp;"_"&amp;LEFT(G86,1)&amp;"_"&amp;COUNTIF($G$3:G86,G86)</f>
        <v>#N/A</v>
      </c>
      <c r="C86" s="432">
        <v>2024</v>
      </c>
      <c r="D86" s="432">
        <f>Introduction!$D$7</f>
        <v>0</v>
      </c>
      <c r="E86" s="432">
        <f>Introduction!$D$8</f>
        <v>0</v>
      </c>
      <c r="F86" s="432" t="s">
        <v>110</v>
      </c>
      <c r="G86" s="432" t="s">
        <v>110</v>
      </c>
      <c r="H86" s="432">
        <f>'Buildings &amp; stationary assets'!B90</f>
        <v>0</v>
      </c>
      <c r="I86" s="432">
        <f>'Buildings &amp; stationary assets'!C90</f>
        <v>0</v>
      </c>
      <c r="J86" s="432">
        <f>'Buildings &amp; stationary assets'!D90</f>
        <v>0</v>
      </c>
      <c r="K86" s="432">
        <f>'Buildings &amp; stationary assets'!E90</f>
        <v>0</v>
      </c>
      <c r="L86" s="432">
        <f>'Buildings &amp; stationary assets'!F90</f>
        <v>0</v>
      </c>
      <c r="M86" s="432" t="str">
        <f>'Buildings &amp; stationary assets'!G90</f>
        <v/>
      </c>
      <c r="N86" s="432">
        <f>'Buildings &amp; stationary assets'!H90</f>
        <v>0</v>
      </c>
      <c r="O86" s="432">
        <f>'Buildings &amp; stationary assets'!I90</f>
        <v>0</v>
      </c>
      <c r="P86" s="432" t="str">
        <f>'Buildings &amp; stationary assets'!J90</f>
        <v/>
      </c>
      <c r="Q86" s="432" t="str">
        <f>'Buildings &amp; stationary assets'!K90</f>
        <v/>
      </c>
      <c r="R86" s="432" t="str">
        <f>'Buildings &amp; stationary assets'!L90</f>
        <v/>
      </c>
      <c r="S86" s="432" t="str">
        <f>'Buildings &amp; stationary assets'!M90</f>
        <v/>
      </c>
      <c r="T86" s="432">
        <f>'Buildings &amp; stationary assets'!N90</f>
        <v>0</v>
      </c>
      <c r="U86" s="432">
        <f>'Buildings &amp; stationary assets'!O90</f>
        <v>0</v>
      </c>
      <c r="V86" s="432" t="str">
        <f>'Buildings &amp; stationary assets'!P90</f>
        <v/>
      </c>
      <c r="W86" s="432" t="str">
        <f>'Buildings &amp; stationary assets'!Q90</f>
        <v/>
      </c>
      <c r="X86" s="432" t="str">
        <f>'Buildings &amp; stationary assets'!R90</f>
        <v/>
      </c>
      <c r="Y86" s="432" t="str">
        <f>'Buildings &amp; stationary assets'!S90</f>
        <v/>
      </c>
      <c r="Z86" s="432" t="str">
        <f>'Buildings &amp; stationary assets'!T90</f>
        <v/>
      </c>
      <c r="AA86" s="432" t="str">
        <f>'Buildings &amp; stationary assets'!U90</f>
        <v/>
      </c>
      <c r="AB86" s="432" t="str">
        <f>'Buildings &amp; stationary assets'!V90</f>
        <v/>
      </c>
      <c r="AC86" s="432" t="str">
        <f>'Buildings &amp; stationary assets'!W90</f>
        <v/>
      </c>
      <c r="AE86" s="432">
        <f t="shared" si="2"/>
        <v>0</v>
      </c>
      <c r="AF86" s="432">
        <f t="shared" si="3"/>
        <v>0</v>
      </c>
    </row>
    <row r="87" spans="2:32" x14ac:dyDescent="0.35">
      <c r="B87" s="432" t="e">
        <f>"2024"&amp;MATCH(Totals!D87,OrgType,0)&amp;"_"&amp;MATCH(Totals!E87,Organisations,0)&amp;"_"&amp;LEFT(Totals!F87,1)&amp;"_"&amp;LEFT(G87,1)&amp;"_"&amp;COUNTIF($G$3:G87,G87)</f>
        <v>#N/A</v>
      </c>
      <c r="C87" s="432">
        <v>2024</v>
      </c>
      <c r="D87" s="432">
        <f>Introduction!$D$7</f>
        <v>0</v>
      </c>
      <c r="E87" s="432">
        <f>Introduction!$D$8</f>
        <v>0</v>
      </c>
      <c r="F87" s="432" t="s">
        <v>110</v>
      </c>
      <c r="G87" s="432" t="s">
        <v>110</v>
      </c>
      <c r="H87" s="432">
        <f>'Buildings &amp; stationary assets'!B91</f>
        <v>0</v>
      </c>
      <c r="I87" s="432">
        <f>'Buildings &amp; stationary assets'!C91</f>
        <v>0</v>
      </c>
      <c r="J87" s="432">
        <f>'Buildings &amp; stationary assets'!D91</f>
        <v>0</v>
      </c>
      <c r="K87" s="432">
        <f>'Buildings &amp; stationary assets'!E91</f>
        <v>0</v>
      </c>
      <c r="L87" s="432">
        <f>'Buildings &amp; stationary assets'!F91</f>
        <v>0</v>
      </c>
      <c r="M87" s="432" t="str">
        <f>'Buildings &amp; stationary assets'!G91</f>
        <v/>
      </c>
      <c r="N87" s="432">
        <f>'Buildings &amp; stationary assets'!H91</f>
        <v>0</v>
      </c>
      <c r="O87" s="432">
        <f>'Buildings &amp; stationary assets'!I91</f>
        <v>0</v>
      </c>
      <c r="P87" s="432" t="str">
        <f>'Buildings &amp; stationary assets'!J91</f>
        <v/>
      </c>
      <c r="Q87" s="432" t="str">
        <f>'Buildings &amp; stationary assets'!K91</f>
        <v/>
      </c>
      <c r="R87" s="432" t="str">
        <f>'Buildings &amp; stationary assets'!L91</f>
        <v/>
      </c>
      <c r="S87" s="432" t="str">
        <f>'Buildings &amp; stationary assets'!M91</f>
        <v/>
      </c>
      <c r="T87" s="432">
        <f>'Buildings &amp; stationary assets'!N91</f>
        <v>0</v>
      </c>
      <c r="U87" s="432">
        <f>'Buildings &amp; stationary assets'!O91</f>
        <v>0</v>
      </c>
      <c r="V87" s="432" t="str">
        <f>'Buildings &amp; stationary assets'!P91</f>
        <v/>
      </c>
      <c r="W87" s="432" t="str">
        <f>'Buildings &amp; stationary assets'!Q91</f>
        <v/>
      </c>
      <c r="X87" s="432" t="str">
        <f>'Buildings &amp; stationary assets'!R91</f>
        <v/>
      </c>
      <c r="Y87" s="432" t="str">
        <f>'Buildings &amp; stationary assets'!S91</f>
        <v/>
      </c>
      <c r="Z87" s="432" t="str">
        <f>'Buildings &amp; stationary assets'!T91</f>
        <v/>
      </c>
      <c r="AA87" s="432" t="str">
        <f>'Buildings &amp; stationary assets'!U91</f>
        <v/>
      </c>
      <c r="AB87" s="432" t="str">
        <f>'Buildings &amp; stationary assets'!V91</f>
        <v/>
      </c>
      <c r="AC87" s="432" t="str">
        <f>'Buildings &amp; stationary assets'!W91</f>
        <v/>
      </c>
      <c r="AE87" s="432">
        <f t="shared" si="2"/>
        <v>0</v>
      </c>
      <c r="AF87" s="432">
        <f t="shared" si="3"/>
        <v>0</v>
      </c>
    </row>
    <row r="88" spans="2:32" x14ac:dyDescent="0.35">
      <c r="B88" s="432" t="e">
        <f>"2024"&amp;MATCH(Totals!D88,OrgType,0)&amp;"_"&amp;MATCH(Totals!E88,Organisations,0)&amp;"_"&amp;LEFT(Totals!F88,1)&amp;"_"&amp;LEFT(G88,1)&amp;"_"&amp;COUNTIF($G$3:G88,G88)</f>
        <v>#N/A</v>
      </c>
      <c r="C88" s="432">
        <v>2024</v>
      </c>
      <c r="D88" s="432">
        <f>Introduction!$D$7</f>
        <v>0</v>
      </c>
      <c r="E88" s="432">
        <f>Introduction!$D$8</f>
        <v>0</v>
      </c>
      <c r="F88" s="432" t="s">
        <v>110</v>
      </c>
      <c r="G88" s="432" t="s">
        <v>110</v>
      </c>
      <c r="H88" s="432">
        <f>'Buildings &amp; stationary assets'!B92</f>
        <v>0</v>
      </c>
      <c r="I88" s="432">
        <f>'Buildings &amp; stationary assets'!C92</f>
        <v>0</v>
      </c>
      <c r="J88" s="432">
        <f>'Buildings &amp; stationary assets'!D92</f>
        <v>0</v>
      </c>
      <c r="K88" s="432">
        <f>'Buildings &amp; stationary assets'!E92</f>
        <v>0</v>
      </c>
      <c r="L88" s="432">
        <f>'Buildings &amp; stationary assets'!F92</f>
        <v>0</v>
      </c>
      <c r="M88" s="432" t="str">
        <f>'Buildings &amp; stationary assets'!G92</f>
        <v/>
      </c>
      <c r="N88" s="432">
        <f>'Buildings &amp; stationary assets'!H92</f>
        <v>0</v>
      </c>
      <c r="O88" s="432">
        <f>'Buildings &amp; stationary assets'!I92</f>
        <v>0</v>
      </c>
      <c r="P88" s="432" t="str">
        <f>'Buildings &amp; stationary assets'!J92</f>
        <v/>
      </c>
      <c r="Q88" s="432" t="str">
        <f>'Buildings &amp; stationary assets'!K92</f>
        <v/>
      </c>
      <c r="R88" s="432" t="str">
        <f>'Buildings &amp; stationary assets'!L92</f>
        <v/>
      </c>
      <c r="S88" s="432" t="str">
        <f>'Buildings &amp; stationary assets'!M92</f>
        <v/>
      </c>
      <c r="T88" s="432">
        <f>'Buildings &amp; stationary assets'!N92</f>
        <v>0</v>
      </c>
      <c r="U88" s="432">
        <f>'Buildings &amp; stationary assets'!O92</f>
        <v>0</v>
      </c>
      <c r="V88" s="432" t="str">
        <f>'Buildings &amp; stationary assets'!P92</f>
        <v/>
      </c>
      <c r="W88" s="432" t="str">
        <f>'Buildings &amp; stationary assets'!Q92</f>
        <v/>
      </c>
      <c r="X88" s="432" t="str">
        <f>'Buildings &amp; stationary assets'!R92</f>
        <v/>
      </c>
      <c r="Y88" s="432" t="str">
        <f>'Buildings &amp; stationary assets'!S92</f>
        <v/>
      </c>
      <c r="Z88" s="432" t="str">
        <f>'Buildings &amp; stationary assets'!T92</f>
        <v/>
      </c>
      <c r="AA88" s="432" t="str">
        <f>'Buildings &amp; stationary assets'!U92</f>
        <v/>
      </c>
      <c r="AB88" s="432" t="str">
        <f>'Buildings &amp; stationary assets'!V92</f>
        <v/>
      </c>
      <c r="AC88" s="432" t="str">
        <f>'Buildings &amp; stationary assets'!W92</f>
        <v/>
      </c>
      <c r="AE88" s="432">
        <f t="shared" si="2"/>
        <v>0</v>
      </c>
      <c r="AF88" s="432">
        <f t="shared" si="3"/>
        <v>0</v>
      </c>
    </row>
    <row r="89" spans="2:32" x14ac:dyDescent="0.35">
      <c r="B89" s="432" t="e">
        <f>"2024"&amp;MATCH(Totals!D89,OrgType,0)&amp;"_"&amp;MATCH(Totals!E89,Organisations,0)&amp;"_"&amp;LEFT(Totals!F89,1)&amp;"_"&amp;LEFT(G89,1)&amp;"_"&amp;COUNTIF($G$3:G89,G89)</f>
        <v>#N/A</v>
      </c>
      <c r="C89" s="432">
        <v>2024</v>
      </c>
      <c r="D89" s="432">
        <f>Introduction!$D$7</f>
        <v>0</v>
      </c>
      <c r="E89" s="432">
        <f>Introduction!$D$8</f>
        <v>0</v>
      </c>
      <c r="F89" s="432" t="s">
        <v>110</v>
      </c>
      <c r="G89" s="432" t="s">
        <v>110</v>
      </c>
      <c r="H89" s="432">
        <f>'Buildings &amp; stationary assets'!B93</f>
        <v>0</v>
      </c>
      <c r="I89" s="432">
        <f>'Buildings &amp; stationary assets'!C93</f>
        <v>0</v>
      </c>
      <c r="J89" s="432">
        <f>'Buildings &amp; stationary assets'!D93</f>
        <v>0</v>
      </c>
      <c r="K89" s="432">
        <f>'Buildings &amp; stationary assets'!E93</f>
        <v>0</v>
      </c>
      <c r="L89" s="432">
        <f>'Buildings &amp; stationary assets'!F93</f>
        <v>0</v>
      </c>
      <c r="M89" s="432" t="str">
        <f>'Buildings &amp; stationary assets'!G93</f>
        <v/>
      </c>
      <c r="N89" s="432">
        <f>'Buildings &amp; stationary assets'!H93</f>
        <v>0</v>
      </c>
      <c r="O89" s="432">
        <f>'Buildings &amp; stationary assets'!I93</f>
        <v>0</v>
      </c>
      <c r="P89" s="432" t="str">
        <f>'Buildings &amp; stationary assets'!J93</f>
        <v/>
      </c>
      <c r="Q89" s="432" t="str">
        <f>'Buildings &amp; stationary assets'!K93</f>
        <v/>
      </c>
      <c r="R89" s="432" t="str">
        <f>'Buildings &amp; stationary assets'!L93</f>
        <v/>
      </c>
      <c r="S89" s="432" t="str">
        <f>'Buildings &amp; stationary assets'!M93</f>
        <v/>
      </c>
      <c r="T89" s="432">
        <f>'Buildings &amp; stationary assets'!N93</f>
        <v>0</v>
      </c>
      <c r="U89" s="432">
        <f>'Buildings &amp; stationary assets'!O93</f>
        <v>0</v>
      </c>
      <c r="V89" s="432" t="str">
        <f>'Buildings &amp; stationary assets'!P93</f>
        <v/>
      </c>
      <c r="W89" s="432" t="str">
        <f>'Buildings &amp; stationary assets'!Q93</f>
        <v/>
      </c>
      <c r="X89" s="432" t="str">
        <f>'Buildings &amp; stationary assets'!R93</f>
        <v/>
      </c>
      <c r="Y89" s="432" t="str">
        <f>'Buildings &amp; stationary assets'!S93</f>
        <v/>
      </c>
      <c r="Z89" s="432" t="str">
        <f>'Buildings &amp; stationary assets'!T93</f>
        <v/>
      </c>
      <c r="AA89" s="432" t="str">
        <f>'Buildings &amp; stationary assets'!U93</f>
        <v/>
      </c>
      <c r="AB89" s="432" t="str">
        <f>'Buildings &amp; stationary assets'!V93</f>
        <v/>
      </c>
      <c r="AC89" s="432" t="str">
        <f>'Buildings &amp; stationary assets'!W93</f>
        <v/>
      </c>
      <c r="AE89" s="432">
        <f t="shared" si="2"/>
        <v>0</v>
      </c>
      <c r="AF89" s="432">
        <f t="shared" si="3"/>
        <v>0</v>
      </c>
    </row>
    <row r="90" spans="2:32" x14ac:dyDescent="0.35">
      <c r="B90" s="432" t="e">
        <f>"2024"&amp;MATCH(Totals!D90,OrgType,0)&amp;"_"&amp;MATCH(Totals!E90,Organisations,0)&amp;"_"&amp;LEFT(Totals!F90,1)&amp;"_"&amp;LEFT(G90,1)&amp;"_"&amp;COUNTIF($G$3:G90,G90)</f>
        <v>#N/A</v>
      </c>
      <c r="C90" s="432">
        <v>2024</v>
      </c>
      <c r="D90" s="432">
        <f>Introduction!$D$7</f>
        <v>0</v>
      </c>
      <c r="E90" s="432">
        <f>Introduction!$D$8</f>
        <v>0</v>
      </c>
      <c r="F90" s="432" t="s">
        <v>110</v>
      </c>
      <c r="G90" s="432" t="s">
        <v>110</v>
      </c>
      <c r="H90" s="432">
        <f>'Buildings &amp; stationary assets'!B94</f>
        <v>0</v>
      </c>
      <c r="I90" s="432">
        <f>'Buildings &amp; stationary assets'!C94</f>
        <v>0</v>
      </c>
      <c r="J90" s="432">
        <f>'Buildings &amp; stationary assets'!D94</f>
        <v>0</v>
      </c>
      <c r="K90" s="432">
        <f>'Buildings &amp; stationary assets'!E94</f>
        <v>0</v>
      </c>
      <c r="L90" s="432">
        <f>'Buildings &amp; stationary assets'!F94</f>
        <v>0</v>
      </c>
      <c r="M90" s="432" t="str">
        <f>'Buildings &amp; stationary assets'!G94</f>
        <v/>
      </c>
      <c r="N90" s="432">
        <f>'Buildings &amp; stationary assets'!H94</f>
        <v>0</v>
      </c>
      <c r="O90" s="432">
        <f>'Buildings &amp; stationary assets'!I94</f>
        <v>0</v>
      </c>
      <c r="P90" s="432" t="str">
        <f>'Buildings &amp; stationary assets'!J94</f>
        <v/>
      </c>
      <c r="Q90" s="432" t="str">
        <f>'Buildings &amp; stationary assets'!K94</f>
        <v/>
      </c>
      <c r="R90" s="432" t="str">
        <f>'Buildings &amp; stationary assets'!L94</f>
        <v/>
      </c>
      <c r="S90" s="432" t="str">
        <f>'Buildings &amp; stationary assets'!M94</f>
        <v/>
      </c>
      <c r="T90" s="432">
        <f>'Buildings &amp; stationary assets'!N94</f>
        <v>0</v>
      </c>
      <c r="U90" s="432">
        <f>'Buildings &amp; stationary assets'!O94</f>
        <v>0</v>
      </c>
      <c r="V90" s="432" t="str">
        <f>'Buildings &amp; stationary assets'!P94</f>
        <v/>
      </c>
      <c r="W90" s="432" t="str">
        <f>'Buildings &amp; stationary assets'!Q94</f>
        <v/>
      </c>
      <c r="X90" s="432" t="str">
        <f>'Buildings &amp; stationary assets'!R94</f>
        <v/>
      </c>
      <c r="Y90" s="432" t="str">
        <f>'Buildings &amp; stationary assets'!S94</f>
        <v/>
      </c>
      <c r="Z90" s="432" t="str">
        <f>'Buildings &amp; stationary assets'!T94</f>
        <v/>
      </c>
      <c r="AA90" s="432" t="str">
        <f>'Buildings &amp; stationary assets'!U94</f>
        <v/>
      </c>
      <c r="AB90" s="432" t="str">
        <f>'Buildings &amp; stationary assets'!V94</f>
        <v/>
      </c>
      <c r="AC90" s="432" t="str">
        <f>'Buildings &amp; stationary assets'!W94</f>
        <v/>
      </c>
      <c r="AE90" s="432">
        <f t="shared" si="2"/>
        <v>0</v>
      </c>
      <c r="AF90" s="432">
        <f t="shared" si="3"/>
        <v>0</v>
      </c>
    </row>
    <row r="91" spans="2:32" x14ac:dyDescent="0.35">
      <c r="B91" s="432" t="e">
        <f>"2024"&amp;MATCH(Totals!D91,OrgType,0)&amp;"_"&amp;MATCH(Totals!E91,Organisations,0)&amp;"_"&amp;LEFT(Totals!F91,1)&amp;"_"&amp;LEFT(G91,1)&amp;"_"&amp;COUNTIF($G$3:G91,G91)</f>
        <v>#N/A</v>
      </c>
      <c r="C91" s="432">
        <v>2024</v>
      </c>
      <c r="D91" s="432">
        <f>Introduction!$D$7</f>
        <v>0</v>
      </c>
      <c r="E91" s="432">
        <f>Introduction!$D$8</f>
        <v>0</v>
      </c>
      <c r="F91" s="432" t="s">
        <v>110</v>
      </c>
      <c r="G91" s="432" t="s">
        <v>110</v>
      </c>
      <c r="H91" s="432">
        <f>'Buildings &amp; stationary assets'!B95</f>
        <v>0</v>
      </c>
      <c r="I91" s="432">
        <f>'Buildings &amp; stationary assets'!C95</f>
        <v>0</v>
      </c>
      <c r="J91" s="432">
        <f>'Buildings &amp; stationary assets'!D95</f>
        <v>0</v>
      </c>
      <c r="K91" s="432">
        <f>'Buildings &amp; stationary assets'!E95</f>
        <v>0</v>
      </c>
      <c r="L91" s="432">
        <f>'Buildings &amp; stationary assets'!F95</f>
        <v>0</v>
      </c>
      <c r="M91" s="432" t="str">
        <f>'Buildings &amp; stationary assets'!G95</f>
        <v/>
      </c>
      <c r="N91" s="432">
        <f>'Buildings &amp; stationary assets'!H95</f>
        <v>0</v>
      </c>
      <c r="O91" s="432">
        <f>'Buildings &amp; stationary assets'!I95</f>
        <v>0</v>
      </c>
      <c r="P91" s="432" t="str">
        <f>'Buildings &amp; stationary assets'!J95</f>
        <v/>
      </c>
      <c r="Q91" s="432" t="str">
        <f>'Buildings &amp; stationary assets'!K95</f>
        <v/>
      </c>
      <c r="R91" s="432" t="str">
        <f>'Buildings &amp; stationary assets'!L95</f>
        <v/>
      </c>
      <c r="S91" s="432" t="str">
        <f>'Buildings &amp; stationary assets'!M95</f>
        <v/>
      </c>
      <c r="T91" s="432">
        <f>'Buildings &amp; stationary assets'!N95</f>
        <v>0</v>
      </c>
      <c r="U91" s="432">
        <f>'Buildings &amp; stationary assets'!O95</f>
        <v>0</v>
      </c>
      <c r="V91" s="432" t="str">
        <f>'Buildings &amp; stationary assets'!P95</f>
        <v/>
      </c>
      <c r="W91" s="432" t="str">
        <f>'Buildings &amp; stationary assets'!Q95</f>
        <v/>
      </c>
      <c r="X91" s="432" t="str">
        <f>'Buildings &amp; stationary assets'!R95</f>
        <v/>
      </c>
      <c r="Y91" s="432" t="str">
        <f>'Buildings &amp; stationary assets'!S95</f>
        <v/>
      </c>
      <c r="Z91" s="432" t="str">
        <f>'Buildings &amp; stationary assets'!T95</f>
        <v/>
      </c>
      <c r="AA91" s="432" t="str">
        <f>'Buildings &amp; stationary assets'!U95</f>
        <v/>
      </c>
      <c r="AB91" s="432" t="str">
        <f>'Buildings &amp; stationary assets'!V95</f>
        <v/>
      </c>
      <c r="AC91" s="432" t="str">
        <f>'Buildings &amp; stationary assets'!W95</f>
        <v/>
      </c>
      <c r="AE91" s="432">
        <f t="shared" si="2"/>
        <v>0</v>
      </c>
      <c r="AF91" s="432">
        <f t="shared" si="3"/>
        <v>0</v>
      </c>
    </row>
    <row r="92" spans="2:32" x14ac:dyDescent="0.35">
      <c r="B92" s="432" t="e">
        <f>"2024"&amp;MATCH(Totals!D92,OrgType,0)&amp;"_"&amp;MATCH(Totals!E92,Organisations,0)&amp;"_"&amp;LEFT(Totals!F92,1)&amp;"_"&amp;LEFT(G92,1)&amp;"_"&amp;COUNTIF($G$3:G92,G92)</f>
        <v>#N/A</v>
      </c>
      <c r="C92" s="432">
        <v>2024</v>
      </c>
      <c r="D92" s="432">
        <f>Introduction!$D$7</f>
        <v>0</v>
      </c>
      <c r="E92" s="432">
        <f>Introduction!$D$8</f>
        <v>0</v>
      </c>
      <c r="F92" s="432" t="s">
        <v>110</v>
      </c>
      <c r="G92" s="432" t="s">
        <v>110</v>
      </c>
      <c r="H92" s="432">
        <f>'Buildings &amp; stationary assets'!B96</f>
        <v>0</v>
      </c>
      <c r="I92" s="432">
        <f>'Buildings &amp; stationary assets'!C96</f>
        <v>0</v>
      </c>
      <c r="J92" s="432">
        <f>'Buildings &amp; stationary assets'!D96</f>
        <v>0</v>
      </c>
      <c r="K92" s="432">
        <f>'Buildings &amp; stationary assets'!E96</f>
        <v>0</v>
      </c>
      <c r="L92" s="432">
        <f>'Buildings &amp; stationary assets'!F96</f>
        <v>0</v>
      </c>
      <c r="M92" s="432" t="str">
        <f>'Buildings &amp; stationary assets'!G96</f>
        <v/>
      </c>
      <c r="N92" s="432">
        <f>'Buildings &amp; stationary assets'!H96</f>
        <v>0</v>
      </c>
      <c r="O92" s="432">
        <f>'Buildings &amp; stationary assets'!I96</f>
        <v>0</v>
      </c>
      <c r="P92" s="432" t="str">
        <f>'Buildings &amp; stationary assets'!J96</f>
        <v/>
      </c>
      <c r="Q92" s="432" t="str">
        <f>'Buildings &amp; stationary assets'!K96</f>
        <v/>
      </c>
      <c r="R92" s="432" t="str">
        <f>'Buildings &amp; stationary assets'!L96</f>
        <v/>
      </c>
      <c r="S92" s="432" t="str">
        <f>'Buildings &amp; stationary assets'!M96</f>
        <v/>
      </c>
      <c r="T92" s="432">
        <f>'Buildings &amp; stationary assets'!N96</f>
        <v>0</v>
      </c>
      <c r="U92" s="432">
        <f>'Buildings &amp; stationary assets'!O96</f>
        <v>0</v>
      </c>
      <c r="V92" s="432" t="str">
        <f>'Buildings &amp; stationary assets'!P96</f>
        <v/>
      </c>
      <c r="W92" s="432" t="str">
        <f>'Buildings &amp; stationary assets'!Q96</f>
        <v/>
      </c>
      <c r="X92" s="432" t="str">
        <f>'Buildings &amp; stationary assets'!R96</f>
        <v/>
      </c>
      <c r="Y92" s="432" t="str">
        <f>'Buildings &amp; stationary assets'!S96</f>
        <v/>
      </c>
      <c r="Z92" s="432" t="str">
        <f>'Buildings &amp; stationary assets'!T96</f>
        <v/>
      </c>
      <c r="AA92" s="432" t="str">
        <f>'Buildings &amp; stationary assets'!U96</f>
        <v/>
      </c>
      <c r="AB92" s="432" t="str">
        <f>'Buildings &amp; stationary assets'!V96</f>
        <v/>
      </c>
      <c r="AC92" s="432" t="str">
        <f>'Buildings &amp; stationary assets'!W96</f>
        <v/>
      </c>
      <c r="AE92" s="432">
        <f t="shared" si="2"/>
        <v>0</v>
      </c>
      <c r="AF92" s="432">
        <f t="shared" si="3"/>
        <v>0</v>
      </c>
    </row>
    <row r="93" spans="2:32" x14ac:dyDescent="0.35">
      <c r="B93" s="432" t="e">
        <f>"2024"&amp;MATCH(Totals!D93,OrgType,0)&amp;"_"&amp;MATCH(Totals!E93,Organisations,0)&amp;"_"&amp;LEFT(Totals!F93,1)&amp;"_"&amp;LEFT(G93,1)&amp;"_"&amp;COUNTIF($G$3:G93,G93)</f>
        <v>#N/A</v>
      </c>
      <c r="C93" s="432">
        <v>2024</v>
      </c>
      <c r="D93" s="432">
        <f>Introduction!$D$7</f>
        <v>0</v>
      </c>
      <c r="E93" s="432">
        <f>Introduction!$D$8</f>
        <v>0</v>
      </c>
      <c r="F93" s="432" t="s">
        <v>110</v>
      </c>
      <c r="G93" s="432" t="s">
        <v>110</v>
      </c>
      <c r="H93" s="432">
        <f>'Buildings &amp; stationary assets'!B97</f>
        <v>0</v>
      </c>
      <c r="I93" s="432">
        <f>'Buildings &amp; stationary assets'!C97</f>
        <v>0</v>
      </c>
      <c r="J93" s="432">
        <f>'Buildings &amp; stationary assets'!D97</f>
        <v>0</v>
      </c>
      <c r="K93" s="432">
        <f>'Buildings &amp; stationary assets'!E97</f>
        <v>0</v>
      </c>
      <c r="L93" s="432">
        <f>'Buildings &amp; stationary assets'!F97</f>
        <v>0</v>
      </c>
      <c r="M93" s="432" t="str">
        <f>'Buildings &amp; stationary assets'!G97</f>
        <v/>
      </c>
      <c r="N93" s="432">
        <f>'Buildings &amp; stationary assets'!H97</f>
        <v>0</v>
      </c>
      <c r="O93" s="432">
        <f>'Buildings &amp; stationary assets'!I97</f>
        <v>0</v>
      </c>
      <c r="P93" s="432" t="str">
        <f>'Buildings &amp; stationary assets'!J97</f>
        <v/>
      </c>
      <c r="Q93" s="432" t="str">
        <f>'Buildings &amp; stationary assets'!K97</f>
        <v/>
      </c>
      <c r="R93" s="432" t="str">
        <f>'Buildings &amp; stationary assets'!L97</f>
        <v/>
      </c>
      <c r="S93" s="432" t="str">
        <f>'Buildings &amp; stationary assets'!M97</f>
        <v/>
      </c>
      <c r="T93" s="432">
        <f>'Buildings &amp; stationary assets'!N97</f>
        <v>0</v>
      </c>
      <c r="U93" s="432">
        <f>'Buildings &amp; stationary assets'!O97</f>
        <v>0</v>
      </c>
      <c r="V93" s="432" t="str">
        <f>'Buildings &amp; stationary assets'!P97</f>
        <v/>
      </c>
      <c r="W93" s="432" t="str">
        <f>'Buildings &amp; stationary assets'!Q97</f>
        <v/>
      </c>
      <c r="X93" s="432" t="str">
        <f>'Buildings &amp; stationary assets'!R97</f>
        <v/>
      </c>
      <c r="Y93" s="432" t="str">
        <f>'Buildings &amp; stationary assets'!S97</f>
        <v/>
      </c>
      <c r="Z93" s="432" t="str">
        <f>'Buildings &amp; stationary assets'!T97</f>
        <v/>
      </c>
      <c r="AA93" s="432" t="str">
        <f>'Buildings &amp; stationary assets'!U97</f>
        <v/>
      </c>
      <c r="AB93" s="432" t="str">
        <f>'Buildings &amp; stationary assets'!V97</f>
        <v/>
      </c>
      <c r="AC93" s="432" t="str">
        <f>'Buildings &amp; stationary assets'!W97</f>
        <v/>
      </c>
      <c r="AE93" s="432">
        <f t="shared" si="2"/>
        <v>0</v>
      </c>
      <c r="AF93" s="432">
        <f t="shared" si="3"/>
        <v>0</v>
      </c>
    </row>
    <row r="94" spans="2:32" x14ac:dyDescent="0.35">
      <c r="B94" s="432" t="e">
        <f>"2024"&amp;MATCH(Totals!D94,OrgType,0)&amp;"_"&amp;MATCH(Totals!E94,Organisations,0)&amp;"_"&amp;LEFT(Totals!F94,1)&amp;"_"&amp;LEFT(G94,1)&amp;"_"&amp;COUNTIF($G$3:G94,G94)</f>
        <v>#N/A</v>
      </c>
      <c r="C94" s="432">
        <v>2024</v>
      </c>
      <c r="D94" s="432">
        <f>Introduction!$D$7</f>
        <v>0</v>
      </c>
      <c r="E94" s="432">
        <f>Introduction!$D$8</f>
        <v>0</v>
      </c>
      <c r="F94" s="432" t="s">
        <v>110</v>
      </c>
      <c r="G94" s="432" t="s">
        <v>110</v>
      </c>
      <c r="H94" s="432">
        <f>'Buildings &amp; stationary assets'!B98</f>
        <v>0</v>
      </c>
      <c r="I94" s="432">
        <f>'Buildings &amp; stationary assets'!C98</f>
        <v>0</v>
      </c>
      <c r="J94" s="432">
        <f>'Buildings &amp; stationary assets'!D98</f>
        <v>0</v>
      </c>
      <c r="K94" s="432">
        <f>'Buildings &amp; stationary assets'!E98</f>
        <v>0</v>
      </c>
      <c r="L94" s="432">
        <f>'Buildings &amp; stationary assets'!F98</f>
        <v>0</v>
      </c>
      <c r="M94" s="432" t="str">
        <f>'Buildings &amp; stationary assets'!G98</f>
        <v/>
      </c>
      <c r="N94" s="432">
        <f>'Buildings &amp; stationary assets'!H98</f>
        <v>0</v>
      </c>
      <c r="O94" s="432">
        <f>'Buildings &amp; stationary assets'!I98</f>
        <v>0</v>
      </c>
      <c r="P94" s="432" t="str">
        <f>'Buildings &amp; stationary assets'!J98</f>
        <v/>
      </c>
      <c r="Q94" s="432" t="str">
        <f>'Buildings &amp; stationary assets'!K98</f>
        <v/>
      </c>
      <c r="R94" s="432" t="str">
        <f>'Buildings &amp; stationary assets'!L98</f>
        <v/>
      </c>
      <c r="S94" s="432" t="str">
        <f>'Buildings &amp; stationary assets'!M98</f>
        <v/>
      </c>
      <c r="T94" s="432">
        <f>'Buildings &amp; stationary assets'!N98</f>
        <v>0</v>
      </c>
      <c r="U94" s="432">
        <f>'Buildings &amp; stationary assets'!O98</f>
        <v>0</v>
      </c>
      <c r="V94" s="432" t="str">
        <f>'Buildings &amp; stationary assets'!P98</f>
        <v/>
      </c>
      <c r="W94" s="432" t="str">
        <f>'Buildings &amp; stationary assets'!Q98</f>
        <v/>
      </c>
      <c r="X94" s="432" t="str">
        <f>'Buildings &amp; stationary assets'!R98</f>
        <v/>
      </c>
      <c r="Y94" s="432" t="str">
        <f>'Buildings &amp; stationary assets'!S98</f>
        <v/>
      </c>
      <c r="Z94" s="432" t="str">
        <f>'Buildings &amp; stationary assets'!T98</f>
        <v/>
      </c>
      <c r="AA94" s="432" t="str">
        <f>'Buildings &amp; stationary assets'!U98</f>
        <v/>
      </c>
      <c r="AB94" s="432" t="str">
        <f>'Buildings &amp; stationary assets'!V98</f>
        <v/>
      </c>
      <c r="AC94" s="432" t="str">
        <f>'Buildings &amp; stationary assets'!W98</f>
        <v/>
      </c>
      <c r="AE94" s="432">
        <f t="shared" si="2"/>
        <v>0</v>
      </c>
      <c r="AF94" s="432">
        <f t="shared" si="3"/>
        <v>0</v>
      </c>
    </row>
    <row r="95" spans="2:32" x14ac:dyDescent="0.35">
      <c r="B95" s="432" t="e">
        <f>"2024"&amp;MATCH(Totals!D95,OrgType,0)&amp;"_"&amp;MATCH(Totals!E95,Organisations,0)&amp;"_"&amp;LEFT(Totals!F95,1)&amp;"_"&amp;LEFT(G95,1)&amp;"_"&amp;COUNTIF($G$3:G95,G95)</f>
        <v>#N/A</v>
      </c>
      <c r="C95" s="432">
        <v>2024</v>
      </c>
      <c r="D95" s="432">
        <f>Introduction!$D$7</f>
        <v>0</v>
      </c>
      <c r="E95" s="432">
        <f>Introduction!$D$8</f>
        <v>0</v>
      </c>
      <c r="F95" s="432" t="s">
        <v>110</v>
      </c>
      <c r="G95" s="432" t="s">
        <v>110</v>
      </c>
      <c r="H95" s="432">
        <f>'Buildings &amp; stationary assets'!B99</f>
        <v>0</v>
      </c>
      <c r="I95" s="432">
        <f>'Buildings &amp; stationary assets'!C99</f>
        <v>0</v>
      </c>
      <c r="J95" s="432">
        <f>'Buildings &amp; stationary assets'!D99</f>
        <v>0</v>
      </c>
      <c r="K95" s="432">
        <f>'Buildings &amp; stationary assets'!E99</f>
        <v>0</v>
      </c>
      <c r="L95" s="432">
        <f>'Buildings &amp; stationary assets'!F99</f>
        <v>0</v>
      </c>
      <c r="M95" s="432" t="str">
        <f>'Buildings &amp; stationary assets'!G99</f>
        <v/>
      </c>
      <c r="N95" s="432">
        <f>'Buildings &amp; stationary assets'!H99</f>
        <v>0</v>
      </c>
      <c r="O95" s="432">
        <f>'Buildings &amp; stationary assets'!I99</f>
        <v>0</v>
      </c>
      <c r="P95" s="432" t="str">
        <f>'Buildings &amp; stationary assets'!J99</f>
        <v/>
      </c>
      <c r="Q95" s="432" t="str">
        <f>'Buildings &amp; stationary assets'!K99</f>
        <v/>
      </c>
      <c r="R95" s="432" t="str">
        <f>'Buildings &amp; stationary assets'!L99</f>
        <v/>
      </c>
      <c r="S95" s="432" t="str">
        <f>'Buildings &amp; stationary assets'!M99</f>
        <v/>
      </c>
      <c r="T95" s="432">
        <f>'Buildings &amp; stationary assets'!N99</f>
        <v>0</v>
      </c>
      <c r="U95" s="432">
        <f>'Buildings &amp; stationary assets'!O99</f>
        <v>0</v>
      </c>
      <c r="V95" s="432" t="str">
        <f>'Buildings &amp; stationary assets'!P99</f>
        <v/>
      </c>
      <c r="W95" s="432" t="str">
        <f>'Buildings &amp; stationary assets'!Q99</f>
        <v/>
      </c>
      <c r="X95" s="432" t="str">
        <f>'Buildings &amp; stationary assets'!R99</f>
        <v/>
      </c>
      <c r="Y95" s="432" t="str">
        <f>'Buildings &amp; stationary assets'!S99</f>
        <v/>
      </c>
      <c r="Z95" s="432" t="str">
        <f>'Buildings &amp; stationary assets'!T99</f>
        <v/>
      </c>
      <c r="AA95" s="432" t="str">
        <f>'Buildings &amp; stationary assets'!U99</f>
        <v/>
      </c>
      <c r="AB95" s="432" t="str">
        <f>'Buildings &amp; stationary assets'!V99</f>
        <v/>
      </c>
      <c r="AC95" s="432" t="str">
        <f>'Buildings &amp; stationary assets'!W99</f>
        <v/>
      </c>
      <c r="AE95" s="432">
        <f t="shared" si="2"/>
        <v>0</v>
      </c>
      <c r="AF95" s="432">
        <f t="shared" si="3"/>
        <v>0</v>
      </c>
    </row>
    <row r="96" spans="2:32" x14ac:dyDescent="0.35">
      <c r="B96" s="432" t="e">
        <f>"2024"&amp;MATCH(Totals!D96,OrgType,0)&amp;"_"&amp;MATCH(Totals!E96,Organisations,0)&amp;"_"&amp;LEFT(Totals!F96,1)&amp;"_"&amp;LEFT(G96,1)&amp;"_"&amp;COUNTIF($G$3:G96,G96)</f>
        <v>#N/A</v>
      </c>
      <c r="C96" s="432">
        <v>2024</v>
      </c>
      <c r="D96" s="432">
        <f>Introduction!$D$7</f>
        <v>0</v>
      </c>
      <c r="E96" s="432">
        <f>Introduction!$D$8</f>
        <v>0</v>
      </c>
      <c r="F96" s="432" t="s">
        <v>110</v>
      </c>
      <c r="G96" s="432" t="s">
        <v>110</v>
      </c>
      <c r="H96" s="432">
        <f>'Buildings &amp; stationary assets'!B100</f>
        <v>0</v>
      </c>
      <c r="I96" s="432">
        <f>'Buildings &amp; stationary assets'!C100</f>
        <v>0</v>
      </c>
      <c r="J96" s="432">
        <f>'Buildings &amp; stationary assets'!D100</f>
        <v>0</v>
      </c>
      <c r="K96" s="432">
        <f>'Buildings &amp; stationary assets'!E100</f>
        <v>0</v>
      </c>
      <c r="L96" s="432">
        <f>'Buildings &amp; stationary assets'!F100</f>
        <v>0</v>
      </c>
      <c r="M96" s="432" t="str">
        <f>'Buildings &amp; stationary assets'!G100</f>
        <v/>
      </c>
      <c r="N96" s="432">
        <f>'Buildings &amp; stationary assets'!H100</f>
        <v>0</v>
      </c>
      <c r="O96" s="432">
        <f>'Buildings &amp; stationary assets'!I100</f>
        <v>0</v>
      </c>
      <c r="P96" s="432" t="str">
        <f>'Buildings &amp; stationary assets'!J100</f>
        <v/>
      </c>
      <c r="Q96" s="432" t="str">
        <f>'Buildings &amp; stationary assets'!K100</f>
        <v/>
      </c>
      <c r="R96" s="432" t="str">
        <f>'Buildings &amp; stationary assets'!L100</f>
        <v/>
      </c>
      <c r="S96" s="432" t="str">
        <f>'Buildings &amp; stationary assets'!M100</f>
        <v/>
      </c>
      <c r="T96" s="432">
        <f>'Buildings &amp; stationary assets'!N100</f>
        <v>0</v>
      </c>
      <c r="U96" s="432">
        <f>'Buildings &amp; stationary assets'!O100</f>
        <v>0</v>
      </c>
      <c r="V96" s="432" t="str">
        <f>'Buildings &amp; stationary assets'!P100</f>
        <v/>
      </c>
      <c r="W96" s="432" t="str">
        <f>'Buildings &amp; stationary assets'!Q100</f>
        <v/>
      </c>
      <c r="X96" s="432" t="str">
        <f>'Buildings &amp; stationary assets'!R100</f>
        <v/>
      </c>
      <c r="Y96" s="432" t="str">
        <f>'Buildings &amp; stationary assets'!S100</f>
        <v/>
      </c>
      <c r="Z96" s="432" t="str">
        <f>'Buildings &amp; stationary assets'!T100</f>
        <v/>
      </c>
      <c r="AA96" s="432" t="str">
        <f>'Buildings &amp; stationary assets'!U100</f>
        <v/>
      </c>
      <c r="AB96" s="432" t="str">
        <f>'Buildings &amp; stationary assets'!V100</f>
        <v/>
      </c>
      <c r="AC96" s="432" t="str">
        <f>'Buildings &amp; stationary assets'!W100</f>
        <v/>
      </c>
      <c r="AE96" s="432">
        <f t="shared" si="2"/>
        <v>0</v>
      </c>
      <c r="AF96" s="432">
        <f t="shared" si="3"/>
        <v>0</v>
      </c>
    </row>
    <row r="97" spans="2:32" x14ac:dyDescent="0.35">
      <c r="B97" s="432" t="e">
        <f>"2024"&amp;MATCH(Totals!D97,OrgType,0)&amp;"_"&amp;MATCH(Totals!E97,Organisations,0)&amp;"_"&amp;LEFT(Totals!F97,1)&amp;"_"&amp;LEFT(G97,1)&amp;"_"&amp;COUNTIF($G$3:G97,G97)</f>
        <v>#N/A</v>
      </c>
      <c r="C97" s="432">
        <v>2024</v>
      </c>
      <c r="D97" s="432">
        <f>Introduction!$D$7</f>
        <v>0</v>
      </c>
      <c r="E97" s="432">
        <f>Introduction!$D$8</f>
        <v>0</v>
      </c>
      <c r="F97" s="432" t="s">
        <v>110</v>
      </c>
      <c r="G97" s="432" t="s">
        <v>110</v>
      </c>
      <c r="H97" s="432">
        <f>'Buildings &amp; stationary assets'!B101</f>
        <v>0</v>
      </c>
      <c r="I97" s="432">
        <f>'Buildings &amp; stationary assets'!C101</f>
        <v>0</v>
      </c>
      <c r="J97" s="432">
        <f>'Buildings &amp; stationary assets'!D101</f>
        <v>0</v>
      </c>
      <c r="K97" s="432">
        <f>'Buildings &amp; stationary assets'!E101</f>
        <v>0</v>
      </c>
      <c r="L97" s="432">
        <f>'Buildings &amp; stationary assets'!F101</f>
        <v>0</v>
      </c>
      <c r="M97" s="432" t="str">
        <f>'Buildings &amp; stationary assets'!G101</f>
        <v/>
      </c>
      <c r="N97" s="432">
        <f>'Buildings &amp; stationary assets'!H101</f>
        <v>0</v>
      </c>
      <c r="O97" s="432">
        <f>'Buildings &amp; stationary assets'!I101</f>
        <v>0</v>
      </c>
      <c r="P97" s="432" t="str">
        <f>'Buildings &amp; stationary assets'!J101</f>
        <v/>
      </c>
      <c r="Q97" s="432" t="str">
        <f>'Buildings &amp; stationary assets'!K101</f>
        <v/>
      </c>
      <c r="R97" s="432" t="str">
        <f>'Buildings &amp; stationary assets'!L101</f>
        <v/>
      </c>
      <c r="S97" s="432" t="str">
        <f>'Buildings &amp; stationary assets'!M101</f>
        <v/>
      </c>
      <c r="T97" s="432">
        <f>'Buildings &amp; stationary assets'!N101</f>
        <v>0</v>
      </c>
      <c r="U97" s="432">
        <f>'Buildings &amp; stationary assets'!O101</f>
        <v>0</v>
      </c>
      <c r="V97" s="432" t="str">
        <f>'Buildings &amp; stationary assets'!P101</f>
        <v/>
      </c>
      <c r="W97" s="432" t="str">
        <f>'Buildings &amp; stationary assets'!Q101</f>
        <v/>
      </c>
      <c r="X97" s="432" t="str">
        <f>'Buildings &amp; stationary assets'!R101</f>
        <v/>
      </c>
      <c r="Y97" s="432" t="str">
        <f>'Buildings &amp; stationary assets'!S101</f>
        <v/>
      </c>
      <c r="Z97" s="432" t="str">
        <f>'Buildings &amp; stationary assets'!T101</f>
        <v/>
      </c>
      <c r="AA97" s="432" t="str">
        <f>'Buildings &amp; stationary assets'!U101</f>
        <v/>
      </c>
      <c r="AB97" s="432" t="str">
        <f>'Buildings &amp; stationary assets'!V101</f>
        <v/>
      </c>
      <c r="AC97" s="432" t="str">
        <f>'Buildings &amp; stationary assets'!W101</f>
        <v/>
      </c>
      <c r="AE97" s="432">
        <f t="shared" si="2"/>
        <v>0</v>
      </c>
      <c r="AF97" s="432">
        <f t="shared" si="3"/>
        <v>0</v>
      </c>
    </row>
    <row r="98" spans="2:32" x14ac:dyDescent="0.35">
      <c r="B98" s="432" t="e">
        <f>"2024"&amp;MATCH(Totals!D98,OrgType,0)&amp;"_"&amp;MATCH(Totals!E98,Organisations,0)&amp;"_"&amp;LEFT(Totals!F98,1)&amp;"_"&amp;LEFT(G98,1)&amp;"_"&amp;COUNTIF($G$3:G98,G98)</f>
        <v>#N/A</v>
      </c>
      <c r="C98" s="432">
        <v>2024</v>
      </c>
      <c r="D98" s="432">
        <f>Introduction!$D$7</f>
        <v>0</v>
      </c>
      <c r="E98" s="432">
        <f>Introduction!$D$8</f>
        <v>0</v>
      </c>
      <c r="F98" s="432" t="s">
        <v>110</v>
      </c>
      <c r="G98" s="432" t="s">
        <v>110</v>
      </c>
      <c r="H98" s="432">
        <f>'Buildings &amp; stationary assets'!B102</f>
        <v>0</v>
      </c>
      <c r="I98" s="432">
        <f>'Buildings &amp; stationary assets'!C102</f>
        <v>0</v>
      </c>
      <c r="J98" s="432">
        <f>'Buildings &amp; stationary assets'!D102</f>
        <v>0</v>
      </c>
      <c r="K98" s="432">
        <f>'Buildings &amp; stationary assets'!E102</f>
        <v>0</v>
      </c>
      <c r="L98" s="432">
        <f>'Buildings &amp; stationary assets'!F102</f>
        <v>0</v>
      </c>
      <c r="M98" s="432" t="str">
        <f>'Buildings &amp; stationary assets'!G102</f>
        <v/>
      </c>
      <c r="N98" s="432">
        <f>'Buildings &amp; stationary assets'!H102</f>
        <v>0</v>
      </c>
      <c r="O98" s="432">
        <f>'Buildings &amp; stationary assets'!I102</f>
        <v>0</v>
      </c>
      <c r="P98" s="432" t="str">
        <f>'Buildings &amp; stationary assets'!J102</f>
        <v/>
      </c>
      <c r="Q98" s="432" t="str">
        <f>'Buildings &amp; stationary assets'!K102</f>
        <v/>
      </c>
      <c r="R98" s="432" t="str">
        <f>'Buildings &amp; stationary assets'!L102</f>
        <v/>
      </c>
      <c r="S98" s="432" t="str">
        <f>'Buildings &amp; stationary assets'!M102</f>
        <v/>
      </c>
      <c r="T98" s="432">
        <f>'Buildings &amp; stationary assets'!N102</f>
        <v>0</v>
      </c>
      <c r="U98" s="432">
        <f>'Buildings &amp; stationary assets'!O102</f>
        <v>0</v>
      </c>
      <c r="V98" s="432" t="str">
        <f>'Buildings &amp; stationary assets'!P102</f>
        <v/>
      </c>
      <c r="W98" s="432" t="str">
        <f>'Buildings &amp; stationary assets'!Q102</f>
        <v/>
      </c>
      <c r="X98" s="432" t="str">
        <f>'Buildings &amp; stationary assets'!R102</f>
        <v/>
      </c>
      <c r="Y98" s="432" t="str">
        <f>'Buildings &amp; stationary assets'!S102</f>
        <v/>
      </c>
      <c r="Z98" s="432" t="str">
        <f>'Buildings &amp; stationary assets'!T102</f>
        <v/>
      </c>
      <c r="AA98" s="432" t="str">
        <f>'Buildings &amp; stationary assets'!U102</f>
        <v/>
      </c>
      <c r="AB98" s="432" t="str">
        <f>'Buildings &amp; stationary assets'!V102</f>
        <v/>
      </c>
      <c r="AC98" s="432" t="str">
        <f>'Buildings &amp; stationary assets'!W102</f>
        <v/>
      </c>
      <c r="AE98" s="432">
        <f t="shared" si="2"/>
        <v>0</v>
      </c>
      <c r="AF98" s="432">
        <f t="shared" si="3"/>
        <v>0</v>
      </c>
    </row>
    <row r="99" spans="2:32" x14ac:dyDescent="0.35">
      <c r="B99" s="432" t="e">
        <f>"2024"&amp;MATCH(Totals!D99,OrgType,0)&amp;"_"&amp;MATCH(Totals!E99,Organisations,0)&amp;"_"&amp;LEFT(Totals!F99,1)&amp;"_"&amp;LEFT(G99,1)&amp;"_"&amp;COUNTIF($G$3:G99,G99)</f>
        <v>#N/A</v>
      </c>
      <c r="C99" s="432">
        <v>2024</v>
      </c>
      <c r="D99" s="432">
        <f>Introduction!$D$7</f>
        <v>0</v>
      </c>
      <c r="E99" s="432">
        <f>Introduction!$D$8</f>
        <v>0</v>
      </c>
      <c r="F99" s="432" t="s">
        <v>110</v>
      </c>
      <c r="G99" s="432" t="s">
        <v>110</v>
      </c>
      <c r="H99" s="432">
        <f>'Buildings &amp; stationary assets'!B103</f>
        <v>0</v>
      </c>
      <c r="I99" s="432">
        <f>'Buildings &amp; stationary assets'!C103</f>
        <v>0</v>
      </c>
      <c r="J99" s="432">
        <f>'Buildings &amp; stationary assets'!D103</f>
        <v>0</v>
      </c>
      <c r="K99" s="432">
        <f>'Buildings &amp; stationary assets'!E103</f>
        <v>0</v>
      </c>
      <c r="L99" s="432">
        <f>'Buildings &amp; stationary assets'!F103</f>
        <v>0</v>
      </c>
      <c r="M99" s="432" t="str">
        <f>'Buildings &amp; stationary assets'!G103</f>
        <v/>
      </c>
      <c r="N99" s="432">
        <f>'Buildings &amp; stationary assets'!H103</f>
        <v>0</v>
      </c>
      <c r="O99" s="432">
        <f>'Buildings &amp; stationary assets'!I103</f>
        <v>0</v>
      </c>
      <c r="P99" s="432" t="str">
        <f>'Buildings &amp; stationary assets'!J103</f>
        <v/>
      </c>
      <c r="Q99" s="432" t="str">
        <f>'Buildings &amp; stationary assets'!K103</f>
        <v/>
      </c>
      <c r="R99" s="432" t="str">
        <f>'Buildings &amp; stationary assets'!L103</f>
        <v/>
      </c>
      <c r="S99" s="432" t="str">
        <f>'Buildings &amp; stationary assets'!M103</f>
        <v/>
      </c>
      <c r="T99" s="432">
        <f>'Buildings &amp; stationary assets'!N103</f>
        <v>0</v>
      </c>
      <c r="U99" s="432">
        <f>'Buildings &amp; stationary assets'!O103</f>
        <v>0</v>
      </c>
      <c r="V99" s="432" t="str">
        <f>'Buildings &amp; stationary assets'!P103</f>
        <v/>
      </c>
      <c r="W99" s="432" t="str">
        <f>'Buildings &amp; stationary assets'!Q103</f>
        <v/>
      </c>
      <c r="X99" s="432" t="str">
        <f>'Buildings &amp; stationary assets'!R103</f>
        <v/>
      </c>
      <c r="Y99" s="432" t="str">
        <f>'Buildings &amp; stationary assets'!S103</f>
        <v/>
      </c>
      <c r="Z99" s="432" t="str">
        <f>'Buildings &amp; stationary assets'!T103</f>
        <v/>
      </c>
      <c r="AA99" s="432" t="str">
        <f>'Buildings &amp; stationary assets'!U103</f>
        <v/>
      </c>
      <c r="AB99" s="432" t="str">
        <f>'Buildings &amp; stationary assets'!V103</f>
        <v/>
      </c>
      <c r="AC99" s="432" t="str">
        <f>'Buildings &amp; stationary assets'!W103</f>
        <v/>
      </c>
      <c r="AE99" s="432">
        <f t="shared" si="2"/>
        <v>0</v>
      </c>
      <c r="AF99" s="432">
        <f t="shared" si="3"/>
        <v>0</v>
      </c>
    </row>
    <row r="100" spans="2:32" x14ac:dyDescent="0.35">
      <c r="B100" s="432" t="e">
        <f>"2024"&amp;MATCH(Totals!D100,OrgType,0)&amp;"_"&amp;MATCH(Totals!E100,Organisations,0)&amp;"_"&amp;LEFT(Totals!F100,1)&amp;"_"&amp;LEFT(G100,1)&amp;"_"&amp;COUNTIF($G$3:G100,G100)</f>
        <v>#N/A</v>
      </c>
      <c r="C100" s="432">
        <v>2024</v>
      </c>
      <c r="D100" s="432">
        <f>Introduction!$D$7</f>
        <v>0</v>
      </c>
      <c r="E100" s="432">
        <f>Introduction!$D$8</f>
        <v>0</v>
      </c>
      <c r="F100" s="432" t="s">
        <v>110</v>
      </c>
      <c r="G100" s="432" t="s">
        <v>110</v>
      </c>
      <c r="H100" s="432">
        <f>'Buildings &amp; stationary assets'!B104</f>
        <v>0</v>
      </c>
      <c r="I100" s="432">
        <f>'Buildings &amp; stationary assets'!C104</f>
        <v>0</v>
      </c>
      <c r="J100" s="432">
        <f>'Buildings &amp; stationary assets'!D104</f>
        <v>0</v>
      </c>
      <c r="K100" s="432">
        <f>'Buildings &amp; stationary assets'!E104</f>
        <v>0</v>
      </c>
      <c r="L100" s="432">
        <f>'Buildings &amp; stationary assets'!F104</f>
        <v>0</v>
      </c>
      <c r="M100" s="432" t="str">
        <f>'Buildings &amp; stationary assets'!G104</f>
        <v/>
      </c>
      <c r="N100" s="432">
        <f>'Buildings &amp; stationary assets'!H104</f>
        <v>0</v>
      </c>
      <c r="O100" s="432">
        <f>'Buildings &amp; stationary assets'!I104</f>
        <v>0</v>
      </c>
      <c r="P100" s="432" t="str">
        <f>'Buildings &amp; stationary assets'!J104</f>
        <v/>
      </c>
      <c r="Q100" s="432" t="str">
        <f>'Buildings &amp; stationary assets'!K104</f>
        <v/>
      </c>
      <c r="R100" s="432" t="str">
        <f>'Buildings &amp; stationary assets'!L104</f>
        <v/>
      </c>
      <c r="S100" s="432" t="str">
        <f>'Buildings &amp; stationary assets'!M104</f>
        <v/>
      </c>
      <c r="T100" s="432">
        <f>'Buildings &amp; stationary assets'!N104</f>
        <v>0</v>
      </c>
      <c r="U100" s="432">
        <f>'Buildings &amp; stationary assets'!O104</f>
        <v>0</v>
      </c>
      <c r="V100" s="432" t="str">
        <f>'Buildings &amp; stationary assets'!P104</f>
        <v/>
      </c>
      <c r="W100" s="432" t="str">
        <f>'Buildings &amp; stationary assets'!Q104</f>
        <v/>
      </c>
      <c r="X100" s="432" t="str">
        <f>'Buildings &amp; stationary assets'!R104</f>
        <v/>
      </c>
      <c r="Y100" s="432" t="str">
        <f>'Buildings &amp; stationary assets'!S104</f>
        <v/>
      </c>
      <c r="Z100" s="432" t="str">
        <f>'Buildings &amp; stationary assets'!T104</f>
        <v/>
      </c>
      <c r="AA100" s="432" t="str">
        <f>'Buildings &amp; stationary assets'!U104</f>
        <v/>
      </c>
      <c r="AB100" s="432" t="str">
        <f>'Buildings &amp; stationary assets'!V104</f>
        <v/>
      </c>
      <c r="AC100" s="432" t="str">
        <f>'Buildings &amp; stationary assets'!W104</f>
        <v/>
      </c>
      <c r="AE100" s="432">
        <f t="shared" si="2"/>
        <v>0</v>
      </c>
      <c r="AF100" s="432">
        <f t="shared" si="3"/>
        <v>0</v>
      </c>
    </row>
    <row r="101" spans="2:32" x14ac:dyDescent="0.35">
      <c r="B101" s="432" t="e">
        <f>"2024"&amp;MATCH(Totals!D101,OrgType,0)&amp;"_"&amp;MATCH(Totals!E101,Organisations,0)&amp;"_"&amp;LEFT(Totals!F101,1)&amp;"_"&amp;LEFT(G101,1)&amp;"_"&amp;COUNTIF($G$3:G101,G101)</f>
        <v>#N/A</v>
      </c>
      <c r="C101" s="432">
        <v>2024</v>
      </c>
      <c r="D101" s="432">
        <f>Introduction!$D$7</f>
        <v>0</v>
      </c>
      <c r="E101" s="432">
        <f>Introduction!$D$8</f>
        <v>0</v>
      </c>
      <c r="F101" s="432" t="s">
        <v>110</v>
      </c>
      <c r="G101" s="432" t="s">
        <v>110</v>
      </c>
      <c r="H101" s="432">
        <f>'Buildings &amp; stationary assets'!B105</f>
        <v>0</v>
      </c>
      <c r="I101" s="432">
        <f>'Buildings &amp; stationary assets'!C105</f>
        <v>0</v>
      </c>
      <c r="J101" s="432">
        <f>'Buildings &amp; stationary assets'!D105</f>
        <v>0</v>
      </c>
      <c r="K101" s="432">
        <f>'Buildings &amp; stationary assets'!E105</f>
        <v>0</v>
      </c>
      <c r="L101" s="432">
        <f>'Buildings &amp; stationary assets'!F105</f>
        <v>0</v>
      </c>
      <c r="M101" s="432" t="str">
        <f>'Buildings &amp; stationary assets'!G105</f>
        <v/>
      </c>
      <c r="N101" s="432">
        <f>'Buildings &amp; stationary assets'!H105</f>
        <v>0</v>
      </c>
      <c r="O101" s="432">
        <f>'Buildings &amp; stationary assets'!I105</f>
        <v>0</v>
      </c>
      <c r="P101" s="432" t="str">
        <f>'Buildings &amp; stationary assets'!J105</f>
        <v/>
      </c>
      <c r="Q101" s="432" t="str">
        <f>'Buildings &amp; stationary assets'!K105</f>
        <v/>
      </c>
      <c r="R101" s="432" t="str">
        <f>'Buildings &amp; stationary assets'!L105</f>
        <v/>
      </c>
      <c r="S101" s="432" t="str">
        <f>'Buildings &amp; stationary assets'!M105</f>
        <v/>
      </c>
      <c r="T101" s="432">
        <f>'Buildings &amp; stationary assets'!N105</f>
        <v>0</v>
      </c>
      <c r="U101" s="432">
        <f>'Buildings &amp; stationary assets'!O105</f>
        <v>0</v>
      </c>
      <c r="V101" s="432" t="str">
        <f>'Buildings &amp; stationary assets'!P105</f>
        <v/>
      </c>
      <c r="W101" s="432" t="str">
        <f>'Buildings &amp; stationary assets'!Q105</f>
        <v/>
      </c>
      <c r="X101" s="432" t="str">
        <f>'Buildings &amp; stationary assets'!R105</f>
        <v/>
      </c>
      <c r="Y101" s="432" t="str">
        <f>'Buildings &amp; stationary assets'!S105</f>
        <v/>
      </c>
      <c r="Z101" s="432" t="str">
        <f>'Buildings &amp; stationary assets'!T105</f>
        <v/>
      </c>
      <c r="AA101" s="432" t="str">
        <f>'Buildings &amp; stationary assets'!U105</f>
        <v/>
      </c>
      <c r="AB101" s="432" t="str">
        <f>'Buildings &amp; stationary assets'!V105</f>
        <v/>
      </c>
      <c r="AC101" s="432" t="str">
        <f>'Buildings &amp; stationary assets'!W105</f>
        <v/>
      </c>
      <c r="AE101" s="432">
        <f t="shared" si="2"/>
        <v>0</v>
      </c>
      <c r="AF101" s="432">
        <f t="shared" si="3"/>
        <v>0</v>
      </c>
    </row>
    <row r="102" spans="2:32" x14ac:dyDescent="0.35">
      <c r="B102" s="432" t="e">
        <f>"2024"&amp;MATCH(Totals!D102,OrgType,0)&amp;"_"&amp;MATCH(Totals!E102,Organisations,0)&amp;"_"&amp;LEFT(Totals!F102,1)&amp;"_"&amp;LEFT(G102,1)&amp;"_"&amp;COUNTIF($G$3:G102,G102)</f>
        <v>#N/A</v>
      </c>
      <c r="C102" s="432">
        <v>2024</v>
      </c>
      <c r="D102" s="432">
        <f>Introduction!$D$7</f>
        <v>0</v>
      </c>
      <c r="E102" s="432">
        <f>Introduction!$D$8</f>
        <v>0</v>
      </c>
      <c r="F102" s="432" t="s">
        <v>110</v>
      </c>
      <c r="G102" s="432" t="s">
        <v>110</v>
      </c>
      <c r="H102" s="432">
        <f>'Buildings &amp; stationary assets'!B106</f>
        <v>0</v>
      </c>
      <c r="I102" s="432">
        <f>'Buildings &amp; stationary assets'!C106</f>
        <v>0</v>
      </c>
      <c r="J102" s="432">
        <f>'Buildings &amp; stationary assets'!D106</f>
        <v>0</v>
      </c>
      <c r="K102" s="432">
        <f>'Buildings &amp; stationary assets'!E106</f>
        <v>0</v>
      </c>
      <c r="L102" s="432">
        <f>'Buildings &amp; stationary assets'!F106</f>
        <v>0</v>
      </c>
      <c r="M102" s="432" t="str">
        <f>'Buildings &amp; stationary assets'!G106</f>
        <v/>
      </c>
      <c r="N102" s="432">
        <f>'Buildings &amp; stationary assets'!H106</f>
        <v>0</v>
      </c>
      <c r="O102" s="432">
        <f>'Buildings &amp; stationary assets'!I106</f>
        <v>0</v>
      </c>
      <c r="P102" s="432" t="str">
        <f>'Buildings &amp; stationary assets'!J106</f>
        <v/>
      </c>
      <c r="Q102" s="432" t="str">
        <f>'Buildings &amp; stationary assets'!K106</f>
        <v/>
      </c>
      <c r="R102" s="432" t="str">
        <f>'Buildings &amp; stationary assets'!L106</f>
        <v/>
      </c>
      <c r="S102" s="432" t="str">
        <f>'Buildings &amp; stationary assets'!M106</f>
        <v/>
      </c>
      <c r="T102" s="432">
        <f>'Buildings &amp; stationary assets'!N106</f>
        <v>0</v>
      </c>
      <c r="U102" s="432">
        <f>'Buildings &amp; stationary assets'!O106</f>
        <v>0</v>
      </c>
      <c r="V102" s="432" t="str">
        <f>'Buildings &amp; stationary assets'!P106</f>
        <v/>
      </c>
      <c r="W102" s="432" t="str">
        <f>'Buildings &amp; stationary assets'!Q106</f>
        <v/>
      </c>
      <c r="X102" s="432" t="str">
        <f>'Buildings &amp; stationary assets'!R106</f>
        <v/>
      </c>
      <c r="Y102" s="432" t="str">
        <f>'Buildings &amp; stationary assets'!S106</f>
        <v/>
      </c>
      <c r="Z102" s="432" t="str">
        <f>'Buildings &amp; stationary assets'!T106</f>
        <v/>
      </c>
      <c r="AA102" s="432" t="str">
        <f>'Buildings &amp; stationary assets'!U106</f>
        <v/>
      </c>
      <c r="AB102" s="432" t="str">
        <f>'Buildings &amp; stationary assets'!V106</f>
        <v/>
      </c>
      <c r="AC102" s="432" t="str">
        <f>'Buildings &amp; stationary assets'!W106</f>
        <v/>
      </c>
      <c r="AE102" s="432">
        <f t="shared" si="2"/>
        <v>0</v>
      </c>
      <c r="AF102" s="432">
        <f t="shared" si="3"/>
        <v>0</v>
      </c>
    </row>
    <row r="103" spans="2:32" x14ac:dyDescent="0.35">
      <c r="B103" s="432" t="e">
        <f>"2024"&amp;MATCH(Totals!D103,OrgType,0)&amp;"_"&amp;MATCH(Totals!E103,Organisations,0)&amp;"_"&amp;LEFT(Totals!F103,1)&amp;"_"&amp;LEFT(G103,1)&amp;"_"&amp;COUNTIF($G$3:G103,G103)</f>
        <v>#N/A</v>
      </c>
      <c r="C103" s="432">
        <v>2024</v>
      </c>
      <c r="D103" s="432">
        <f>Introduction!$D$7</f>
        <v>0</v>
      </c>
      <c r="E103" s="432">
        <f>Introduction!$D$8</f>
        <v>0</v>
      </c>
      <c r="F103" s="432" t="s">
        <v>110</v>
      </c>
      <c r="G103" s="432" t="s">
        <v>110</v>
      </c>
      <c r="H103" s="432">
        <f>'Buildings &amp; stationary assets'!B107</f>
        <v>0</v>
      </c>
      <c r="I103" s="432">
        <f>'Buildings &amp; stationary assets'!C107</f>
        <v>0</v>
      </c>
      <c r="J103" s="432">
        <f>'Buildings &amp; stationary assets'!D107</f>
        <v>0</v>
      </c>
      <c r="K103" s="432">
        <f>'Buildings &amp; stationary assets'!E107</f>
        <v>0</v>
      </c>
      <c r="L103" s="432">
        <f>'Buildings &amp; stationary assets'!F107</f>
        <v>0</v>
      </c>
      <c r="M103" s="432" t="str">
        <f>'Buildings &amp; stationary assets'!G107</f>
        <v/>
      </c>
      <c r="N103" s="432">
        <f>'Buildings &amp; stationary assets'!H107</f>
        <v>0</v>
      </c>
      <c r="O103" s="432">
        <f>'Buildings &amp; stationary assets'!I107</f>
        <v>0</v>
      </c>
      <c r="P103" s="432" t="str">
        <f>'Buildings &amp; stationary assets'!J107</f>
        <v/>
      </c>
      <c r="Q103" s="432" t="str">
        <f>'Buildings &amp; stationary assets'!K107</f>
        <v/>
      </c>
      <c r="R103" s="432" t="str">
        <f>'Buildings &amp; stationary assets'!L107</f>
        <v/>
      </c>
      <c r="S103" s="432" t="str">
        <f>'Buildings &amp; stationary assets'!M107</f>
        <v/>
      </c>
      <c r="T103" s="432">
        <f>'Buildings &amp; stationary assets'!N107</f>
        <v>0</v>
      </c>
      <c r="U103" s="432">
        <f>'Buildings &amp; stationary assets'!O107</f>
        <v>0</v>
      </c>
      <c r="V103" s="432" t="str">
        <f>'Buildings &amp; stationary assets'!P107</f>
        <v/>
      </c>
      <c r="W103" s="432" t="str">
        <f>'Buildings &amp; stationary assets'!Q107</f>
        <v/>
      </c>
      <c r="X103" s="432" t="str">
        <f>'Buildings &amp; stationary assets'!R107</f>
        <v/>
      </c>
      <c r="Y103" s="432" t="str">
        <f>'Buildings &amp; stationary assets'!S107</f>
        <v/>
      </c>
      <c r="Z103" s="432" t="str">
        <f>'Buildings &amp; stationary assets'!T107</f>
        <v/>
      </c>
      <c r="AA103" s="432" t="str">
        <f>'Buildings &amp; stationary assets'!U107</f>
        <v/>
      </c>
      <c r="AB103" s="432" t="str">
        <f>'Buildings &amp; stationary assets'!V107</f>
        <v/>
      </c>
      <c r="AC103" s="432" t="str">
        <f>'Buildings &amp; stationary assets'!W107</f>
        <v/>
      </c>
      <c r="AE103" s="432">
        <f t="shared" si="2"/>
        <v>0</v>
      </c>
      <c r="AF103" s="432">
        <f t="shared" si="3"/>
        <v>0</v>
      </c>
    </row>
    <row r="104" spans="2:32" x14ac:dyDescent="0.35">
      <c r="B104" s="432" t="e">
        <f>"2024"&amp;MATCH(Totals!D104,OrgType,0)&amp;"_"&amp;MATCH(Totals!E104,Organisations,0)&amp;"_"&amp;LEFT(Totals!F104,1)&amp;"_"&amp;LEFT(G104,1)&amp;"_"&amp;COUNTIF($G$3:G104,G104)</f>
        <v>#N/A</v>
      </c>
      <c r="C104" s="432">
        <v>2024</v>
      </c>
      <c r="D104" s="432">
        <f>Introduction!$D$7</f>
        <v>0</v>
      </c>
      <c r="E104" s="432">
        <f>Introduction!$D$8</f>
        <v>0</v>
      </c>
      <c r="F104" s="432" t="s">
        <v>110</v>
      </c>
      <c r="G104" s="432" t="s">
        <v>110</v>
      </c>
      <c r="H104" s="432">
        <f>'Buildings &amp; stationary assets'!B108</f>
        <v>0</v>
      </c>
      <c r="I104" s="432">
        <f>'Buildings &amp; stationary assets'!C108</f>
        <v>0</v>
      </c>
      <c r="J104" s="432">
        <f>'Buildings &amp; stationary assets'!D108</f>
        <v>0</v>
      </c>
      <c r="K104" s="432">
        <f>'Buildings &amp; stationary assets'!E108</f>
        <v>0</v>
      </c>
      <c r="L104" s="432">
        <f>'Buildings &amp; stationary assets'!F108</f>
        <v>0</v>
      </c>
      <c r="M104" s="432" t="str">
        <f>'Buildings &amp; stationary assets'!G108</f>
        <v/>
      </c>
      <c r="N104" s="432">
        <f>'Buildings &amp; stationary assets'!H108</f>
        <v>0</v>
      </c>
      <c r="O104" s="432">
        <f>'Buildings &amp; stationary assets'!I108</f>
        <v>0</v>
      </c>
      <c r="P104" s="432" t="str">
        <f>'Buildings &amp; stationary assets'!J108</f>
        <v/>
      </c>
      <c r="Q104" s="432" t="str">
        <f>'Buildings &amp; stationary assets'!K108</f>
        <v/>
      </c>
      <c r="R104" s="432" t="str">
        <f>'Buildings &amp; stationary assets'!L108</f>
        <v/>
      </c>
      <c r="S104" s="432" t="str">
        <f>'Buildings &amp; stationary assets'!M108</f>
        <v/>
      </c>
      <c r="T104" s="432">
        <f>'Buildings &amp; stationary assets'!N108</f>
        <v>0</v>
      </c>
      <c r="U104" s="432">
        <f>'Buildings &amp; stationary assets'!O108</f>
        <v>0</v>
      </c>
      <c r="V104" s="432" t="str">
        <f>'Buildings &amp; stationary assets'!P108</f>
        <v/>
      </c>
      <c r="W104" s="432" t="str">
        <f>'Buildings &amp; stationary assets'!Q108</f>
        <v/>
      </c>
      <c r="X104" s="432" t="str">
        <f>'Buildings &amp; stationary assets'!R108</f>
        <v/>
      </c>
      <c r="Y104" s="432" t="str">
        <f>'Buildings &amp; stationary assets'!S108</f>
        <v/>
      </c>
      <c r="Z104" s="432" t="str">
        <f>'Buildings &amp; stationary assets'!T108</f>
        <v/>
      </c>
      <c r="AA104" s="432" t="str">
        <f>'Buildings &amp; stationary assets'!U108</f>
        <v/>
      </c>
      <c r="AB104" s="432" t="str">
        <f>'Buildings &amp; stationary assets'!V108</f>
        <v/>
      </c>
      <c r="AC104" s="432" t="str">
        <f>'Buildings &amp; stationary assets'!W108</f>
        <v/>
      </c>
      <c r="AE104" s="432">
        <f t="shared" si="2"/>
        <v>0</v>
      </c>
      <c r="AF104" s="432">
        <f t="shared" si="3"/>
        <v>0</v>
      </c>
    </row>
    <row r="105" spans="2:32" x14ac:dyDescent="0.35">
      <c r="B105" s="432" t="e">
        <f>"2024"&amp;MATCH(Totals!D105,OrgType,0)&amp;"_"&amp;MATCH(Totals!E105,Organisations,0)&amp;"_"&amp;LEFT(Totals!F105,1)&amp;"_"&amp;LEFT(G105,1)&amp;"_"&amp;COUNTIF($G$3:G105,G105)</f>
        <v>#N/A</v>
      </c>
      <c r="C105" s="432">
        <v>2024</v>
      </c>
      <c r="D105" s="432">
        <f>Introduction!$D$7</f>
        <v>0</v>
      </c>
      <c r="E105" s="432">
        <f>Introduction!$D$8</f>
        <v>0</v>
      </c>
      <c r="F105" s="432" t="s">
        <v>110</v>
      </c>
      <c r="G105" s="432" t="s">
        <v>110</v>
      </c>
      <c r="H105" s="432">
        <f>'Buildings &amp; stationary assets'!B109</f>
        <v>0</v>
      </c>
      <c r="I105" s="432">
        <f>'Buildings &amp; stationary assets'!C109</f>
        <v>0</v>
      </c>
      <c r="J105" s="432">
        <f>'Buildings &amp; stationary assets'!D109</f>
        <v>0</v>
      </c>
      <c r="K105" s="432">
        <f>'Buildings &amp; stationary assets'!E109</f>
        <v>0</v>
      </c>
      <c r="L105" s="432">
        <f>'Buildings &amp; stationary assets'!F109</f>
        <v>0</v>
      </c>
      <c r="M105" s="432" t="str">
        <f>'Buildings &amp; stationary assets'!G109</f>
        <v/>
      </c>
      <c r="N105" s="432">
        <f>'Buildings &amp; stationary assets'!H109</f>
        <v>0</v>
      </c>
      <c r="O105" s="432">
        <f>'Buildings &amp; stationary assets'!I109</f>
        <v>0</v>
      </c>
      <c r="P105" s="432" t="str">
        <f>'Buildings &amp; stationary assets'!J109</f>
        <v/>
      </c>
      <c r="Q105" s="432" t="str">
        <f>'Buildings &amp; stationary assets'!K109</f>
        <v/>
      </c>
      <c r="R105" s="432" t="str">
        <f>'Buildings &amp; stationary assets'!L109</f>
        <v/>
      </c>
      <c r="S105" s="432" t="str">
        <f>'Buildings &amp; stationary assets'!M109</f>
        <v/>
      </c>
      <c r="T105" s="432">
        <f>'Buildings &amp; stationary assets'!N109</f>
        <v>0</v>
      </c>
      <c r="U105" s="432">
        <f>'Buildings &amp; stationary assets'!O109</f>
        <v>0</v>
      </c>
      <c r="V105" s="432" t="str">
        <f>'Buildings &amp; stationary assets'!P109</f>
        <v/>
      </c>
      <c r="W105" s="432" t="str">
        <f>'Buildings &amp; stationary assets'!Q109</f>
        <v/>
      </c>
      <c r="X105" s="432" t="str">
        <f>'Buildings &amp; stationary assets'!R109</f>
        <v/>
      </c>
      <c r="Y105" s="432" t="str">
        <f>'Buildings &amp; stationary assets'!S109</f>
        <v/>
      </c>
      <c r="Z105" s="432" t="str">
        <f>'Buildings &amp; stationary assets'!T109</f>
        <v/>
      </c>
      <c r="AA105" s="432" t="str">
        <f>'Buildings &amp; stationary assets'!U109</f>
        <v/>
      </c>
      <c r="AB105" s="432" t="str">
        <f>'Buildings &amp; stationary assets'!V109</f>
        <v/>
      </c>
      <c r="AC105" s="432" t="str">
        <f>'Buildings &amp; stationary assets'!W109</f>
        <v/>
      </c>
      <c r="AE105" s="432">
        <f t="shared" si="2"/>
        <v>0</v>
      </c>
      <c r="AF105" s="432">
        <f t="shared" si="3"/>
        <v>0</v>
      </c>
    </row>
    <row r="106" spans="2:32" x14ac:dyDescent="0.35">
      <c r="B106" s="432" t="e">
        <f>"2024"&amp;MATCH(Totals!D106,OrgType,0)&amp;"_"&amp;MATCH(Totals!E106,Organisations,0)&amp;"_"&amp;LEFT(Totals!F106,1)&amp;"_"&amp;LEFT(G106,1)&amp;"_"&amp;COUNTIF($G$3:G106,G106)</f>
        <v>#N/A</v>
      </c>
      <c r="C106" s="432">
        <v>2024</v>
      </c>
      <c r="D106" s="432">
        <f>Introduction!$D$7</f>
        <v>0</v>
      </c>
      <c r="E106" s="432">
        <f>Introduction!$D$8</f>
        <v>0</v>
      </c>
      <c r="F106" s="432" t="s">
        <v>110</v>
      </c>
      <c r="G106" s="432" t="s">
        <v>110</v>
      </c>
      <c r="H106" s="432">
        <f>'Buildings &amp; stationary assets'!B110</f>
        <v>0</v>
      </c>
      <c r="I106" s="432">
        <f>'Buildings &amp; stationary assets'!C110</f>
        <v>0</v>
      </c>
      <c r="J106" s="432">
        <f>'Buildings &amp; stationary assets'!D110</f>
        <v>0</v>
      </c>
      <c r="K106" s="432">
        <f>'Buildings &amp; stationary assets'!E110</f>
        <v>0</v>
      </c>
      <c r="L106" s="432">
        <f>'Buildings &amp; stationary assets'!F110</f>
        <v>0</v>
      </c>
      <c r="M106" s="432" t="str">
        <f>'Buildings &amp; stationary assets'!G110</f>
        <v/>
      </c>
      <c r="N106" s="432">
        <f>'Buildings &amp; stationary assets'!H110</f>
        <v>0</v>
      </c>
      <c r="O106" s="432">
        <f>'Buildings &amp; stationary assets'!I110</f>
        <v>0</v>
      </c>
      <c r="P106" s="432" t="str">
        <f>'Buildings &amp; stationary assets'!J110</f>
        <v/>
      </c>
      <c r="Q106" s="432" t="str">
        <f>'Buildings &amp; stationary assets'!K110</f>
        <v/>
      </c>
      <c r="R106" s="432" t="str">
        <f>'Buildings &amp; stationary assets'!L110</f>
        <v/>
      </c>
      <c r="S106" s="432" t="str">
        <f>'Buildings &amp; stationary assets'!M110</f>
        <v/>
      </c>
      <c r="T106" s="432">
        <f>'Buildings &amp; stationary assets'!N110</f>
        <v>0</v>
      </c>
      <c r="U106" s="432">
        <f>'Buildings &amp; stationary assets'!O110</f>
        <v>0</v>
      </c>
      <c r="V106" s="432" t="str">
        <f>'Buildings &amp; stationary assets'!P110</f>
        <v/>
      </c>
      <c r="W106" s="432" t="str">
        <f>'Buildings &amp; stationary assets'!Q110</f>
        <v/>
      </c>
      <c r="X106" s="432" t="str">
        <f>'Buildings &amp; stationary assets'!R110</f>
        <v/>
      </c>
      <c r="Y106" s="432" t="str">
        <f>'Buildings &amp; stationary assets'!S110</f>
        <v/>
      </c>
      <c r="Z106" s="432" t="str">
        <f>'Buildings &amp; stationary assets'!T110</f>
        <v/>
      </c>
      <c r="AA106" s="432" t="str">
        <f>'Buildings &amp; stationary assets'!U110</f>
        <v/>
      </c>
      <c r="AB106" s="432" t="str">
        <f>'Buildings &amp; stationary assets'!V110</f>
        <v/>
      </c>
      <c r="AC106" s="432" t="str">
        <f>'Buildings &amp; stationary assets'!W110</f>
        <v/>
      </c>
      <c r="AE106" s="432">
        <f t="shared" si="2"/>
        <v>0</v>
      </c>
      <c r="AF106" s="432">
        <f t="shared" si="3"/>
        <v>0</v>
      </c>
    </row>
    <row r="107" spans="2:32" x14ac:dyDescent="0.35">
      <c r="B107" s="432" t="e">
        <f>"2024"&amp;MATCH(Totals!D107,OrgType,0)&amp;"_"&amp;MATCH(Totals!E107,Organisations,0)&amp;"_"&amp;LEFT(Totals!F107,1)&amp;"_"&amp;LEFT(G107,1)&amp;"_"&amp;COUNTIF($G$3:G107,G107)</f>
        <v>#N/A</v>
      </c>
      <c r="C107" s="432">
        <v>2024</v>
      </c>
      <c r="D107" s="432">
        <f>Introduction!$D$7</f>
        <v>0</v>
      </c>
      <c r="E107" s="432">
        <f>Introduction!$D$8</f>
        <v>0</v>
      </c>
      <c r="F107" s="432" t="s">
        <v>110</v>
      </c>
      <c r="G107" s="432" t="s">
        <v>110</v>
      </c>
      <c r="H107" s="432">
        <f>'Buildings &amp; stationary assets'!B111</f>
        <v>0</v>
      </c>
      <c r="I107" s="432">
        <f>'Buildings &amp; stationary assets'!C111</f>
        <v>0</v>
      </c>
      <c r="J107" s="432">
        <f>'Buildings &amp; stationary assets'!D111</f>
        <v>0</v>
      </c>
      <c r="K107" s="432">
        <f>'Buildings &amp; stationary assets'!E111</f>
        <v>0</v>
      </c>
      <c r="L107" s="432">
        <f>'Buildings &amp; stationary assets'!F111</f>
        <v>0</v>
      </c>
      <c r="M107" s="432" t="str">
        <f>'Buildings &amp; stationary assets'!G111</f>
        <v/>
      </c>
      <c r="N107" s="432">
        <f>'Buildings &amp; stationary assets'!H111</f>
        <v>0</v>
      </c>
      <c r="O107" s="432">
        <f>'Buildings &amp; stationary assets'!I111</f>
        <v>0</v>
      </c>
      <c r="P107" s="432" t="str">
        <f>'Buildings &amp; stationary assets'!J111</f>
        <v/>
      </c>
      <c r="Q107" s="432" t="str">
        <f>'Buildings &amp; stationary assets'!K111</f>
        <v/>
      </c>
      <c r="R107" s="432" t="str">
        <f>'Buildings &amp; stationary assets'!L111</f>
        <v/>
      </c>
      <c r="S107" s="432" t="str">
        <f>'Buildings &amp; stationary assets'!M111</f>
        <v/>
      </c>
      <c r="T107" s="432">
        <f>'Buildings &amp; stationary assets'!N111</f>
        <v>0</v>
      </c>
      <c r="U107" s="432">
        <f>'Buildings &amp; stationary assets'!O111</f>
        <v>0</v>
      </c>
      <c r="V107" s="432" t="str">
        <f>'Buildings &amp; stationary assets'!P111</f>
        <v/>
      </c>
      <c r="W107" s="432" t="str">
        <f>'Buildings &amp; stationary assets'!Q111</f>
        <v/>
      </c>
      <c r="X107" s="432" t="str">
        <f>'Buildings &amp; stationary assets'!R111</f>
        <v/>
      </c>
      <c r="Y107" s="432" t="str">
        <f>'Buildings &amp; stationary assets'!S111</f>
        <v/>
      </c>
      <c r="Z107" s="432" t="str">
        <f>'Buildings &amp; stationary assets'!T111</f>
        <v/>
      </c>
      <c r="AA107" s="432" t="str">
        <f>'Buildings &amp; stationary assets'!U111</f>
        <v/>
      </c>
      <c r="AB107" s="432" t="str">
        <f>'Buildings &amp; stationary assets'!V111</f>
        <v/>
      </c>
      <c r="AC107" s="432" t="str">
        <f>'Buildings &amp; stationary assets'!W111</f>
        <v/>
      </c>
      <c r="AE107" s="432">
        <f t="shared" si="2"/>
        <v>0</v>
      </c>
      <c r="AF107" s="432">
        <f t="shared" si="3"/>
        <v>0</v>
      </c>
    </row>
    <row r="108" spans="2:32" x14ac:dyDescent="0.35">
      <c r="B108" s="432" t="e">
        <f>"2024"&amp;MATCH(Totals!D108,OrgType,0)&amp;"_"&amp;MATCH(Totals!E108,Organisations,0)&amp;"_"&amp;LEFT(Totals!F108,1)&amp;"_"&amp;LEFT(G108,1)&amp;"_"&amp;COUNTIF($G$3:G108,G108)</f>
        <v>#N/A</v>
      </c>
      <c r="C108" s="432">
        <v>2024</v>
      </c>
      <c r="D108" s="432">
        <f>Introduction!$D$7</f>
        <v>0</v>
      </c>
      <c r="E108" s="432">
        <f>Introduction!$D$8</f>
        <v>0</v>
      </c>
      <c r="F108" s="432" t="s">
        <v>110</v>
      </c>
      <c r="G108" s="432" t="s">
        <v>110</v>
      </c>
      <c r="H108" s="432">
        <f>'Buildings &amp; stationary assets'!B112</f>
        <v>0</v>
      </c>
      <c r="I108" s="432">
        <f>'Buildings &amp; stationary assets'!C112</f>
        <v>0</v>
      </c>
      <c r="J108" s="432">
        <f>'Buildings &amp; stationary assets'!D112</f>
        <v>0</v>
      </c>
      <c r="K108" s="432">
        <f>'Buildings &amp; stationary assets'!E112</f>
        <v>0</v>
      </c>
      <c r="L108" s="432">
        <f>'Buildings &amp; stationary assets'!F112</f>
        <v>0</v>
      </c>
      <c r="M108" s="432" t="str">
        <f>'Buildings &amp; stationary assets'!G112</f>
        <v/>
      </c>
      <c r="N108" s="432">
        <f>'Buildings &amp; stationary assets'!H112</f>
        <v>0</v>
      </c>
      <c r="O108" s="432">
        <f>'Buildings &amp; stationary assets'!I112</f>
        <v>0</v>
      </c>
      <c r="P108" s="432" t="str">
        <f>'Buildings &amp; stationary assets'!J112</f>
        <v/>
      </c>
      <c r="Q108" s="432" t="str">
        <f>'Buildings &amp; stationary assets'!K112</f>
        <v/>
      </c>
      <c r="R108" s="432" t="str">
        <f>'Buildings &amp; stationary assets'!L112</f>
        <v/>
      </c>
      <c r="S108" s="432" t="str">
        <f>'Buildings &amp; stationary assets'!M112</f>
        <v/>
      </c>
      <c r="T108" s="432">
        <f>'Buildings &amp; stationary assets'!N112</f>
        <v>0</v>
      </c>
      <c r="U108" s="432">
        <f>'Buildings &amp; stationary assets'!O112</f>
        <v>0</v>
      </c>
      <c r="V108" s="432" t="str">
        <f>'Buildings &amp; stationary assets'!P112</f>
        <v/>
      </c>
      <c r="W108" s="432" t="str">
        <f>'Buildings &amp; stationary assets'!Q112</f>
        <v/>
      </c>
      <c r="X108" s="432" t="str">
        <f>'Buildings &amp; stationary assets'!R112</f>
        <v/>
      </c>
      <c r="Y108" s="432" t="str">
        <f>'Buildings &amp; stationary assets'!S112</f>
        <v/>
      </c>
      <c r="Z108" s="432" t="str">
        <f>'Buildings &amp; stationary assets'!T112</f>
        <v/>
      </c>
      <c r="AA108" s="432" t="str">
        <f>'Buildings &amp; stationary assets'!U112</f>
        <v/>
      </c>
      <c r="AB108" s="432" t="str">
        <f>'Buildings &amp; stationary assets'!V112</f>
        <v/>
      </c>
      <c r="AC108" s="432" t="str">
        <f>'Buildings &amp; stationary assets'!W112</f>
        <v/>
      </c>
      <c r="AE108" s="432">
        <f t="shared" si="2"/>
        <v>0</v>
      </c>
      <c r="AF108" s="432">
        <f t="shared" si="3"/>
        <v>0</v>
      </c>
    </row>
    <row r="109" spans="2:32" x14ac:dyDescent="0.35">
      <c r="B109" s="432" t="e">
        <f>"2024"&amp;MATCH(Totals!D109,OrgType,0)&amp;"_"&amp;MATCH(Totals!E109,Organisations,0)&amp;"_"&amp;LEFT(Totals!F109,1)&amp;"_"&amp;LEFT(G109,1)&amp;"_"&amp;COUNTIF($G$3:G109,G109)</f>
        <v>#N/A</v>
      </c>
      <c r="C109" s="432">
        <v>2024</v>
      </c>
      <c r="D109" s="432">
        <f>Introduction!$D$7</f>
        <v>0</v>
      </c>
      <c r="E109" s="432">
        <f>Introduction!$D$8</f>
        <v>0</v>
      </c>
      <c r="F109" s="432" t="s">
        <v>110</v>
      </c>
      <c r="G109" s="432" t="s">
        <v>110</v>
      </c>
      <c r="H109" s="432">
        <f>'Buildings &amp; stationary assets'!B113</f>
        <v>0</v>
      </c>
      <c r="I109" s="432">
        <f>'Buildings &amp; stationary assets'!C113</f>
        <v>0</v>
      </c>
      <c r="J109" s="432">
        <f>'Buildings &amp; stationary assets'!D113</f>
        <v>0</v>
      </c>
      <c r="K109" s="432">
        <f>'Buildings &amp; stationary assets'!E113</f>
        <v>0</v>
      </c>
      <c r="L109" s="432">
        <f>'Buildings &amp; stationary assets'!F113</f>
        <v>0</v>
      </c>
      <c r="M109" s="432" t="str">
        <f>'Buildings &amp; stationary assets'!G113</f>
        <v/>
      </c>
      <c r="N109" s="432">
        <f>'Buildings &amp; stationary assets'!H113</f>
        <v>0</v>
      </c>
      <c r="O109" s="432">
        <f>'Buildings &amp; stationary assets'!I113</f>
        <v>0</v>
      </c>
      <c r="P109" s="432" t="str">
        <f>'Buildings &amp; stationary assets'!J113</f>
        <v/>
      </c>
      <c r="Q109" s="432" t="str">
        <f>'Buildings &amp; stationary assets'!K113</f>
        <v/>
      </c>
      <c r="R109" s="432" t="str">
        <f>'Buildings &amp; stationary assets'!L113</f>
        <v/>
      </c>
      <c r="S109" s="432" t="str">
        <f>'Buildings &amp; stationary assets'!M113</f>
        <v/>
      </c>
      <c r="T109" s="432">
        <f>'Buildings &amp; stationary assets'!N113</f>
        <v>0</v>
      </c>
      <c r="U109" s="432">
        <f>'Buildings &amp; stationary assets'!O113</f>
        <v>0</v>
      </c>
      <c r="V109" s="432" t="str">
        <f>'Buildings &amp; stationary assets'!P113</f>
        <v/>
      </c>
      <c r="W109" s="432" t="str">
        <f>'Buildings &amp; stationary assets'!Q113</f>
        <v/>
      </c>
      <c r="X109" s="432" t="str">
        <f>'Buildings &amp; stationary assets'!R113</f>
        <v/>
      </c>
      <c r="Y109" s="432" t="str">
        <f>'Buildings &amp; stationary assets'!S113</f>
        <v/>
      </c>
      <c r="Z109" s="432" t="str">
        <f>'Buildings &amp; stationary assets'!T113</f>
        <v/>
      </c>
      <c r="AA109" s="432" t="str">
        <f>'Buildings &amp; stationary assets'!U113</f>
        <v/>
      </c>
      <c r="AB109" s="432" t="str">
        <f>'Buildings &amp; stationary assets'!V113</f>
        <v/>
      </c>
      <c r="AC109" s="432" t="str">
        <f>'Buildings &amp; stationary assets'!W113</f>
        <v/>
      </c>
      <c r="AE109" s="432">
        <f t="shared" si="2"/>
        <v>0</v>
      </c>
      <c r="AF109" s="432">
        <f t="shared" si="3"/>
        <v>0</v>
      </c>
    </row>
    <row r="110" spans="2:32" x14ac:dyDescent="0.35">
      <c r="B110" s="432" t="e">
        <f>"2024"&amp;MATCH(Totals!D110,OrgType,0)&amp;"_"&amp;MATCH(Totals!E110,Organisations,0)&amp;"_"&amp;LEFT(Totals!F110,1)&amp;"_"&amp;LEFT(G110,1)&amp;"_"&amp;COUNTIF($G$3:G110,G110)</f>
        <v>#N/A</v>
      </c>
      <c r="C110" s="432">
        <v>2024</v>
      </c>
      <c r="D110" s="432">
        <f>Introduction!$D$7</f>
        <v>0</v>
      </c>
      <c r="E110" s="432">
        <f>Introduction!$D$8</f>
        <v>0</v>
      </c>
      <c r="F110" s="432" t="s">
        <v>110</v>
      </c>
      <c r="G110" s="432" t="s">
        <v>110</v>
      </c>
      <c r="H110" s="432">
        <f>'Buildings &amp; stationary assets'!B114</f>
        <v>0</v>
      </c>
      <c r="I110" s="432">
        <f>'Buildings &amp; stationary assets'!C114</f>
        <v>0</v>
      </c>
      <c r="J110" s="432">
        <f>'Buildings &amp; stationary assets'!D114</f>
        <v>0</v>
      </c>
      <c r="K110" s="432">
        <f>'Buildings &amp; stationary assets'!E114</f>
        <v>0</v>
      </c>
      <c r="L110" s="432">
        <f>'Buildings &amp; stationary assets'!F114</f>
        <v>0</v>
      </c>
      <c r="M110" s="432" t="str">
        <f>'Buildings &amp; stationary assets'!G114</f>
        <v/>
      </c>
      <c r="N110" s="432">
        <f>'Buildings &amp; stationary assets'!H114</f>
        <v>0</v>
      </c>
      <c r="O110" s="432">
        <f>'Buildings &amp; stationary assets'!I114</f>
        <v>0</v>
      </c>
      <c r="P110" s="432" t="str">
        <f>'Buildings &amp; stationary assets'!J114</f>
        <v/>
      </c>
      <c r="Q110" s="432" t="str">
        <f>'Buildings &amp; stationary assets'!K114</f>
        <v/>
      </c>
      <c r="R110" s="432" t="str">
        <f>'Buildings &amp; stationary assets'!L114</f>
        <v/>
      </c>
      <c r="S110" s="432" t="str">
        <f>'Buildings &amp; stationary assets'!M114</f>
        <v/>
      </c>
      <c r="T110" s="432">
        <f>'Buildings &amp; stationary assets'!N114</f>
        <v>0</v>
      </c>
      <c r="U110" s="432">
        <f>'Buildings &amp; stationary assets'!O114</f>
        <v>0</v>
      </c>
      <c r="V110" s="432" t="str">
        <f>'Buildings &amp; stationary assets'!P114</f>
        <v/>
      </c>
      <c r="W110" s="432" t="str">
        <f>'Buildings &amp; stationary assets'!Q114</f>
        <v/>
      </c>
      <c r="X110" s="432" t="str">
        <f>'Buildings &amp; stationary assets'!R114</f>
        <v/>
      </c>
      <c r="Y110" s="432" t="str">
        <f>'Buildings &amp; stationary assets'!S114</f>
        <v/>
      </c>
      <c r="Z110" s="432" t="str">
        <f>'Buildings &amp; stationary assets'!T114</f>
        <v/>
      </c>
      <c r="AA110" s="432" t="str">
        <f>'Buildings &amp; stationary assets'!U114</f>
        <v/>
      </c>
      <c r="AB110" s="432" t="str">
        <f>'Buildings &amp; stationary assets'!V114</f>
        <v/>
      </c>
      <c r="AC110" s="432" t="str">
        <f>'Buildings &amp; stationary assets'!W114</f>
        <v/>
      </c>
      <c r="AE110" s="432">
        <f t="shared" si="2"/>
        <v>0</v>
      </c>
      <c r="AF110" s="432">
        <f t="shared" si="3"/>
        <v>0</v>
      </c>
    </row>
    <row r="111" spans="2:32" x14ac:dyDescent="0.35">
      <c r="B111" s="432" t="e">
        <f>"2024"&amp;MATCH(Totals!D111,OrgType,0)&amp;"_"&amp;MATCH(Totals!E111,Organisations,0)&amp;"_"&amp;LEFT(Totals!F111,1)&amp;"_"&amp;LEFT(G111,1)&amp;"_"&amp;COUNTIF($G$3:G111,G111)</f>
        <v>#N/A</v>
      </c>
      <c r="C111" s="432">
        <v>2024</v>
      </c>
      <c r="D111" s="432">
        <f>Introduction!$D$7</f>
        <v>0</v>
      </c>
      <c r="E111" s="432">
        <f>Introduction!$D$8</f>
        <v>0</v>
      </c>
      <c r="F111" s="432" t="s">
        <v>110</v>
      </c>
      <c r="G111" s="432" t="s">
        <v>110</v>
      </c>
      <c r="H111" s="432">
        <f>'Buildings &amp; stationary assets'!B115</f>
        <v>0</v>
      </c>
      <c r="I111" s="432">
        <f>'Buildings &amp; stationary assets'!C115</f>
        <v>0</v>
      </c>
      <c r="J111" s="432">
        <f>'Buildings &amp; stationary assets'!D115</f>
        <v>0</v>
      </c>
      <c r="K111" s="432">
        <f>'Buildings &amp; stationary assets'!E115</f>
        <v>0</v>
      </c>
      <c r="L111" s="432">
        <f>'Buildings &amp; stationary assets'!F115</f>
        <v>0</v>
      </c>
      <c r="M111" s="432" t="str">
        <f>'Buildings &amp; stationary assets'!G115</f>
        <v/>
      </c>
      <c r="N111" s="432">
        <f>'Buildings &amp; stationary assets'!H115</f>
        <v>0</v>
      </c>
      <c r="O111" s="432">
        <f>'Buildings &amp; stationary assets'!I115</f>
        <v>0</v>
      </c>
      <c r="P111" s="432" t="str">
        <f>'Buildings &amp; stationary assets'!J115</f>
        <v/>
      </c>
      <c r="Q111" s="432" t="str">
        <f>'Buildings &amp; stationary assets'!K115</f>
        <v/>
      </c>
      <c r="R111" s="432" t="str">
        <f>'Buildings &amp; stationary assets'!L115</f>
        <v/>
      </c>
      <c r="S111" s="432" t="str">
        <f>'Buildings &amp; stationary assets'!M115</f>
        <v/>
      </c>
      <c r="T111" s="432">
        <f>'Buildings &amp; stationary assets'!N115</f>
        <v>0</v>
      </c>
      <c r="U111" s="432">
        <f>'Buildings &amp; stationary assets'!O115</f>
        <v>0</v>
      </c>
      <c r="V111" s="432" t="str">
        <f>'Buildings &amp; stationary assets'!P115</f>
        <v/>
      </c>
      <c r="W111" s="432" t="str">
        <f>'Buildings &amp; stationary assets'!Q115</f>
        <v/>
      </c>
      <c r="X111" s="432" t="str">
        <f>'Buildings &amp; stationary assets'!R115</f>
        <v/>
      </c>
      <c r="Y111" s="432" t="str">
        <f>'Buildings &amp; stationary assets'!S115</f>
        <v/>
      </c>
      <c r="Z111" s="432" t="str">
        <f>'Buildings &amp; stationary assets'!T115</f>
        <v/>
      </c>
      <c r="AA111" s="432" t="str">
        <f>'Buildings &amp; stationary assets'!U115</f>
        <v/>
      </c>
      <c r="AB111" s="432" t="str">
        <f>'Buildings &amp; stationary assets'!V115</f>
        <v/>
      </c>
      <c r="AC111" s="432" t="str">
        <f>'Buildings &amp; stationary assets'!W115</f>
        <v/>
      </c>
      <c r="AE111" s="432">
        <f t="shared" si="2"/>
        <v>0</v>
      </c>
      <c r="AF111" s="432">
        <f t="shared" si="3"/>
        <v>0</v>
      </c>
    </row>
    <row r="112" spans="2:32" x14ac:dyDescent="0.35">
      <c r="B112" s="432" t="e">
        <f>"2024"&amp;MATCH(Totals!D112,OrgType,0)&amp;"_"&amp;MATCH(Totals!E112,Organisations,0)&amp;"_"&amp;LEFT(Totals!F112,1)&amp;"_"&amp;LEFT(G112,1)&amp;"_"&amp;COUNTIF($G$3:G112,G112)</f>
        <v>#N/A</v>
      </c>
      <c r="C112" s="432">
        <v>2024</v>
      </c>
      <c r="D112" s="432">
        <f>Introduction!$D$7</f>
        <v>0</v>
      </c>
      <c r="E112" s="432">
        <f>Introduction!$D$8</f>
        <v>0</v>
      </c>
      <c r="F112" s="432" t="s">
        <v>110</v>
      </c>
      <c r="G112" s="432" t="s">
        <v>110</v>
      </c>
      <c r="H112" s="432">
        <f>'Buildings &amp; stationary assets'!B116</f>
        <v>0</v>
      </c>
      <c r="I112" s="432">
        <f>'Buildings &amp; stationary assets'!C116</f>
        <v>0</v>
      </c>
      <c r="J112" s="432">
        <f>'Buildings &amp; stationary assets'!D116</f>
        <v>0</v>
      </c>
      <c r="K112" s="432">
        <f>'Buildings &amp; stationary assets'!E116</f>
        <v>0</v>
      </c>
      <c r="L112" s="432">
        <f>'Buildings &amp; stationary assets'!F116</f>
        <v>0</v>
      </c>
      <c r="M112" s="432" t="str">
        <f>'Buildings &amp; stationary assets'!G116</f>
        <v/>
      </c>
      <c r="N112" s="432">
        <f>'Buildings &amp; stationary assets'!H116</f>
        <v>0</v>
      </c>
      <c r="O112" s="432">
        <f>'Buildings &amp; stationary assets'!I116</f>
        <v>0</v>
      </c>
      <c r="P112" s="432" t="str">
        <f>'Buildings &amp; stationary assets'!J116</f>
        <v/>
      </c>
      <c r="Q112" s="432" t="str">
        <f>'Buildings &amp; stationary assets'!K116</f>
        <v/>
      </c>
      <c r="R112" s="432" t="str">
        <f>'Buildings &amp; stationary assets'!L116</f>
        <v/>
      </c>
      <c r="S112" s="432" t="str">
        <f>'Buildings &amp; stationary assets'!M116</f>
        <v/>
      </c>
      <c r="T112" s="432">
        <f>'Buildings &amp; stationary assets'!N116</f>
        <v>0</v>
      </c>
      <c r="U112" s="432">
        <f>'Buildings &amp; stationary assets'!O116</f>
        <v>0</v>
      </c>
      <c r="V112" s="432" t="str">
        <f>'Buildings &amp; stationary assets'!P116</f>
        <v/>
      </c>
      <c r="W112" s="432" t="str">
        <f>'Buildings &amp; stationary assets'!Q116</f>
        <v/>
      </c>
      <c r="X112" s="432" t="str">
        <f>'Buildings &amp; stationary assets'!R116</f>
        <v/>
      </c>
      <c r="Y112" s="432" t="str">
        <f>'Buildings &amp; stationary assets'!S116</f>
        <v/>
      </c>
      <c r="Z112" s="432" t="str">
        <f>'Buildings &amp; stationary assets'!T116</f>
        <v/>
      </c>
      <c r="AA112" s="432" t="str">
        <f>'Buildings &amp; stationary assets'!U116</f>
        <v/>
      </c>
      <c r="AB112" s="432" t="str">
        <f>'Buildings &amp; stationary assets'!V116</f>
        <v/>
      </c>
      <c r="AC112" s="432" t="str">
        <f>'Buildings &amp; stationary assets'!W116</f>
        <v/>
      </c>
      <c r="AE112" s="432">
        <f t="shared" si="2"/>
        <v>0</v>
      </c>
      <c r="AF112" s="432">
        <f t="shared" si="3"/>
        <v>0</v>
      </c>
    </row>
    <row r="113" spans="2:32" x14ac:dyDescent="0.35">
      <c r="B113" s="432" t="e">
        <f>"2024"&amp;MATCH(Totals!D113,OrgType,0)&amp;"_"&amp;MATCH(Totals!E113,Organisations,0)&amp;"_"&amp;LEFT(Totals!F113,1)&amp;"_"&amp;LEFT(G113,1)&amp;"_"&amp;COUNTIF($G$3:G113,G113)</f>
        <v>#N/A</v>
      </c>
      <c r="C113" s="432">
        <v>2024</v>
      </c>
      <c r="D113" s="432">
        <f>Introduction!$D$7</f>
        <v>0</v>
      </c>
      <c r="E113" s="432">
        <f>Introduction!$D$8</f>
        <v>0</v>
      </c>
      <c r="F113" s="432" t="s">
        <v>110</v>
      </c>
      <c r="G113" s="432" t="s">
        <v>110</v>
      </c>
      <c r="H113" s="432">
        <f>'Buildings &amp; stationary assets'!B117</f>
        <v>0</v>
      </c>
      <c r="I113" s="432">
        <f>'Buildings &amp; stationary assets'!C117</f>
        <v>0</v>
      </c>
      <c r="J113" s="432">
        <f>'Buildings &amp; stationary assets'!D117</f>
        <v>0</v>
      </c>
      <c r="K113" s="432">
        <f>'Buildings &amp; stationary assets'!E117</f>
        <v>0</v>
      </c>
      <c r="L113" s="432">
        <f>'Buildings &amp; stationary assets'!F117</f>
        <v>0</v>
      </c>
      <c r="M113" s="432" t="str">
        <f>'Buildings &amp; stationary assets'!G117</f>
        <v/>
      </c>
      <c r="N113" s="432">
        <f>'Buildings &amp; stationary assets'!H117</f>
        <v>0</v>
      </c>
      <c r="O113" s="432">
        <f>'Buildings &amp; stationary assets'!I117</f>
        <v>0</v>
      </c>
      <c r="P113" s="432" t="str">
        <f>'Buildings &amp; stationary assets'!J117</f>
        <v/>
      </c>
      <c r="Q113" s="432" t="str">
        <f>'Buildings &amp; stationary assets'!K117</f>
        <v/>
      </c>
      <c r="R113" s="432" t="str">
        <f>'Buildings &amp; stationary assets'!L117</f>
        <v/>
      </c>
      <c r="S113" s="432" t="str">
        <f>'Buildings &amp; stationary assets'!M117</f>
        <v/>
      </c>
      <c r="T113" s="432">
        <f>'Buildings &amp; stationary assets'!N117</f>
        <v>0</v>
      </c>
      <c r="U113" s="432">
        <f>'Buildings &amp; stationary assets'!O117</f>
        <v>0</v>
      </c>
      <c r="V113" s="432" t="str">
        <f>'Buildings &amp; stationary assets'!P117</f>
        <v/>
      </c>
      <c r="W113" s="432" t="str">
        <f>'Buildings &amp; stationary assets'!Q117</f>
        <v/>
      </c>
      <c r="X113" s="432" t="str">
        <f>'Buildings &amp; stationary assets'!R117</f>
        <v/>
      </c>
      <c r="Y113" s="432" t="str">
        <f>'Buildings &amp; stationary assets'!S117</f>
        <v/>
      </c>
      <c r="Z113" s="432" t="str">
        <f>'Buildings &amp; stationary assets'!T117</f>
        <v/>
      </c>
      <c r="AA113" s="432" t="str">
        <f>'Buildings &amp; stationary assets'!U117</f>
        <v/>
      </c>
      <c r="AB113" s="432" t="str">
        <f>'Buildings &amp; stationary assets'!V117</f>
        <v/>
      </c>
      <c r="AC113" s="432" t="str">
        <f>'Buildings &amp; stationary assets'!W117</f>
        <v/>
      </c>
      <c r="AE113" s="432">
        <f t="shared" si="2"/>
        <v>0</v>
      </c>
      <c r="AF113" s="432">
        <f t="shared" si="3"/>
        <v>0</v>
      </c>
    </row>
    <row r="114" spans="2:32" x14ac:dyDescent="0.35">
      <c r="B114" s="432" t="e">
        <f>"2024"&amp;MATCH(Totals!D114,OrgType,0)&amp;"_"&amp;MATCH(Totals!E114,Organisations,0)&amp;"_"&amp;LEFT(Totals!F114,1)&amp;"_"&amp;LEFT(G114,1)&amp;"_"&amp;COUNTIF($G$3:G114,G114)</f>
        <v>#N/A</v>
      </c>
      <c r="C114" s="432">
        <v>2024</v>
      </c>
      <c r="D114" s="432">
        <f>Introduction!$D$7</f>
        <v>0</v>
      </c>
      <c r="E114" s="432">
        <f>Introduction!$D$8</f>
        <v>0</v>
      </c>
      <c r="F114" s="432" t="s">
        <v>110</v>
      </c>
      <c r="G114" s="432" t="s">
        <v>143</v>
      </c>
      <c r="H114" s="432">
        <f>'Buildings &amp; stationary assets'!B121</f>
        <v>0</v>
      </c>
      <c r="I114" s="432">
        <f>'Buildings &amp; stationary assets'!C121</f>
        <v>0</v>
      </c>
      <c r="J114" s="432">
        <f>'Buildings &amp; stationary assets'!D121</f>
        <v>0</v>
      </c>
      <c r="K114" s="432">
        <f>'Buildings &amp; stationary assets'!E121</f>
        <v>0</v>
      </c>
      <c r="L114" s="432">
        <f>'Buildings &amp; stationary assets'!F121</f>
        <v>0</v>
      </c>
      <c r="M114" s="432" t="str">
        <f>'Buildings &amp; stationary assets'!G121</f>
        <v/>
      </c>
      <c r="N114" s="432">
        <f>'Buildings &amp; stationary assets'!H121</f>
        <v>0</v>
      </c>
      <c r="O114" s="432">
        <f>'Buildings &amp; stationary assets'!I121</f>
        <v>0</v>
      </c>
      <c r="P114" s="432" t="str">
        <f>'Buildings &amp; stationary assets'!J121</f>
        <v/>
      </c>
      <c r="Q114" s="432" t="str">
        <f>'Buildings &amp; stationary assets'!K121</f>
        <v/>
      </c>
      <c r="R114" s="432" t="str">
        <f>'Buildings &amp; stationary assets'!L121</f>
        <v/>
      </c>
      <c r="S114" s="432" t="str">
        <f>'Buildings &amp; stationary assets'!M121</f>
        <v/>
      </c>
      <c r="T114" s="432">
        <f>'Buildings &amp; stationary assets'!N121</f>
        <v>0</v>
      </c>
      <c r="U114" s="432">
        <f>'Buildings &amp; stationary assets'!O121</f>
        <v>0</v>
      </c>
      <c r="V114" s="432" t="str">
        <f>'Buildings &amp; stationary assets'!P121</f>
        <v/>
      </c>
      <c r="W114" s="432" t="str">
        <f>'Buildings &amp; stationary assets'!Q121</f>
        <v/>
      </c>
      <c r="X114" s="432" t="str">
        <f>'Buildings &amp; stationary assets'!R121</f>
        <v/>
      </c>
      <c r="Y114" s="432" t="str">
        <f>'Buildings &amp; stationary assets'!S121</f>
        <v/>
      </c>
      <c r="Z114" s="432" t="str">
        <f>'Buildings &amp; stationary assets'!T121</f>
        <v/>
      </c>
      <c r="AA114" s="432" t="str">
        <f>'Buildings &amp; stationary assets'!U121</f>
        <v/>
      </c>
      <c r="AB114" s="432" t="str">
        <f>'Buildings &amp; stationary assets'!V121</f>
        <v/>
      </c>
      <c r="AC114" s="432" t="str">
        <f>'Buildings &amp; stationary assets'!W121</f>
        <v/>
      </c>
      <c r="AE114" s="432">
        <f t="shared" si="2"/>
        <v>0</v>
      </c>
      <c r="AF114" s="432">
        <f t="shared" si="3"/>
        <v>0</v>
      </c>
    </row>
    <row r="115" spans="2:32" x14ac:dyDescent="0.35">
      <c r="B115" s="432" t="e">
        <f>"2024"&amp;MATCH(Totals!D115,OrgType,0)&amp;"_"&amp;MATCH(Totals!E115,Organisations,0)&amp;"_"&amp;LEFT(Totals!F115,1)&amp;"_"&amp;LEFT(G115,1)&amp;"_"&amp;COUNTIF($G$3:G115,G115)</f>
        <v>#N/A</v>
      </c>
      <c r="C115" s="432">
        <v>2024</v>
      </c>
      <c r="D115" s="432">
        <f>Introduction!$D$7</f>
        <v>0</v>
      </c>
      <c r="E115" s="432">
        <f>Introduction!$D$8</f>
        <v>0</v>
      </c>
      <c r="F115" s="432" t="s">
        <v>110</v>
      </c>
      <c r="G115" s="432" t="s">
        <v>143</v>
      </c>
      <c r="H115" s="432">
        <f>'Buildings &amp; stationary assets'!B122</f>
        <v>0</v>
      </c>
      <c r="I115" s="432">
        <f>'Buildings &amp; stationary assets'!C122</f>
        <v>0</v>
      </c>
      <c r="J115" s="432">
        <f>'Buildings &amp; stationary assets'!D122</f>
        <v>0</v>
      </c>
      <c r="K115" s="432">
        <f>'Buildings &amp; stationary assets'!E122</f>
        <v>0</v>
      </c>
      <c r="L115" s="432">
        <f>'Buildings &amp; stationary assets'!F122</f>
        <v>0</v>
      </c>
      <c r="M115" s="432" t="str">
        <f>'Buildings &amp; stationary assets'!G122</f>
        <v/>
      </c>
      <c r="N115" s="432">
        <f>'Buildings &amp; stationary assets'!H122</f>
        <v>0</v>
      </c>
      <c r="O115" s="432">
        <f>'Buildings &amp; stationary assets'!I122</f>
        <v>0</v>
      </c>
      <c r="P115" s="432" t="str">
        <f>'Buildings &amp; stationary assets'!J122</f>
        <v/>
      </c>
      <c r="Q115" s="432" t="str">
        <f>'Buildings &amp; stationary assets'!K122</f>
        <v/>
      </c>
      <c r="R115" s="432" t="str">
        <f>'Buildings &amp; stationary assets'!L122</f>
        <v/>
      </c>
      <c r="S115" s="432" t="str">
        <f>'Buildings &amp; stationary assets'!M122</f>
        <v/>
      </c>
      <c r="T115" s="432">
        <f>'Buildings &amp; stationary assets'!N122</f>
        <v>0</v>
      </c>
      <c r="U115" s="432">
        <f>'Buildings &amp; stationary assets'!O122</f>
        <v>0</v>
      </c>
      <c r="V115" s="432" t="str">
        <f>'Buildings &amp; stationary assets'!P122</f>
        <v/>
      </c>
      <c r="W115" s="432" t="str">
        <f>'Buildings &amp; stationary assets'!Q122</f>
        <v/>
      </c>
      <c r="X115" s="432" t="str">
        <f>'Buildings &amp; stationary assets'!R122</f>
        <v/>
      </c>
      <c r="Y115" s="432" t="str">
        <f>'Buildings &amp; stationary assets'!S122</f>
        <v/>
      </c>
      <c r="Z115" s="432" t="str">
        <f>'Buildings &amp; stationary assets'!T122</f>
        <v/>
      </c>
      <c r="AA115" s="432" t="str">
        <f>'Buildings &amp; stationary assets'!U122</f>
        <v/>
      </c>
      <c r="AB115" s="432" t="str">
        <f>'Buildings &amp; stationary assets'!V122</f>
        <v/>
      </c>
      <c r="AC115" s="432" t="str">
        <f>'Buildings &amp; stationary assets'!W122</f>
        <v/>
      </c>
      <c r="AE115" s="432">
        <f t="shared" si="2"/>
        <v>0</v>
      </c>
      <c r="AF115" s="432">
        <f t="shared" si="3"/>
        <v>0</v>
      </c>
    </row>
    <row r="116" spans="2:32" x14ac:dyDescent="0.35">
      <c r="B116" s="432" t="e">
        <f>"2024"&amp;MATCH(Totals!D116,OrgType,0)&amp;"_"&amp;MATCH(Totals!E116,Organisations,0)&amp;"_"&amp;LEFT(Totals!F116,1)&amp;"_"&amp;LEFT(G116,1)&amp;"_"&amp;COUNTIF($G$3:G116,G116)</f>
        <v>#N/A</v>
      </c>
      <c r="C116" s="432">
        <v>2024</v>
      </c>
      <c r="D116" s="432">
        <f>Introduction!$D$7</f>
        <v>0</v>
      </c>
      <c r="E116" s="432">
        <f>Introduction!$D$8</f>
        <v>0</v>
      </c>
      <c r="F116" s="432" t="s">
        <v>110</v>
      </c>
      <c r="G116" s="432" t="s">
        <v>143</v>
      </c>
      <c r="H116" s="432">
        <f>'Buildings &amp; stationary assets'!B123</f>
        <v>0</v>
      </c>
      <c r="I116" s="432">
        <f>'Buildings &amp; stationary assets'!C123</f>
        <v>0</v>
      </c>
      <c r="J116" s="432">
        <f>'Buildings &amp; stationary assets'!D123</f>
        <v>0</v>
      </c>
      <c r="K116" s="432">
        <f>'Buildings &amp; stationary assets'!E123</f>
        <v>0</v>
      </c>
      <c r="L116" s="432">
        <f>'Buildings &amp; stationary assets'!F123</f>
        <v>0</v>
      </c>
      <c r="M116" s="432" t="str">
        <f>'Buildings &amp; stationary assets'!G123</f>
        <v/>
      </c>
      <c r="N116" s="432">
        <f>'Buildings &amp; stationary assets'!H123</f>
        <v>0</v>
      </c>
      <c r="O116" s="432">
        <f>'Buildings &amp; stationary assets'!I123</f>
        <v>0</v>
      </c>
      <c r="P116" s="432" t="str">
        <f>'Buildings &amp; stationary assets'!J123</f>
        <v/>
      </c>
      <c r="Q116" s="432" t="str">
        <f>'Buildings &amp; stationary assets'!K123</f>
        <v/>
      </c>
      <c r="R116" s="432" t="str">
        <f>'Buildings &amp; stationary assets'!L123</f>
        <v/>
      </c>
      <c r="S116" s="432" t="str">
        <f>'Buildings &amp; stationary assets'!M123</f>
        <v/>
      </c>
      <c r="T116" s="432">
        <f>'Buildings &amp; stationary assets'!N123</f>
        <v>0</v>
      </c>
      <c r="U116" s="432">
        <f>'Buildings &amp; stationary assets'!O123</f>
        <v>0</v>
      </c>
      <c r="V116" s="432" t="str">
        <f>'Buildings &amp; stationary assets'!P123</f>
        <v/>
      </c>
      <c r="W116" s="432" t="str">
        <f>'Buildings &amp; stationary assets'!Q123</f>
        <v/>
      </c>
      <c r="X116" s="432" t="str">
        <f>'Buildings &amp; stationary assets'!R123</f>
        <v/>
      </c>
      <c r="Y116" s="432" t="str">
        <f>'Buildings &amp; stationary assets'!S123</f>
        <v/>
      </c>
      <c r="Z116" s="432" t="str">
        <f>'Buildings &amp; stationary assets'!T123</f>
        <v/>
      </c>
      <c r="AA116" s="432" t="str">
        <f>'Buildings &amp; stationary assets'!U123</f>
        <v/>
      </c>
      <c r="AB116" s="432" t="str">
        <f>'Buildings &amp; stationary assets'!V123</f>
        <v/>
      </c>
      <c r="AC116" s="432" t="str">
        <f>'Buildings &amp; stationary assets'!W123</f>
        <v/>
      </c>
      <c r="AE116" s="432">
        <f t="shared" si="2"/>
        <v>0</v>
      </c>
      <c r="AF116" s="432">
        <f t="shared" si="3"/>
        <v>0</v>
      </c>
    </row>
    <row r="117" spans="2:32" x14ac:dyDescent="0.35">
      <c r="B117" s="432" t="e">
        <f>"2024"&amp;MATCH(Totals!D117,OrgType,0)&amp;"_"&amp;MATCH(Totals!E117,Organisations,0)&amp;"_"&amp;LEFT(Totals!F117,1)&amp;"_"&amp;LEFT(G117,1)&amp;"_"&amp;COUNTIF($G$3:G117,G117)</f>
        <v>#N/A</v>
      </c>
      <c r="C117" s="432">
        <v>2024</v>
      </c>
      <c r="D117" s="432">
        <f>Introduction!$D$7</f>
        <v>0</v>
      </c>
      <c r="E117" s="432">
        <f>Introduction!$D$8</f>
        <v>0</v>
      </c>
      <c r="F117" s="432" t="s">
        <v>110</v>
      </c>
      <c r="G117" s="432" t="s">
        <v>143</v>
      </c>
      <c r="H117" s="432">
        <f>'Buildings &amp; stationary assets'!B124</f>
        <v>0</v>
      </c>
      <c r="I117" s="432">
        <f>'Buildings &amp; stationary assets'!C124</f>
        <v>0</v>
      </c>
      <c r="J117" s="432">
        <f>'Buildings &amp; stationary assets'!D124</f>
        <v>0</v>
      </c>
      <c r="K117" s="432">
        <f>'Buildings &amp; stationary assets'!E124</f>
        <v>0</v>
      </c>
      <c r="L117" s="432">
        <f>'Buildings &amp; stationary assets'!F124</f>
        <v>0</v>
      </c>
      <c r="M117" s="432" t="str">
        <f>'Buildings &amp; stationary assets'!G124</f>
        <v/>
      </c>
      <c r="N117" s="432">
        <f>'Buildings &amp; stationary assets'!H124</f>
        <v>0</v>
      </c>
      <c r="O117" s="432">
        <f>'Buildings &amp; stationary assets'!I124</f>
        <v>0</v>
      </c>
      <c r="P117" s="432" t="str">
        <f>'Buildings &amp; stationary assets'!J124</f>
        <v/>
      </c>
      <c r="Q117" s="432" t="str">
        <f>'Buildings &amp; stationary assets'!K124</f>
        <v/>
      </c>
      <c r="R117" s="432" t="str">
        <f>'Buildings &amp; stationary assets'!L124</f>
        <v/>
      </c>
      <c r="S117" s="432" t="str">
        <f>'Buildings &amp; stationary assets'!M124</f>
        <v/>
      </c>
      <c r="T117" s="432">
        <f>'Buildings &amp; stationary assets'!N124</f>
        <v>0</v>
      </c>
      <c r="U117" s="432">
        <f>'Buildings &amp; stationary assets'!O124</f>
        <v>0</v>
      </c>
      <c r="V117" s="432" t="str">
        <f>'Buildings &amp; stationary assets'!P124</f>
        <v/>
      </c>
      <c r="W117" s="432" t="str">
        <f>'Buildings &amp; stationary assets'!Q124</f>
        <v/>
      </c>
      <c r="X117" s="432" t="str">
        <f>'Buildings &amp; stationary assets'!R124</f>
        <v/>
      </c>
      <c r="Y117" s="432" t="str">
        <f>'Buildings &amp; stationary assets'!S124</f>
        <v/>
      </c>
      <c r="Z117" s="432" t="str">
        <f>'Buildings &amp; stationary assets'!T124</f>
        <v/>
      </c>
      <c r="AA117" s="432" t="str">
        <f>'Buildings &amp; stationary assets'!U124</f>
        <v/>
      </c>
      <c r="AB117" s="432" t="str">
        <f>'Buildings &amp; stationary assets'!V124</f>
        <v/>
      </c>
      <c r="AC117" s="432" t="str">
        <f>'Buildings &amp; stationary assets'!W124</f>
        <v/>
      </c>
      <c r="AE117" s="432">
        <f t="shared" si="2"/>
        <v>0</v>
      </c>
      <c r="AF117" s="432">
        <f t="shared" si="3"/>
        <v>0</v>
      </c>
    </row>
    <row r="118" spans="2:32" x14ac:dyDescent="0.35">
      <c r="B118" s="432" t="e">
        <f>"2024"&amp;MATCH(Totals!D118,OrgType,0)&amp;"_"&amp;MATCH(Totals!E118,Organisations,0)&amp;"_"&amp;LEFT(Totals!F118,1)&amp;"_"&amp;LEFT(G118,1)&amp;"_"&amp;COUNTIF($G$3:G118,G118)</f>
        <v>#N/A</v>
      </c>
      <c r="C118" s="432">
        <v>2024</v>
      </c>
      <c r="D118" s="432">
        <f>Introduction!$D$7</f>
        <v>0</v>
      </c>
      <c r="E118" s="432">
        <f>Introduction!$D$8</f>
        <v>0</v>
      </c>
      <c r="F118" s="432" t="s">
        <v>110</v>
      </c>
      <c r="G118" s="432" t="s">
        <v>143</v>
      </c>
      <c r="H118" s="432">
        <f>'Buildings &amp; stationary assets'!B125</f>
        <v>0</v>
      </c>
      <c r="I118" s="432">
        <f>'Buildings &amp; stationary assets'!C125</f>
        <v>0</v>
      </c>
      <c r="J118" s="432">
        <f>'Buildings &amp; stationary assets'!D125</f>
        <v>0</v>
      </c>
      <c r="K118" s="432">
        <f>'Buildings &amp; stationary assets'!E125</f>
        <v>0</v>
      </c>
      <c r="L118" s="432">
        <f>'Buildings &amp; stationary assets'!F125</f>
        <v>0</v>
      </c>
      <c r="M118" s="432" t="str">
        <f>'Buildings &amp; stationary assets'!G125</f>
        <v/>
      </c>
      <c r="N118" s="432">
        <f>'Buildings &amp; stationary assets'!H125</f>
        <v>0</v>
      </c>
      <c r="O118" s="432">
        <f>'Buildings &amp; stationary assets'!I125</f>
        <v>0</v>
      </c>
      <c r="P118" s="432" t="str">
        <f>'Buildings &amp; stationary assets'!J125</f>
        <v/>
      </c>
      <c r="Q118" s="432" t="str">
        <f>'Buildings &amp; stationary assets'!K125</f>
        <v/>
      </c>
      <c r="R118" s="432" t="str">
        <f>'Buildings &amp; stationary assets'!L125</f>
        <v/>
      </c>
      <c r="S118" s="432" t="str">
        <f>'Buildings &amp; stationary assets'!M125</f>
        <v/>
      </c>
      <c r="T118" s="432">
        <f>'Buildings &amp; stationary assets'!N125</f>
        <v>0</v>
      </c>
      <c r="U118" s="432">
        <f>'Buildings &amp; stationary assets'!O125</f>
        <v>0</v>
      </c>
      <c r="V118" s="432" t="str">
        <f>'Buildings &amp; stationary assets'!P125</f>
        <v/>
      </c>
      <c r="W118" s="432" t="str">
        <f>'Buildings &amp; stationary assets'!Q125</f>
        <v/>
      </c>
      <c r="X118" s="432" t="str">
        <f>'Buildings &amp; stationary assets'!R125</f>
        <v/>
      </c>
      <c r="Y118" s="432" t="str">
        <f>'Buildings &amp; stationary assets'!S125</f>
        <v/>
      </c>
      <c r="Z118" s="432" t="str">
        <f>'Buildings &amp; stationary assets'!T125</f>
        <v/>
      </c>
      <c r="AA118" s="432" t="str">
        <f>'Buildings &amp; stationary assets'!U125</f>
        <v/>
      </c>
      <c r="AB118" s="432" t="str">
        <f>'Buildings &amp; stationary assets'!V125</f>
        <v/>
      </c>
      <c r="AC118" s="432" t="str">
        <f>'Buildings &amp; stationary assets'!W125</f>
        <v/>
      </c>
      <c r="AE118" s="432">
        <f t="shared" si="2"/>
        <v>0</v>
      </c>
      <c r="AF118" s="432">
        <f t="shared" si="3"/>
        <v>0</v>
      </c>
    </row>
    <row r="119" spans="2:32" x14ac:dyDescent="0.35">
      <c r="B119" s="432" t="e">
        <f>"2024"&amp;MATCH(Totals!D119,OrgType,0)&amp;"_"&amp;MATCH(Totals!E119,Organisations,0)&amp;"_"&amp;LEFT(Totals!F119,1)&amp;"_"&amp;LEFT(G119,1)&amp;"_"&amp;COUNTIF($G$3:G119,G119)</f>
        <v>#N/A</v>
      </c>
      <c r="C119" s="432">
        <v>2024</v>
      </c>
      <c r="D119" s="432">
        <f>Introduction!$D$7</f>
        <v>0</v>
      </c>
      <c r="E119" s="432">
        <f>Introduction!$D$8</f>
        <v>0</v>
      </c>
      <c r="F119" s="432" t="s">
        <v>110</v>
      </c>
      <c r="G119" s="432" t="s">
        <v>143</v>
      </c>
      <c r="H119" s="432">
        <f>'Buildings &amp; stationary assets'!B126</f>
        <v>0</v>
      </c>
      <c r="I119" s="432">
        <f>'Buildings &amp; stationary assets'!C126</f>
        <v>0</v>
      </c>
      <c r="J119" s="432">
        <f>'Buildings &amp; stationary assets'!D126</f>
        <v>0</v>
      </c>
      <c r="K119" s="432">
        <f>'Buildings &amp; stationary assets'!E126</f>
        <v>0</v>
      </c>
      <c r="L119" s="432">
        <f>'Buildings &amp; stationary assets'!F126</f>
        <v>0</v>
      </c>
      <c r="M119" s="432" t="str">
        <f>'Buildings &amp; stationary assets'!G126</f>
        <v/>
      </c>
      <c r="N119" s="432">
        <f>'Buildings &amp; stationary assets'!H126</f>
        <v>0</v>
      </c>
      <c r="O119" s="432">
        <f>'Buildings &amp; stationary assets'!I126</f>
        <v>0</v>
      </c>
      <c r="P119" s="432" t="str">
        <f>'Buildings &amp; stationary assets'!J126</f>
        <v/>
      </c>
      <c r="Q119" s="432" t="str">
        <f>'Buildings &amp; stationary assets'!K126</f>
        <v/>
      </c>
      <c r="R119" s="432" t="str">
        <f>'Buildings &amp; stationary assets'!L126</f>
        <v/>
      </c>
      <c r="S119" s="432" t="str">
        <f>'Buildings &amp; stationary assets'!M126</f>
        <v/>
      </c>
      <c r="T119" s="432">
        <f>'Buildings &amp; stationary assets'!N126</f>
        <v>0</v>
      </c>
      <c r="U119" s="432">
        <f>'Buildings &amp; stationary assets'!O126</f>
        <v>0</v>
      </c>
      <c r="V119" s="432" t="str">
        <f>'Buildings &amp; stationary assets'!P126</f>
        <v/>
      </c>
      <c r="W119" s="432" t="str">
        <f>'Buildings &amp; stationary assets'!Q126</f>
        <v/>
      </c>
      <c r="X119" s="432" t="str">
        <f>'Buildings &amp; stationary assets'!R126</f>
        <v/>
      </c>
      <c r="Y119" s="432" t="str">
        <f>'Buildings &amp; stationary assets'!S126</f>
        <v/>
      </c>
      <c r="Z119" s="432" t="str">
        <f>'Buildings &amp; stationary assets'!T126</f>
        <v/>
      </c>
      <c r="AA119" s="432" t="str">
        <f>'Buildings &amp; stationary assets'!U126</f>
        <v/>
      </c>
      <c r="AB119" s="432" t="str">
        <f>'Buildings &amp; stationary assets'!V126</f>
        <v/>
      </c>
      <c r="AC119" s="432" t="str">
        <f>'Buildings &amp; stationary assets'!W126</f>
        <v/>
      </c>
      <c r="AE119" s="432">
        <f t="shared" si="2"/>
        <v>0</v>
      </c>
      <c r="AF119" s="432">
        <f t="shared" si="3"/>
        <v>0</v>
      </c>
    </row>
    <row r="120" spans="2:32" x14ac:dyDescent="0.35">
      <c r="B120" s="432" t="e">
        <f>"2024"&amp;MATCH(Totals!D120,OrgType,0)&amp;"_"&amp;MATCH(Totals!E120,Organisations,0)&amp;"_"&amp;LEFT(Totals!F120,1)&amp;"_"&amp;LEFT(G120,1)&amp;"_"&amp;COUNTIF($G$3:G120,G120)</f>
        <v>#N/A</v>
      </c>
      <c r="C120" s="432">
        <v>2024</v>
      </c>
      <c r="D120" s="432">
        <f>Introduction!$D$7</f>
        <v>0</v>
      </c>
      <c r="E120" s="432">
        <f>Introduction!$D$8</f>
        <v>0</v>
      </c>
      <c r="F120" s="432" t="s">
        <v>110</v>
      </c>
      <c r="G120" s="432" t="s">
        <v>1111</v>
      </c>
      <c r="H120" s="432">
        <f>'Buildings &amp; stationary assets'!B130</f>
        <v>0</v>
      </c>
      <c r="I120" s="432" t="str">
        <f>'Buildings &amp; stationary assets'!C130</f>
        <v>F gas</v>
      </c>
      <c r="J120" s="432">
        <f>'Buildings &amp; stationary assets'!D130</f>
        <v>0</v>
      </c>
      <c r="K120" s="432">
        <f>'Buildings &amp; stationary assets'!E130</f>
        <v>0</v>
      </c>
      <c r="L120" s="432">
        <f>'Buildings &amp; stationary assets'!F130</f>
        <v>0</v>
      </c>
      <c r="M120" s="432" t="str">
        <f>'Buildings &amp; stationary assets'!G130</f>
        <v/>
      </c>
      <c r="N120" s="432">
        <f>'Buildings &amp; stationary assets'!H130</f>
        <v>0</v>
      </c>
      <c r="O120" s="432">
        <f>'Buildings &amp; stationary assets'!I130</f>
        <v>0</v>
      </c>
      <c r="P120" s="432" t="str">
        <f>'Buildings &amp; stationary assets'!J130</f>
        <v/>
      </c>
      <c r="Q120" s="432" t="str">
        <f>'Buildings &amp; stationary assets'!K130</f>
        <v>kg</v>
      </c>
      <c r="R120" s="432" t="str">
        <f>'Buildings &amp; stationary assets'!L130</f>
        <v/>
      </c>
      <c r="S120" s="432" t="str">
        <f>'Buildings &amp; stationary assets'!M130</f>
        <v/>
      </c>
      <c r="T120" s="432">
        <f>'Buildings &amp; stationary assets'!N130</f>
        <v>0</v>
      </c>
      <c r="U120" s="432">
        <f>'Buildings &amp; stationary assets'!O130</f>
        <v>0</v>
      </c>
      <c r="V120" s="432" t="str">
        <f>'Buildings &amp; stationary assets'!P130</f>
        <v/>
      </c>
      <c r="W120" s="432" t="str">
        <f>'Buildings &amp; stationary assets'!Q130</f>
        <v/>
      </c>
      <c r="X120" s="432" t="str">
        <f>'Buildings &amp; stationary assets'!R130</f>
        <v/>
      </c>
      <c r="Y120" s="432" t="str">
        <f>'Buildings &amp; stationary assets'!S130</f>
        <v/>
      </c>
      <c r="Z120" s="432" t="str">
        <f>'Buildings &amp; stationary assets'!T130</f>
        <v/>
      </c>
      <c r="AA120" s="432" t="str">
        <f>'Buildings &amp; stationary assets'!U130</f>
        <v/>
      </c>
      <c r="AB120" s="432" t="str">
        <f>'Buildings &amp; stationary assets'!V130</f>
        <v/>
      </c>
      <c r="AC120" s="432" t="str">
        <f>'Buildings &amp; stationary assets'!W130</f>
        <v/>
      </c>
      <c r="AE120" s="432">
        <f t="shared" si="2"/>
        <v>0</v>
      </c>
      <c r="AF120" s="432">
        <f t="shared" si="3"/>
        <v>0</v>
      </c>
    </row>
    <row r="121" spans="2:32" x14ac:dyDescent="0.35">
      <c r="B121" s="432" t="e">
        <f>"2024"&amp;MATCH(Totals!D121,OrgType,0)&amp;"_"&amp;MATCH(Totals!E121,Organisations,0)&amp;"_"&amp;LEFT(Totals!F121,1)&amp;"_"&amp;LEFT(G121,1)&amp;"_"&amp;COUNTIF($G$3:G121,G121)</f>
        <v>#N/A</v>
      </c>
      <c r="C121" s="432">
        <v>2024</v>
      </c>
      <c r="D121" s="432">
        <f>Introduction!$D$7</f>
        <v>0</v>
      </c>
      <c r="E121" s="432">
        <f>Introduction!$D$8</f>
        <v>0</v>
      </c>
      <c r="F121" s="432" t="s">
        <v>110</v>
      </c>
      <c r="G121" s="432" t="s">
        <v>1111</v>
      </c>
      <c r="H121" s="432">
        <f>'Buildings &amp; stationary assets'!B131</f>
        <v>0</v>
      </c>
      <c r="I121" s="432" t="str">
        <f>'Buildings &amp; stationary assets'!C131</f>
        <v>F gas</v>
      </c>
      <c r="J121" s="432">
        <f>'Buildings &amp; stationary assets'!D131</f>
        <v>0</v>
      </c>
      <c r="K121" s="432">
        <f>'Buildings &amp; stationary assets'!E131</f>
        <v>0</v>
      </c>
      <c r="L121" s="432">
        <f>'Buildings &amp; stationary assets'!F131</f>
        <v>0</v>
      </c>
      <c r="M121" s="432" t="str">
        <f>'Buildings &amp; stationary assets'!G131</f>
        <v/>
      </c>
      <c r="N121" s="432">
        <f>'Buildings &amp; stationary assets'!H131</f>
        <v>0</v>
      </c>
      <c r="O121" s="432">
        <f>'Buildings &amp; stationary assets'!I131</f>
        <v>0</v>
      </c>
      <c r="P121" s="432" t="str">
        <f>'Buildings &amp; stationary assets'!J131</f>
        <v/>
      </c>
      <c r="Q121" s="432" t="str">
        <f>'Buildings &amp; stationary assets'!K131</f>
        <v>kg</v>
      </c>
      <c r="R121" s="432" t="str">
        <f>'Buildings &amp; stationary assets'!L131</f>
        <v/>
      </c>
      <c r="S121" s="432" t="str">
        <f>'Buildings &amp; stationary assets'!M131</f>
        <v/>
      </c>
      <c r="T121" s="432">
        <f>'Buildings &amp; stationary assets'!N131</f>
        <v>0</v>
      </c>
      <c r="U121" s="432">
        <f>'Buildings &amp; stationary assets'!O131</f>
        <v>0</v>
      </c>
      <c r="V121" s="432" t="str">
        <f>'Buildings &amp; stationary assets'!P131</f>
        <v/>
      </c>
      <c r="W121" s="432" t="str">
        <f>'Buildings &amp; stationary assets'!Q131</f>
        <v/>
      </c>
      <c r="X121" s="432" t="str">
        <f>'Buildings &amp; stationary assets'!R131</f>
        <v/>
      </c>
      <c r="Y121" s="432" t="str">
        <f>'Buildings &amp; stationary assets'!S131</f>
        <v/>
      </c>
      <c r="Z121" s="432" t="str">
        <f>'Buildings &amp; stationary assets'!T131</f>
        <v/>
      </c>
      <c r="AA121" s="432" t="str">
        <f>'Buildings &amp; stationary assets'!U131</f>
        <v/>
      </c>
      <c r="AB121" s="432" t="str">
        <f>'Buildings &amp; stationary assets'!V131</f>
        <v/>
      </c>
      <c r="AC121" s="432" t="str">
        <f>'Buildings &amp; stationary assets'!W131</f>
        <v/>
      </c>
      <c r="AE121" s="432">
        <f t="shared" si="2"/>
        <v>0</v>
      </c>
      <c r="AF121" s="432">
        <f t="shared" si="3"/>
        <v>0</v>
      </c>
    </row>
    <row r="122" spans="2:32" x14ac:dyDescent="0.35">
      <c r="B122" s="432" t="e">
        <f>"2024"&amp;MATCH(Totals!D122,OrgType,0)&amp;"_"&amp;MATCH(Totals!E122,Organisations,0)&amp;"_"&amp;LEFT(Totals!F122,1)&amp;"_"&amp;LEFT(G122,1)&amp;"_"&amp;COUNTIF($G$3:G122,G122)</f>
        <v>#N/A</v>
      </c>
      <c r="C122" s="432">
        <v>2024</v>
      </c>
      <c r="D122" s="432">
        <f>Introduction!$D$7</f>
        <v>0</v>
      </c>
      <c r="E122" s="432">
        <f>Introduction!$D$8</f>
        <v>0</v>
      </c>
      <c r="F122" s="432" t="s">
        <v>110</v>
      </c>
      <c r="G122" s="432" t="s">
        <v>1111</v>
      </c>
      <c r="H122" s="432">
        <f>'Buildings &amp; stationary assets'!B132</f>
        <v>0</v>
      </c>
      <c r="I122" s="432" t="str">
        <f>'Buildings &amp; stationary assets'!C132</f>
        <v>F gas</v>
      </c>
      <c r="J122" s="432">
        <f>'Buildings &amp; stationary assets'!D132</f>
        <v>0</v>
      </c>
      <c r="K122" s="432">
        <f>'Buildings &amp; stationary assets'!E132</f>
        <v>0</v>
      </c>
      <c r="L122" s="432">
        <f>'Buildings &amp; stationary assets'!F132</f>
        <v>0</v>
      </c>
      <c r="M122" s="432" t="str">
        <f>'Buildings &amp; stationary assets'!G132</f>
        <v/>
      </c>
      <c r="N122" s="432">
        <f>'Buildings &amp; stationary assets'!H132</f>
        <v>0</v>
      </c>
      <c r="O122" s="432">
        <f>'Buildings &amp; stationary assets'!I132</f>
        <v>0</v>
      </c>
      <c r="P122" s="432" t="str">
        <f>'Buildings &amp; stationary assets'!J132</f>
        <v/>
      </c>
      <c r="Q122" s="432" t="str">
        <f>'Buildings &amp; stationary assets'!K132</f>
        <v>kg</v>
      </c>
      <c r="R122" s="432" t="str">
        <f>'Buildings &amp; stationary assets'!L132</f>
        <v/>
      </c>
      <c r="S122" s="432" t="str">
        <f>'Buildings &amp; stationary assets'!M132</f>
        <v/>
      </c>
      <c r="T122" s="432">
        <f>'Buildings &amp; stationary assets'!N132</f>
        <v>0</v>
      </c>
      <c r="U122" s="432">
        <f>'Buildings &amp; stationary assets'!O132</f>
        <v>0</v>
      </c>
      <c r="V122" s="432" t="str">
        <f>'Buildings &amp; stationary assets'!P132</f>
        <v/>
      </c>
      <c r="W122" s="432" t="str">
        <f>'Buildings &amp; stationary assets'!Q132</f>
        <v/>
      </c>
      <c r="X122" s="432" t="str">
        <f>'Buildings &amp; stationary assets'!R132</f>
        <v/>
      </c>
      <c r="Y122" s="432" t="str">
        <f>'Buildings &amp; stationary assets'!S132</f>
        <v/>
      </c>
      <c r="Z122" s="432" t="str">
        <f>'Buildings &amp; stationary assets'!T132</f>
        <v/>
      </c>
      <c r="AA122" s="432" t="str">
        <f>'Buildings &amp; stationary assets'!U132</f>
        <v/>
      </c>
      <c r="AB122" s="432" t="str">
        <f>'Buildings &amp; stationary assets'!V132</f>
        <v/>
      </c>
      <c r="AC122" s="432" t="str">
        <f>'Buildings &amp; stationary assets'!W132</f>
        <v/>
      </c>
      <c r="AE122" s="432">
        <f t="shared" si="2"/>
        <v>0</v>
      </c>
      <c r="AF122" s="432">
        <f t="shared" si="3"/>
        <v>0</v>
      </c>
    </row>
    <row r="123" spans="2:32" x14ac:dyDescent="0.35">
      <c r="B123" s="432" t="e">
        <f>"2024"&amp;MATCH(Totals!D123,OrgType,0)&amp;"_"&amp;MATCH(Totals!E123,Organisations,0)&amp;"_"&amp;LEFT(Totals!F123,1)&amp;"_"&amp;LEFT(G123,1)&amp;"_"&amp;COUNTIF($G$3:G123,G123)</f>
        <v>#N/A</v>
      </c>
      <c r="C123" s="432">
        <v>2024</v>
      </c>
      <c r="D123" s="432">
        <f>Introduction!$D$7</f>
        <v>0</v>
      </c>
      <c r="E123" s="432">
        <f>Introduction!$D$8</f>
        <v>0</v>
      </c>
      <c r="F123" s="432" t="s">
        <v>110</v>
      </c>
      <c r="G123" s="432" t="s">
        <v>1111</v>
      </c>
      <c r="H123" s="432">
        <f>'Buildings &amp; stationary assets'!B133</f>
        <v>0</v>
      </c>
      <c r="I123" s="432" t="str">
        <f>'Buildings &amp; stationary assets'!C133</f>
        <v>F gas</v>
      </c>
      <c r="J123" s="432">
        <f>'Buildings &amp; stationary assets'!D133</f>
        <v>0</v>
      </c>
      <c r="K123" s="432">
        <f>'Buildings &amp; stationary assets'!E133</f>
        <v>0</v>
      </c>
      <c r="L123" s="432">
        <f>'Buildings &amp; stationary assets'!F133</f>
        <v>0</v>
      </c>
      <c r="M123" s="432" t="str">
        <f>'Buildings &amp; stationary assets'!G133</f>
        <v/>
      </c>
      <c r="N123" s="432">
        <f>'Buildings &amp; stationary assets'!H133</f>
        <v>0</v>
      </c>
      <c r="O123" s="432">
        <f>'Buildings &amp; stationary assets'!I133</f>
        <v>0</v>
      </c>
      <c r="P123" s="432" t="str">
        <f>'Buildings &amp; stationary assets'!J133</f>
        <v/>
      </c>
      <c r="Q123" s="432" t="str">
        <f>'Buildings &amp; stationary assets'!K133</f>
        <v>kg</v>
      </c>
      <c r="R123" s="432" t="str">
        <f>'Buildings &amp; stationary assets'!L133</f>
        <v/>
      </c>
      <c r="S123" s="432" t="str">
        <f>'Buildings &amp; stationary assets'!M133</f>
        <v/>
      </c>
      <c r="T123" s="432">
        <f>'Buildings &amp; stationary assets'!N133</f>
        <v>0</v>
      </c>
      <c r="U123" s="432">
        <f>'Buildings &amp; stationary assets'!O133</f>
        <v>0</v>
      </c>
      <c r="V123" s="432" t="str">
        <f>'Buildings &amp; stationary assets'!P133</f>
        <v/>
      </c>
      <c r="W123" s="432" t="str">
        <f>'Buildings &amp; stationary assets'!Q133</f>
        <v/>
      </c>
      <c r="X123" s="432" t="str">
        <f>'Buildings &amp; stationary assets'!R133</f>
        <v/>
      </c>
      <c r="Y123" s="432" t="str">
        <f>'Buildings &amp; stationary assets'!S133</f>
        <v/>
      </c>
      <c r="Z123" s="432" t="str">
        <f>'Buildings &amp; stationary assets'!T133</f>
        <v/>
      </c>
      <c r="AA123" s="432" t="str">
        <f>'Buildings &amp; stationary assets'!U133</f>
        <v/>
      </c>
      <c r="AB123" s="432" t="str">
        <f>'Buildings &amp; stationary assets'!V133</f>
        <v/>
      </c>
      <c r="AC123" s="432" t="str">
        <f>'Buildings &amp; stationary assets'!W133</f>
        <v/>
      </c>
      <c r="AE123" s="432">
        <f t="shared" si="2"/>
        <v>0</v>
      </c>
      <c r="AF123" s="432">
        <f t="shared" si="3"/>
        <v>0</v>
      </c>
    </row>
    <row r="124" spans="2:32" x14ac:dyDescent="0.35">
      <c r="B124" s="432" t="e">
        <f>"2024"&amp;MATCH(Totals!D124,OrgType,0)&amp;"_"&amp;MATCH(Totals!E124,Organisations,0)&amp;"_"&amp;LEFT(Totals!F124,1)&amp;"_"&amp;LEFT(G124,1)&amp;"_"&amp;COUNTIF($G$3:G124,G124)</f>
        <v>#N/A</v>
      </c>
      <c r="C124" s="432">
        <v>2024</v>
      </c>
      <c r="D124" s="432">
        <f>Introduction!$D$7</f>
        <v>0</v>
      </c>
      <c r="E124" s="432">
        <f>Introduction!$D$8</f>
        <v>0</v>
      </c>
      <c r="F124" s="432" t="s">
        <v>110</v>
      </c>
      <c r="G124" s="432" t="s">
        <v>1111</v>
      </c>
      <c r="H124" s="432">
        <f>'Buildings &amp; stationary assets'!B134</f>
        <v>0</v>
      </c>
      <c r="I124" s="432" t="str">
        <f>'Buildings &amp; stationary assets'!C134</f>
        <v>F gas</v>
      </c>
      <c r="J124" s="432">
        <f>'Buildings &amp; stationary assets'!D134</f>
        <v>0</v>
      </c>
      <c r="K124" s="432">
        <f>'Buildings &amp; stationary assets'!E134</f>
        <v>0</v>
      </c>
      <c r="L124" s="432">
        <f>'Buildings &amp; stationary assets'!F134</f>
        <v>0</v>
      </c>
      <c r="M124" s="432" t="str">
        <f>'Buildings &amp; stationary assets'!G134</f>
        <v/>
      </c>
      <c r="N124" s="432">
        <f>'Buildings &amp; stationary assets'!H134</f>
        <v>0</v>
      </c>
      <c r="O124" s="432">
        <f>'Buildings &amp; stationary assets'!I134</f>
        <v>0</v>
      </c>
      <c r="P124" s="432" t="str">
        <f>'Buildings &amp; stationary assets'!J134</f>
        <v/>
      </c>
      <c r="Q124" s="432" t="str">
        <f>'Buildings &amp; stationary assets'!K134</f>
        <v>kg</v>
      </c>
      <c r="R124" s="432" t="str">
        <f>'Buildings &amp; stationary assets'!L134</f>
        <v/>
      </c>
      <c r="S124" s="432" t="str">
        <f>'Buildings &amp; stationary assets'!M134</f>
        <v/>
      </c>
      <c r="T124" s="432">
        <f>'Buildings &amp; stationary assets'!N134</f>
        <v>0</v>
      </c>
      <c r="U124" s="432">
        <f>'Buildings &amp; stationary assets'!O134</f>
        <v>0</v>
      </c>
      <c r="V124" s="432" t="str">
        <f>'Buildings &amp; stationary assets'!P134</f>
        <v/>
      </c>
      <c r="W124" s="432" t="str">
        <f>'Buildings &amp; stationary assets'!Q134</f>
        <v/>
      </c>
      <c r="X124" s="432" t="str">
        <f>'Buildings &amp; stationary assets'!R134</f>
        <v/>
      </c>
      <c r="Y124" s="432" t="str">
        <f>'Buildings &amp; stationary assets'!S134</f>
        <v/>
      </c>
      <c r="Z124" s="432" t="str">
        <f>'Buildings &amp; stationary assets'!T134</f>
        <v/>
      </c>
      <c r="AA124" s="432" t="str">
        <f>'Buildings &amp; stationary assets'!U134</f>
        <v/>
      </c>
      <c r="AB124" s="432" t="str">
        <f>'Buildings &amp; stationary assets'!V134</f>
        <v/>
      </c>
      <c r="AC124" s="432" t="str">
        <f>'Buildings &amp; stationary assets'!W134</f>
        <v/>
      </c>
      <c r="AE124" s="432">
        <f t="shared" si="2"/>
        <v>0</v>
      </c>
      <c r="AF124" s="432">
        <f t="shared" si="3"/>
        <v>0</v>
      </c>
    </row>
    <row r="125" spans="2:32" x14ac:dyDescent="0.35">
      <c r="B125" s="432" t="e">
        <f>"2024"&amp;MATCH(Totals!D125,OrgType,0)&amp;"_"&amp;MATCH(Totals!E125,Organisations,0)&amp;"_"&amp;LEFT(Totals!F125,1)&amp;"_"&amp;LEFT(G125,1)&amp;"_"&amp;COUNTIF($G$3:G125,G125)</f>
        <v>#N/A</v>
      </c>
      <c r="C125" s="432">
        <v>2024</v>
      </c>
      <c r="D125" s="432">
        <f>Introduction!$D$7</f>
        <v>0</v>
      </c>
      <c r="E125" s="432">
        <f>Introduction!$D$8</f>
        <v>0</v>
      </c>
      <c r="F125" s="432" t="s">
        <v>110</v>
      </c>
      <c r="G125" s="432" t="s">
        <v>1111</v>
      </c>
      <c r="H125" s="432">
        <f>'Buildings &amp; stationary assets'!B135</f>
        <v>0</v>
      </c>
      <c r="I125" s="432" t="str">
        <f>'Buildings &amp; stationary assets'!C135</f>
        <v>F gas</v>
      </c>
      <c r="J125" s="432">
        <f>'Buildings &amp; stationary assets'!D135</f>
        <v>0</v>
      </c>
      <c r="K125" s="432">
        <f>'Buildings &amp; stationary assets'!E135</f>
        <v>0</v>
      </c>
      <c r="L125" s="432">
        <f>'Buildings &amp; stationary assets'!F135</f>
        <v>0</v>
      </c>
      <c r="M125" s="432" t="str">
        <f>'Buildings &amp; stationary assets'!G135</f>
        <v/>
      </c>
      <c r="N125" s="432">
        <f>'Buildings &amp; stationary assets'!H135</f>
        <v>0</v>
      </c>
      <c r="O125" s="432">
        <f>'Buildings &amp; stationary assets'!I135</f>
        <v>0</v>
      </c>
      <c r="P125" s="432" t="str">
        <f>'Buildings &amp; stationary assets'!J135</f>
        <v/>
      </c>
      <c r="Q125" s="432" t="str">
        <f>'Buildings &amp; stationary assets'!K135</f>
        <v>kg</v>
      </c>
      <c r="R125" s="432" t="str">
        <f>'Buildings &amp; stationary assets'!L135</f>
        <v/>
      </c>
      <c r="S125" s="432" t="str">
        <f>'Buildings &amp; stationary assets'!M135</f>
        <v/>
      </c>
      <c r="T125" s="432">
        <f>'Buildings &amp; stationary assets'!N135</f>
        <v>0</v>
      </c>
      <c r="U125" s="432">
        <f>'Buildings &amp; stationary assets'!O135</f>
        <v>0</v>
      </c>
      <c r="V125" s="432" t="str">
        <f>'Buildings &amp; stationary assets'!P135</f>
        <v/>
      </c>
      <c r="W125" s="432" t="str">
        <f>'Buildings &amp; stationary assets'!Q135</f>
        <v/>
      </c>
      <c r="X125" s="432" t="str">
        <f>'Buildings &amp; stationary assets'!R135</f>
        <v/>
      </c>
      <c r="Y125" s="432" t="str">
        <f>'Buildings &amp; stationary assets'!S135</f>
        <v/>
      </c>
      <c r="Z125" s="432" t="str">
        <f>'Buildings &amp; stationary assets'!T135</f>
        <v/>
      </c>
      <c r="AA125" s="432" t="str">
        <f>'Buildings &amp; stationary assets'!U135</f>
        <v/>
      </c>
      <c r="AB125" s="432" t="str">
        <f>'Buildings &amp; stationary assets'!V135</f>
        <v/>
      </c>
      <c r="AC125" s="432" t="str">
        <f>'Buildings &amp; stationary assets'!W135</f>
        <v/>
      </c>
      <c r="AE125" s="432">
        <f t="shared" si="2"/>
        <v>0</v>
      </c>
      <c r="AF125" s="432">
        <f t="shared" si="3"/>
        <v>0</v>
      </c>
    </row>
    <row r="126" spans="2:32" x14ac:dyDescent="0.35">
      <c r="B126" s="432" t="e">
        <f>"2024"&amp;MATCH(Totals!D126,OrgType,0)&amp;"_"&amp;MATCH(Totals!E126,Organisations,0)&amp;"_"&amp;LEFT(Totals!F126,1)&amp;"_"&amp;LEFT(G126,1)&amp;"_"&amp;COUNTIF($G$3:G126,G126)</f>
        <v>#N/A</v>
      </c>
      <c r="C126" s="432">
        <v>2024</v>
      </c>
      <c r="D126" s="432">
        <f>Introduction!$D$7</f>
        <v>0</v>
      </c>
      <c r="E126" s="432">
        <f>Introduction!$D$8</f>
        <v>0</v>
      </c>
      <c r="F126" s="432" t="s">
        <v>110</v>
      </c>
      <c r="G126" s="432" t="s">
        <v>1111</v>
      </c>
      <c r="H126" s="432">
        <f>'Buildings &amp; stationary assets'!B136</f>
        <v>0</v>
      </c>
      <c r="I126" s="432" t="str">
        <f>'Buildings &amp; stationary assets'!C136</f>
        <v>F gas</v>
      </c>
      <c r="J126" s="432">
        <f>'Buildings &amp; stationary assets'!D136</f>
        <v>0</v>
      </c>
      <c r="K126" s="432">
        <f>'Buildings &amp; stationary assets'!E136</f>
        <v>0</v>
      </c>
      <c r="L126" s="432">
        <f>'Buildings &amp; stationary assets'!F136</f>
        <v>0</v>
      </c>
      <c r="M126" s="432" t="str">
        <f>'Buildings &amp; stationary assets'!G136</f>
        <v/>
      </c>
      <c r="N126" s="432">
        <f>'Buildings &amp; stationary assets'!H136</f>
        <v>0</v>
      </c>
      <c r="O126" s="432">
        <f>'Buildings &amp; stationary assets'!I136</f>
        <v>0</v>
      </c>
      <c r="P126" s="432" t="str">
        <f>'Buildings &amp; stationary assets'!J136</f>
        <v/>
      </c>
      <c r="Q126" s="432" t="str">
        <f>'Buildings &amp; stationary assets'!K136</f>
        <v>kg</v>
      </c>
      <c r="R126" s="432" t="str">
        <f>'Buildings &amp; stationary assets'!L136</f>
        <v/>
      </c>
      <c r="S126" s="432" t="str">
        <f>'Buildings &amp; stationary assets'!M136</f>
        <v/>
      </c>
      <c r="T126" s="432">
        <f>'Buildings &amp; stationary assets'!N136</f>
        <v>0</v>
      </c>
      <c r="U126" s="432">
        <f>'Buildings &amp; stationary assets'!O136</f>
        <v>0</v>
      </c>
      <c r="V126" s="432" t="str">
        <f>'Buildings &amp; stationary assets'!P136</f>
        <v/>
      </c>
      <c r="W126" s="432" t="str">
        <f>'Buildings &amp; stationary assets'!Q136</f>
        <v/>
      </c>
      <c r="X126" s="432" t="str">
        <f>'Buildings &amp; stationary assets'!R136</f>
        <v/>
      </c>
      <c r="Y126" s="432" t="str">
        <f>'Buildings &amp; stationary assets'!S136</f>
        <v/>
      </c>
      <c r="Z126" s="432" t="str">
        <f>'Buildings &amp; stationary assets'!T136</f>
        <v/>
      </c>
      <c r="AA126" s="432" t="str">
        <f>'Buildings &amp; stationary assets'!U136</f>
        <v/>
      </c>
      <c r="AB126" s="432" t="str">
        <f>'Buildings &amp; stationary assets'!V136</f>
        <v/>
      </c>
      <c r="AC126" s="432" t="str">
        <f>'Buildings &amp; stationary assets'!W136</f>
        <v/>
      </c>
      <c r="AE126" s="432">
        <f t="shared" si="2"/>
        <v>0</v>
      </c>
      <c r="AF126" s="432">
        <f t="shared" si="3"/>
        <v>0</v>
      </c>
    </row>
    <row r="127" spans="2:32" x14ac:dyDescent="0.35">
      <c r="B127" s="432" t="e">
        <f>"2024"&amp;MATCH(Totals!D127,OrgType,0)&amp;"_"&amp;MATCH(Totals!E127,Organisations,0)&amp;"_"&amp;LEFT(Totals!F127,1)&amp;"_"&amp;LEFT(G127,1)&amp;"_"&amp;COUNTIF($G$3:G127,G127)</f>
        <v>#N/A</v>
      </c>
      <c r="C127" s="432">
        <v>2024</v>
      </c>
      <c r="D127" s="432">
        <f>Introduction!$D$7</f>
        <v>0</v>
      </c>
      <c r="E127" s="432">
        <f>Introduction!$D$8</f>
        <v>0</v>
      </c>
      <c r="F127" s="432" t="s">
        <v>110</v>
      </c>
      <c r="G127" s="432" t="s">
        <v>1111</v>
      </c>
      <c r="H127" s="432">
        <f>'Buildings &amp; stationary assets'!B137</f>
        <v>0</v>
      </c>
      <c r="I127" s="432" t="str">
        <f>'Buildings &amp; stationary assets'!C137</f>
        <v>F gas</v>
      </c>
      <c r="J127" s="432">
        <f>'Buildings &amp; stationary assets'!D137</f>
        <v>0</v>
      </c>
      <c r="K127" s="432">
        <f>'Buildings &amp; stationary assets'!E137</f>
        <v>0</v>
      </c>
      <c r="L127" s="432">
        <f>'Buildings &amp; stationary assets'!F137</f>
        <v>0</v>
      </c>
      <c r="M127" s="432" t="str">
        <f>'Buildings &amp; stationary assets'!G137</f>
        <v/>
      </c>
      <c r="N127" s="432">
        <f>'Buildings &amp; stationary assets'!H137</f>
        <v>0</v>
      </c>
      <c r="O127" s="432">
        <f>'Buildings &amp; stationary assets'!I137</f>
        <v>0</v>
      </c>
      <c r="P127" s="432" t="str">
        <f>'Buildings &amp; stationary assets'!J137</f>
        <v/>
      </c>
      <c r="Q127" s="432" t="str">
        <f>'Buildings &amp; stationary assets'!K137</f>
        <v>kg</v>
      </c>
      <c r="R127" s="432" t="str">
        <f>'Buildings &amp; stationary assets'!L137</f>
        <v/>
      </c>
      <c r="S127" s="432" t="str">
        <f>'Buildings &amp; stationary assets'!M137</f>
        <v/>
      </c>
      <c r="T127" s="432">
        <f>'Buildings &amp; stationary assets'!N137</f>
        <v>0</v>
      </c>
      <c r="U127" s="432">
        <f>'Buildings &amp; stationary assets'!O137</f>
        <v>0</v>
      </c>
      <c r="V127" s="432" t="str">
        <f>'Buildings &amp; stationary assets'!P137</f>
        <v/>
      </c>
      <c r="W127" s="432" t="str">
        <f>'Buildings &amp; stationary assets'!Q137</f>
        <v/>
      </c>
      <c r="X127" s="432" t="str">
        <f>'Buildings &amp; stationary assets'!R137</f>
        <v/>
      </c>
      <c r="Y127" s="432" t="str">
        <f>'Buildings &amp; stationary assets'!S137</f>
        <v/>
      </c>
      <c r="Z127" s="432" t="str">
        <f>'Buildings &amp; stationary assets'!T137</f>
        <v/>
      </c>
      <c r="AA127" s="432" t="str">
        <f>'Buildings &amp; stationary assets'!U137</f>
        <v/>
      </c>
      <c r="AB127" s="432" t="str">
        <f>'Buildings &amp; stationary assets'!V137</f>
        <v/>
      </c>
      <c r="AC127" s="432" t="str">
        <f>'Buildings &amp; stationary assets'!W137</f>
        <v/>
      </c>
      <c r="AE127" s="432">
        <f t="shared" si="2"/>
        <v>0</v>
      </c>
      <c r="AF127" s="432">
        <f t="shared" si="3"/>
        <v>0</v>
      </c>
    </row>
    <row r="128" spans="2:32" x14ac:dyDescent="0.35">
      <c r="B128" s="432" t="e">
        <f>"2024"&amp;MATCH(Totals!D128,OrgType,0)&amp;"_"&amp;MATCH(Totals!E128,Organisations,0)&amp;"_"&amp;LEFT(Totals!F128,1)&amp;"_"&amp;LEFT(G128,1)&amp;"_"&amp;COUNTIF($G$3:G128,G128)</f>
        <v>#N/A</v>
      </c>
      <c r="C128" s="432">
        <v>2024</v>
      </c>
      <c r="D128" s="432">
        <f>Introduction!$D$7</f>
        <v>0</v>
      </c>
      <c r="E128" s="432">
        <f>Introduction!$D$8</f>
        <v>0</v>
      </c>
      <c r="F128" s="432" t="s">
        <v>110</v>
      </c>
      <c r="G128" s="432" t="s">
        <v>1111</v>
      </c>
      <c r="H128" s="432">
        <f>'Buildings &amp; stationary assets'!B138</f>
        <v>0</v>
      </c>
      <c r="I128" s="432" t="str">
        <f>'Buildings &amp; stationary assets'!C138</f>
        <v>F gas</v>
      </c>
      <c r="J128" s="432">
        <f>'Buildings &amp; stationary assets'!D138</f>
        <v>0</v>
      </c>
      <c r="K128" s="432">
        <f>'Buildings &amp; stationary assets'!E138</f>
        <v>0</v>
      </c>
      <c r="L128" s="432">
        <f>'Buildings &amp; stationary assets'!F138</f>
        <v>0</v>
      </c>
      <c r="M128" s="432" t="str">
        <f>'Buildings &amp; stationary assets'!G138</f>
        <v/>
      </c>
      <c r="N128" s="432">
        <f>'Buildings &amp; stationary assets'!H138</f>
        <v>0</v>
      </c>
      <c r="O128" s="432">
        <f>'Buildings &amp; stationary assets'!I138</f>
        <v>0</v>
      </c>
      <c r="P128" s="432" t="str">
        <f>'Buildings &amp; stationary assets'!J138</f>
        <v/>
      </c>
      <c r="Q128" s="432" t="str">
        <f>'Buildings &amp; stationary assets'!K138</f>
        <v>kg</v>
      </c>
      <c r="R128" s="432" t="str">
        <f>'Buildings &amp; stationary assets'!L138</f>
        <v/>
      </c>
      <c r="S128" s="432" t="str">
        <f>'Buildings &amp; stationary assets'!M138</f>
        <v/>
      </c>
      <c r="T128" s="432">
        <f>'Buildings &amp; stationary assets'!N138</f>
        <v>0</v>
      </c>
      <c r="U128" s="432">
        <f>'Buildings &amp; stationary assets'!O138</f>
        <v>0</v>
      </c>
      <c r="V128" s="432" t="str">
        <f>'Buildings &amp; stationary assets'!P138</f>
        <v/>
      </c>
      <c r="W128" s="432" t="str">
        <f>'Buildings &amp; stationary assets'!Q138</f>
        <v/>
      </c>
      <c r="X128" s="432" t="str">
        <f>'Buildings &amp; stationary assets'!R138</f>
        <v/>
      </c>
      <c r="Y128" s="432" t="str">
        <f>'Buildings &amp; stationary assets'!S138</f>
        <v/>
      </c>
      <c r="Z128" s="432" t="str">
        <f>'Buildings &amp; stationary assets'!T138</f>
        <v/>
      </c>
      <c r="AA128" s="432" t="str">
        <f>'Buildings &amp; stationary assets'!U138</f>
        <v/>
      </c>
      <c r="AB128" s="432" t="str">
        <f>'Buildings &amp; stationary assets'!V138</f>
        <v/>
      </c>
      <c r="AC128" s="432" t="str">
        <f>'Buildings &amp; stationary assets'!W138</f>
        <v/>
      </c>
      <c r="AE128" s="432">
        <f t="shared" si="2"/>
        <v>0</v>
      </c>
      <c r="AF128" s="432">
        <f t="shared" si="3"/>
        <v>0</v>
      </c>
    </row>
    <row r="129" spans="2:32" x14ac:dyDescent="0.35">
      <c r="B129" s="432" t="e">
        <f>"2024"&amp;MATCH(Totals!D129,OrgType,0)&amp;"_"&amp;MATCH(Totals!E129,Organisations,0)&amp;"_"&amp;LEFT(Totals!F129,1)&amp;"_"&amp;LEFT(G129,1)&amp;"_"&amp;COUNTIF($G$3:G129,G129)</f>
        <v>#N/A</v>
      </c>
      <c r="C129" s="432">
        <v>2024</v>
      </c>
      <c r="D129" s="432">
        <f>Introduction!$D$7</f>
        <v>0</v>
      </c>
      <c r="E129" s="432">
        <f>Introduction!$D$8</f>
        <v>0</v>
      </c>
      <c r="F129" s="432" t="s">
        <v>110</v>
      </c>
      <c r="G129" s="432" t="s">
        <v>1111</v>
      </c>
      <c r="H129" s="432">
        <f>'Buildings &amp; stationary assets'!B139</f>
        <v>0</v>
      </c>
      <c r="I129" s="432" t="str">
        <f>'Buildings &amp; stationary assets'!C139</f>
        <v>F gas</v>
      </c>
      <c r="J129" s="432">
        <f>'Buildings &amp; stationary assets'!D139</f>
        <v>0</v>
      </c>
      <c r="K129" s="432">
        <f>'Buildings &amp; stationary assets'!E139</f>
        <v>0</v>
      </c>
      <c r="L129" s="432">
        <f>'Buildings &amp; stationary assets'!F139</f>
        <v>0</v>
      </c>
      <c r="M129" s="432" t="str">
        <f>'Buildings &amp; stationary assets'!G139</f>
        <v/>
      </c>
      <c r="N129" s="432">
        <f>'Buildings &amp; stationary assets'!H139</f>
        <v>0</v>
      </c>
      <c r="O129" s="432">
        <f>'Buildings &amp; stationary assets'!I139</f>
        <v>0</v>
      </c>
      <c r="P129" s="432" t="str">
        <f>'Buildings &amp; stationary assets'!J139</f>
        <v/>
      </c>
      <c r="Q129" s="432" t="str">
        <f>'Buildings &amp; stationary assets'!K139</f>
        <v>kg</v>
      </c>
      <c r="R129" s="432" t="str">
        <f>'Buildings &amp; stationary assets'!L139</f>
        <v/>
      </c>
      <c r="S129" s="432" t="str">
        <f>'Buildings &amp; stationary assets'!M139</f>
        <v/>
      </c>
      <c r="T129" s="432">
        <f>'Buildings &amp; stationary assets'!N139</f>
        <v>0</v>
      </c>
      <c r="U129" s="432">
        <f>'Buildings &amp; stationary assets'!O139</f>
        <v>0</v>
      </c>
      <c r="V129" s="432" t="str">
        <f>'Buildings &amp; stationary assets'!P139</f>
        <v/>
      </c>
      <c r="W129" s="432" t="str">
        <f>'Buildings &amp; stationary assets'!Q139</f>
        <v/>
      </c>
      <c r="X129" s="432" t="str">
        <f>'Buildings &amp; stationary assets'!R139</f>
        <v/>
      </c>
      <c r="Y129" s="432" t="str">
        <f>'Buildings &amp; stationary assets'!S139</f>
        <v/>
      </c>
      <c r="Z129" s="432" t="str">
        <f>'Buildings &amp; stationary assets'!T139</f>
        <v/>
      </c>
      <c r="AA129" s="432" t="str">
        <f>'Buildings &amp; stationary assets'!U139</f>
        <v/>
      </c>
      <c r="AB129" s="432" t="str">
        <f>'Buildings &amp; stationary assets'!V139</f>
        <v/>
      </c>
      <c r="AC129" s="432" t="str">
        <f>'Buildings &amp; stationary assets'!W139</f>
        <v/>
      </c>
      <c r="AE129" s="432">
        <f t="shared" si="2"/>
        <v>0</v>
      </c>
      <c r="AF129" s="432">
        <f t="shared" si="3"/>
        <v>0</v>
      </c>
    </row>
    <row r="130" spans="2:32" x14ac:dyDescent="0.35">
      <c r="B130" s="432" t="e">
        <f>"2024"&amp;MATCH(Totals!D130,OrgType,0)&amp;"_"&amp;MATCH(Totals!E130,Organisations,0)&amp;"_"&amp;LEFT(Totals!F130,1)&amp;"_"&amp;LEFT(G130,1)&amp;"_"&amp;COUNTIF($G$3:G130,G130)</f>
        <v>#N/A</v>
      </c>
      <c r="C130" s="432">
        <v>2024</v>
      </c>
      <c r="D130" s="432">
        <f>Introduction!$D$7</f>
        <v>0</v>
      </c>
      <c r="E130" s="432">
        <f>Introduction!$D$8</f>
        <v>0</v>
      </c>
      <c r="F130" s="432" t="s">
        <v>110</v>
      </c>
      <c r="G130" s="432" t="s">
        <v>1111</v>
      </c>
      <c r="H130" s="432">
        <f>'Buildings &amp; stationary assets'!B140</f>
        <v>0</v>
      </c>
      <c r="I130" s="432" t="str">
        <f>'Buildings &amp; stationary assets'!C140</f>
        <v>F gas</v>
      </c>
      <c r="J130" s="432">
        <f>'Buildings &amp; stationary assets'!D140</f>
        <v>0</v>
      </c>
      <c r="K130" s="432">
        <f>'Buildings &amp; stationary assets'!E140</f>
        <v>0</v>
      </c>
      <c r="L130" s="432">
        <f>'Buildings &amp; stationary assets'!F140</f>
        <v>0</v>
      </c>
      <c r="M130" s="432" t="str">
        <f>'Buildings &amp; stationary assets'!G140</f>
        <v/>
      </c>
      <c r="N130" s="432">
        <f>'Buildings &amp; stationary assets'!H140</f>
        <v>0</v>
      </c>
      <c r="O130" s="432">
        <f>'Buildings &amp; stationary assets'!I140</f>
        <v>0</v>
      </c>
      <c r="P130" s="432" t="str">
        <f>'Buildings &amp; stationary assets'!J140</f>
        <v/>
      </c>
      <c r="Q130" s="432" t="str">
        <f>'Buildings &amp; stationary assets'!K140</f>
        <v>kg</v>
      </c>
      <c r="R130" s="432" t="str">
        <f>'Buildings &amp; stationary assets'!L140</f>
        <v/>
      </c>
      <c r="S130" s="432" t="str">
        <f>'Buildings &amp; stationary assets'!M140</f>
        <v/>
      </c>
      <c r="T130" s="432">
        <f>'Buildings &amp; stationary assets'!N140</f>
        <v>0</v>
      </c>
      <c r="U130" s="432">
        <f>'Buildings &amp; stationary assets'!O140</f>
        <v>0</v>
      </c>
      <c r="V130" s="432" t="str">
        <f>'Buildings &amp; stationary assets'!P140</f>
        <v/>
      </c>
      <c r="W130" s="432" t="str">
        <f>'Buildings &amp; stationary assets'!Q140</f>
        <v/>
      </c>
      <c r="X130" s="432" t="str">
        <f>'Buildings &amp; stationary assets'!R140</f>
        <v/>
      </c>
      <c r="Y130" s="432" t="str">
        <f>'Buildings &amp; stationary assets'!S140</f>
        <v/>
      </c>
      <c r="Z130" s="432" t="str">
        <f>'Buildings &amp; stationary assets'!T140</f>
        <v/>
      </c>
      <c r="AA130" s="432" t="str">
        <f>'Buildings &amp; stationary assets'!U140</f>
        <v/>
      </c>
      <c r="AB130" s="432" t="str">
        <f>'Buildings &amp; stationary assets'!V140</f>
        <v/>
      </c>
      <c r="AC130" s="432" t="str">
        <f>'Buildings &amp; stationary assets'!W140</f>
        <v/>
      </c>
      <c r="AE130" s="432">
        <f t="shared" si="2"/>
        <v>0</v>
      </c>
      <c r="AF130" s="432">
        <f t="shared" si="3"/>
        <v>0</v>
      </c>
    </row>
    <row r="131" spans="2:32" x14ac:dyDescent="0.35">
      <c r="B131" s="432" t="e">
        <f>"2024"&amp;MATCH(Totals!D131,OrgType,0)&amp;"_"&amp;MATCH(Totals!E131,Organisations,0)&amp;"_"&amp;LEFT(Totals!F131,1)&amp;"_"&amp;LEFT(G131,1)&amp;"_"&amp;COUNTIF($G$3:G131,G131)</f>
        <v>#N/A</v>
      </c>
      <c r="C131" s="432">
        <v>2024</v>
      </c>
      <c r="D131" s="432">
        <f>Introduction!$D$7</f>
        <v>0</v>
      </c>
      <c r="E131" s="432">
        <f>Introduction!$D$8</f>
        <v>0</v>
      </c>
      <c r="F131" s="432" t="s">
        <v>110</v>
      </c>
      <c r="G131" s="432" t="s">
        <v>1111</v>
      </c>
      <c r="H131" s="432">
        <f>'Buildings &amp; stationary assets'!B141</f>
        <v>0</v>
      </c>
      <c r="I131" s="432" t="str">
        <f>'Buildings &amp; stationary assets'!C141</f>
        <v>F gas</v>
      </c>
      <c r="J131" s="432">
        <f>'Buildings &amp; stationary assets'!D141</f>
        <v>0</v>
      </c>
      <c r="K131" s="432">
        <f>'Buildings &amp; stationary assets'!E141</f>
        <v>0</v>
      </c>
      <c r="L131" s="432">
        <f>'Buildings &amp; stationary assets'!F141</f>
        <v>0</v>
      </c>
      <c r="M131" s="432" t="str">
        <f>'Buildings &amp; stationary assets'!G141</f>
        <v/>
      </c>
      <c r="N131" s="432">
        <f>'Buildings &amp; stationary assets'!H141</f>
        <v>0</v>
      </c>
      <c r="O131" s="432">
        <f>'Buildings &amp; stationary assets'!I141</f>
        <v>0</v>
      </c>
      <c r="P131" s="432" t="str">
        <f>'Buildings &amp; stationary assets'!J141</f>
        <v/>
      </c>
      <c r="Q131" s="432" t="str">
        <f>'Buildings &amp; stationary assets'!K141</f>
        <v>kg</v>
      </c>
      <c r="R131" s="432" t="str">
        <f>'Buildings &amp; stationary assets'!L141</f>
        <v/>
      </c>
      <c r="S131" s="432" t="str">
        <f>'Buildings &amp; stationary assets'!M141</f>
        <v/>
      </c>
      <c r="T131" s="432">
        <f>'Buildings &amp; stationary assets'!N141</f>
        <v>0</v>
      </c>
      <c r="U131" s="432">
        <f>'Buildings &amp; stationary assets'!O141</f>
        <v>0</v>
      </c>
      <c r="V131" s="432" t="str">
        <f>'Buildings &amp; stationary assets'!P141</f>
        <v/>
      </c>
      <c r="W131" s="432" t="str">
        <f>'Buildings &amp; stationary assets'!Q141</f>
        <v/>
      </c>
      <c r="X131" s="432" t="str">
        <f>'Buildings &amp; stationary assets'!R141</f>
        <v/>
      </c>
      <c r="Y131" s="432" t="str">
        <f>'Buildings &amp; stationary assets'!S141</f>
        <v/>
      </c>
      <c r="Z131" s="432" t="str">
        <f>'Buildings &amp; stationary assets'!T141</f>
        <v/>
      </c>
      <c r="AA131" s="432" t="str">
        <f>'Buildings &amp; stationary assets'!U141</f>
        <v/>
      </c>
      <c r="AB131" s="432" t="str">
        <f>'Buildings &amp; stationary assets'!V141</f>
        <v/>
      </c>
      <c r="AC131" s="432" t="str">
        <f>'Buildings &amp; stationary assets'!W141</f>
        <v/>
      </c>
      <c r="AE131" s="432">
        <f t="shared" si="2"/>
        <v>0</v>
      </c>
      <c r="AF131" s="432">
        <f t="shared" si="3"/>
        <v>0</v>
      </c>
    </row>
    <row r="132" spans="2:32" x14ac:dyDescent="0.35">
      <c r="B132" s="432" t="e">
        <f>"2024"&amp;MATCH(Totals!D132,OrgType,0)&amp;"_"&amp;MATCH(Totals!E132,Organisations,0)&amp;"_"&amp;LEFT(Totals!F132,1)&amp;"_"&amp;LEFT(G132,1)&amp;"_"&amp;COUNTIF($G$3:G132,G132)</f>
        <v>#N/A</v>
      </c>
      <c r="C132" s="432">
        <v>2024</v>
      </c>
      <c r="D132" s="432">
        <f>Introduction!$D$7</f>
        <v>0</v>
      </c>
      <c r="E132" s="432">
        <f>Introduction!$D$8</f>
        <v>0</v>
      </c>
      <c r="F132" s="432" t="s">
        <v>110</v>
      </c>
      <c r="G132" s="432" t="s">
        <v>1111</v>
      </c>
      <c r="H132" s="432">
        <f>'Buildings &amp; stationary assets'!B142</f>
        <v>0</v>
      </c>
      <c r="I132" s="432" t="str">
        <f>'Buildings &amp; stationary assets'!C142</f>
        <v>F gas</v>
      </c>
      <c r="J132" s="432">
        <f>'Buildings &amp; stationary assets'!D142</f>
        <v>0</v>
      </c>
      <c r="K132" s="432">
        <f>'Buildings &amp; stationary assets'!E142</f>
        <v>0</v>
      </c>
      <c r="L132" s="432">
        <f>'Buildings &amp; stationary assets'!F142</f>
        <v>0</v>
      </c>
      <c r="M132" s="432" t="str">
        <f>'Buildings &amp; stationary assets'!G142</f>
        <v/>
      </c>
      <c r="N132" s="432">
        <f>'Buildings &amp; stationary assets'!H142</f>
        <v>0</v>
      </c>
      <c r="O132" s="432">
        <f>'Buildings &amp; stationary assets'!I142</f>
        <v>0</v>
      </c>
      <c r="P132" s="432" t="str">
        <f>'Buildings &amp; stationary assets'!J142</f>
        <v/>
      </c>
      <c r="Q132" s="432" t="str">
        <f>'Buildings &amp; stationary assets'!K142</f>
        <v>kg</v>
      </c>
      <c r="R132" s="432" t="str">
        <f>'Buildings &amp; stationary assets'!L142</f>
        <v/>
      </c>
      <c r="S132" s="432" t="str">
        <f>'Buildings &amp; stationary assets'!M142</f>
        <v/>
      </c>
      <c r="T132" s="432">
        <f>'Buildings &amp; stationary assets'!N142</f>
        <v>0</v>
      </c>
      <c r="U132" s="432">
        <f>'Buildings &amp; stationary assets'!O142</f>
        <v>0</v>
      </c>
      <c r="V132" s="432" t="str">
        <f>'Buildings &amp; stationary assets'!P142</f>
        <v/>
      </c>
      <c r="W132" s="432" t="str">
        <f>'Buildings &amp; stationary assets'!Q142</f>
        <v/>
      </c>
      <c r="X132" s="432" t="str">
        <f>'Buildings &amp; stationary assets'!R142</f>
        <v/>
      </c>
      <c r="Y132" s="432" t="str">
        <f>'Buildings &amp; stationary assets'!S142</f>
        <v/>
      </c>
      <c r="Z132" s="432" t="str">
        <f>'Buildings &amp; stationary assets'!T142</f>
        <v/>
      </c>
      <c r="AA132" s="432" t="str">
        <f>'Buildings &amp; stationary assets'!U142</f>
        <v/>
      </c>
      <c r="AB132" s="432" t="str">
        <f>'Buildings &amp; stationary assets'!V142</f>
        <v/>
      </c>
      <c r="AC132" s="432" t="str">
        <f>'Buildings &amp; stationary assets'!W142</f>
        <v/>
      </c>
      <c r="AE132" s="432">
        <f t="shared" ref="AE132:AE213" si="4">IF(AND(R132="",N132&lt;&gt;0),1,0)</f>
        <v>0</v>
      </c>
      <c r="AF132" s="432">
        <f t="shared" ref="AF132:AF213" si="5">IF(AND(S132="",N132&lt;&gt;0),1,0)</f>
        <v>0</v>
      </c>
    </row>
    <row r="133" spans="2:32" x14ac:dyDescent="0.35">
      <c r="B133" s="432" t="e">
        <f>"2024"&amp;MATCH(Totals!D133,OrgType,0)&amp;"_"&amp;MATCH(Totals!E133,Organisations,0)&amp;"_"&amp;LEFT(Totals!F133,1)&amp;"_"&amp;LEFT(G133,1)&amp;"_"&amp;COUNTIF($G$3:G133,G133)</f>
        <v>#N/A</v>
      </c>
      <c r="C133" s="432">
        <v>2024</v>
      </c>
      <c r="D133" s="432">
        <f>Introduction!$D$7</f>
        <v>0</v>
      </c>
      <c r="E133" s="432">
        <f>Introduction!$D$8</f>
        <v>0</v>
      </c>
      <c r="F133" s="432" t="s">
        <v>110</v>
      </c>
      <c r="G133" s="432" t="s">
        <v>1111</v>
      </c>
      <c r="H133" s="432">
        <f>'Buildings &amp; stationary assets'!B143</f>
        <v>0</v>
      </c>
      <c r="I133" s="432" t="str">
        <f>'Buildings &amp; stationary assets'!C143</f>
        <v>F gas</v>
      </c>
      <c r="J133" s="432">
        <f>'Buildings &amp; stationary assets'!D143</f>
        <v>0</v>
      </c>
      <c r="K133" s="432">
        <f>'Buildings &amp; stationary assets'!E143</f>
        <v>0</v>
      </c>
      <c r="L133" s="432">
        <f>'Buildings &amp; stationary assets'!F143</f>
        <v>0</v>
      </c>
      <c r="M133" s="432" t="str">
        <f>'Buildings &amp; stationary assets'!G143</f>
        <v/>
      </c>
      <c r="N133" s="432">
        <f>'Buildings &amp; stationary assets'!H143</f>
        <v>0</v>
      </c>
      <c r="O133" s="432">
        <f>'Buildings &amp; stationary assets'!I143</f>
        <v>0</v>
      </c>
      <c r="P133" s="432" t="str">
        <f>'Buildings &amp; stationary assets'!J143</f>
        <v/>
      </c>
      <c r="Q133" s="432" t="str">
        <f>'Buildings &amp; stationary assets'!K143</f>
        <v>kg</v>
      </c>
      <c r="R133" s="432" t="str">
        <f>'Buildings &amp; stationary assets'!L143</f>
        <v/>
      </c>
      <c r="S133" s="432" t="str">
        <f>'Buildings &amp; stationary assets'!M143</f>
        <v/>
      </c>
      <c r="T133" s="432">
        <f>'Buildings &amp; stationary assets'!N143</f>
        <v>0</v>
      </c>
      <c r="U133" s="432">
        <f>'Buildings &amp; stationary assets'!O143</f>
        <v>0</v>
      </c>
      <c r="V133" s="432" t="str">
        <f>'Buildings &amp; stationary assets'!P143</f>
        <v/>
      </c>
      <c r="W133" s="432" t="str">
        <f>'Buildings &amp; stationary assets'!Q143</f>
        <v/>
      </c>
      <c r="X133" s="432" t="str">
        <f>'Buildings &amp; stationary assets'!R143</f>
        <v/>
      </c>
      <c r="Y133" s="432" t="str">
        <f>'Buildings &amp; stationary assets'!S143</f>
        <v/>
      </c>
      <c r="Z133" s="432" t="str">
        <f>'Buildings &amp; stationary assets'!T143</f>
        <v/>
      </c>
      <c r="AA133" s="432" t="str">
        <f>'Buildings &amp; stationary assets'!U143</f>
        <v/>
      </c>
      <c r="AB133" s="432" t="str">
        <f>'Buildings &amp; stationary assets'!V143</f>
        <v/>
      </c>
      <c r="AC133" s="432" t="str">
        <f>'Buildings &amp; stationary assets'!W143</f>
        <v/>
      </c>
      <c r="AE133" s="432">
        <f t="shared" si="4"/>
        <v>0</v>
      </c>
      <c r="AF133" s="432">
        <f t="shared" si="5"/>
        <v>0</v>
      </c>
    </row>
    <row r="134" spans="2:32" x14ac:dyDescent="0.35">
      <c r="B134" s="432" t="e">
        <f>"2024"&amp;MATCH(Totals!D134,OrgType,0)&amp;"_"&amp;MATCH(Totals!E134,Organisations,0)&amp;"_"&amp;LEFT(Totals!F134,1)&amp;"_"&amp;LEFT(G134,1)&amp;"_"&amp;COUNTIF($G$3:G134,G134)</f>
        <v>#N/A</v>
      </c>
      <c r="C134" s="432">
        <v>2024</v>
      </c>
      <c r="D134" s="432">
        <f>Introduction!$D$7</f>
        <v>0</v>
      </c>
      <c r="E134" s="432">
        <f>Introduction!$D$8</f>
        <v>0</v>
      </c>
      <c r="F134" s="432" t="s">
        <v>110</v>
      </c>
      <c r="G134" s="432" t="s">
        <v>1111</v>
      </c>
      <c r="H134" s="432">
        <f>'Buildings &amp; stationary assets'!B144</f>
        <v>0</v>
      </c>
      <c r="I134" s="432" t="str">
        <f>'Buildings &amp; stationary assets'!C144</f>
        <v>F gas</v>
      </c>
      <c r="J134" s="432">
        <f>'Buildings &amp; stationary assets'!D144</f>
        <v>0</v>
      </c>
      <c r="K134" s="432">
        <f>'Buildings &amp; stationary assets'!E144</f>
        <v>0</v>
      </c>
      <c r="L134" s="432">
        <f>'Buildings &amp; stationary assets'!F144</f>
        <v>0</v>
      </c>
      <c r="M134" s="432" t="str">
        <f>'Buildings &amp; stationary assets'!G144</f>
        <v/>
      </c>
      <c r="N134" s="432">
        <f>'Buildings &amp; stationary assets'!H144</f>
        <v>0</v>
      </c>
      <c r="O134" s="432">
        <f>'Buildings &amp; stationary assets'!I144</f>
        <v>0</v>
      </c>
      <c r="P134" s="432" t="str">
        <f>'Buildings &amp; stationary assets'!J144</f>
        <v/>
      </c>
      <c r="Q134" s="432" t="str">
        <f>'Buildings &amp; stationary assets'!K144</f>
        <v>kg</v>
      </c>
      <c r="R134" s="432" t="str">
        <f>'Buildings &amp; stationary assets'!L144</f>
        <v/>
      </c>
      <c r="S134" s="432" t="str">
        <f>'Buildings &amp; stationary assets'!M144</f>
        <v/>
      </c>
      <c r="T134" s="432">
        <f>'Buildings &amp; stationary assets'!N144</f>
        <v>0</v>
      </c>
      <c r="U134" s="432">
        <f>'Buildings &amp; stationary assets'!O144</f>
        <v>0</v>
      </c>
      <c r="V134" s="432" t="str">
        <f>'Buildings &amp; stationary assets'!P144</f>
        <v/>
      </c>
      <c r="W134" s="432" t="str">
        <f>'Buildings &amp; stationary assets'!Q144</f>
        <v/>
      </c>
      <c r="X134" s="432" t="str">
        <f>'Buildings &amp; stationary assets'!R144</f>
        <v/>
      </c>
      <c r="Y134" s="432" t="str">
        <f>'Buildings &amp; stationary assets'!S144</f>
        <v/>
      </c>
      <c r="Z134" s="432" t="str">
        <f>'Buildings &amp; stationary assets'!T144</f>
        <v/>
      </c>
      <c r="AA134" s="432" t="str">
        <f>'Buildings &amp; stationary assets'!U144</f>
        <v/>
      </c>
      <c r="AB134" s="432" t="str">
        <f>'Buildings &amp; stationary assets'!V144</f>
        <v/>
      </c>
      <c r="AC134" s="432" t="str">
        <f>'Buildings &amp; stationary assets'!W144</f>
        <v/>
      </c>
      <c r="AE134" s="432">
        <f t="shared" si="4"/>
        <v>0</v>
      </c>
      <c r="AF134" s="432">
        <f t="shared" si="5"/>
        <v>0</v>
      </c>
    </row>
    <row r="135" spans="2:32" x14ac:dyDescent="0.35">
      <c r="B135" s="432" t="e">
        <f>"2024"&amp;MATCH(Totals!D135,OrgType,0)&amp;"_"&amp;MATCH(Totals!E135,Organisations,0)&amp;"_"&amp;LEFT(Totals!F135,1)&amp;"_"&amp;LEFT(G135,1)&amp;"_"&amp;COUNTIF($G$3:G135,G135)</f>
        <v>#N/A</v>
      </c>
      <c r="C135" s="432">
        <v>2024</v>
      </c>
      <c r="D135" s="432">
        <f>Introduction!$D$7</f>
        <v>0</v>
      </c>
      <c r="E135" s="432">
        <f>Introduction!$D$8</f>
        <v>0</v>
      </c>
      <c r="F135" s="432" t="s">
        <v>110</v>
      </c>
      <c r="G135" s="432" t="s">
        <v>1111</v>
      </c>
      <c r="H135" s="432">
        <f>'Buildings &amp; stationary assets'!B145</f>
        <v>0</v>
      </c>
      <c r="I135" s="432" t="str">
        <f>'Buildings &amp; stationary assets'!C145</f>
        <v>F gas</v>
      </c>
      <c r="J135" s="432">
        <f>'Buildings &amp; stationary assets'!D145</f>
        <v>0</v>
      </c>
      <c r="K135" s="432">
        <f>'Buildings &amp; stationary assets'!E145</f>
        <v>0</v>
      </c>
      <c r="L135" s="432">
        <f>'Buildings &amp; stationary assets'!F145</f>
        <v>0</v>
      </c>
      <c r="M135" s="432" t="str">
        <f>'Buildings &amp; stationary assets'!G145</f>
        <v/>
      </c>
      <c r="N135" s="432">
        <f>'Buildings &amp; stationary assets'!H145</f>
        <v>0</v>
      </c>
      <c r="O135" s="432">
        <f>'Buildings &amp; stationary assets'!I145</f>
        <v>0</v>
      </c>
      <c r="P135" s="432" t="str">
        <f>'Buildings &amp; stationary assets'!J145</f>
        <v/>
      </c>
      <c r="Q135" s="432" t="str">
        <f>'Buildings &amp; stationary assets'!K145</f>
        <v>kg</v>
      </c>
      <c r="R135" s="432" t="str">
        <f>'Buildings &amp; stationary assets'!L145</f>
        <v/>
      </c>
      <c r="S135" s="432" t="str">
        <f>'Buildings &amp; stationary assets'!M145</f>
        <v/>
      </c>
      <c r="T135" s="432">
        <f>'Buildings &amp; stationary assets'!N145</f>
        <v>0</v>
      </c>
      <c r="U135" s="432">
        <f>'Buildings &amp; stationary assets'!O145</f>
        <v>0</v>
      </c>
      <c r="V135" s="432" t="str">
        <f>'Buildings &amp; stationary assets'!P145</f>
        <v/>
      </c>
      <c r="W135" s="432" t="str">
        <f>'Buildings &amp; stationary assets'!Q145</f>
        <v/>
      </c>
      <c r="X135" s="432" t="str">
        <f>'Buildings &amp; stationary assets'!R145</f>
        <v/>
      </c>
      <c r="Y135" s="432" t="str">
        <f>'Buildings &amp; stationary assets'!S145</f>
        <v/>
      </c>
      <c r="Z135" s="432" t="str">
        <f>'Buildings &amp; stationary assets'!T145</f>
        <v/>
      </c>
      <c r="AA135" s="432" t="str">
        <f>'Buildings &amp; stationary assets'!U145</f>
        <v/>
      </c>
      <c r="AB135" s="432" t="str">
        <f>'Buildings &amp; stationary assets'!V145</f>
        <v/>
      </c>
      <c r="AC135" s="432" t="str">
        <f>'Buildings &amp; stationary assets'!W145</f>
        <v/>
      </c>
      <c r="AE135" s="432">
        <f t="shared" si="4"/>
        <v>0</v>
      </c>
      <c r="AF135" s="432">
        <f t="shared" si="5"/>
        <v>0</v>
      </c>
    </row>
    <row r="136" spans="2:32" x14ac:dyDescent="0.35">
      <c r="B136" s="432" t="e">
        <f>"2024"&amp;MATCH(Totals!D136,OrgType,0)&amp;"_"&amp;MATCH(Totals!E136,Organisations,0)&amp;"_"&amp;LEFT(Totals!F136,1)&amp;"_"&amp;LEFT(G136,1)&amp;"_"&amp;COUNTIF($G$3:G136,G136)</f>
        <v>#N/A</v>
      </c>
      <c r="C136" s="432">
        <v>2024</v>
      </c>
      <c r="D136" s="432">
        <f>Introduction!$D$7</f>
        <v>0</v>
      </c>
      <c r="E136" s="432">
        <f>Introduction!$D$8</f>
        <v>0</v>
      </c>
      <c r="F136" s="432" t="s">
        <v>110</v>
      </c>
      <c r="G136" s="432" t="s">
        <v>1111</v>
      </c>
      <c r="H136" s="432">
        <f>'Buildings &amp; stationary assets'!B146</f>
        <v>0</v>
      </c>
      <c r="I136" s="432" t="str">
        <f>'Buildings &amp; stationary assets'!C146</f>
        <v>F gas</v>
      </c>
      <c r="J136" s="432">
        <f>'Buildings &amp; stationary assets'!D146</f>
        <v>0</v>
      </c>
      <c r="K136" s="432">
        <f>'Buildings &amp; stationary assets'!E146</f>
        <v>0</v>
      </c>
      <c r="L136" s="432">
        <f>'Buildings &amp; stationary assets'!F146</f>
        <v>0</v>
      </c>
      <c r="M136" s="432" t="str">
        <f>'Buildings &amp; stationary assets'!G146</f>
        <v/>
      </c>
      <c r="N136" s="432">
        <f>'Buildings &amp; stationary assets'!H146</f>
        <v>0</v>
      </c>
      <c r="O136" s="432">
        <f>'Buildings &amp; stationary assets'!I146</f>
        <v>0</v>
      </c>
      <c r="P136" s="432" t="str">
        <f>'Buildings &amp; stationary assets'!J146</f>
        <v/>
      </c>
      <c r="Q136" s="432" t="str">
        <f>'Buildings &amp; stationary assets'!K146</f>
        <v>kg</v>
      </c>
      <c r="R136" s="432" t="str">
        <f>'Buildings &amp; stationary assets'!L146</f>
        <v/>
      </c>
      <c r="S136" s="432" t="str">
        <f>'Buildings &amp; stationary assets'!M146</f>
        <v/>
      </c>
      <c r="T136" s="432">
        <f>'Buildings &amp; stationary assets'!N146</f>
        <v>0</v>
      </c>
      <c r="U136" s="432">
        <f>'Buildings &amp; stationary assets'!O146</f>
        <v>0</v>
      </c>
      <c r="V136" s="432" t="str">
        <f>'Buildings &amp; stationary assets'!P146</f>
        <v/>
      </c>
      <c r="W136" s="432" t="str">
        <f>'Buildings &amp; stationary assets'!Q146</f>
        <v/>
      </c>
      <c r="X136" s="432" t="str">
        <f>'Buildings &amp; stationary assets'!R146</f>
        <v/>
      </c>
      <c r="Y136" s="432" t="str">
        <f>'Buildings &amp; stationary assets'!S146</f>
        <v/>
      </c>
      <c r="Z136" s="432" t="str">
        <f>'Buildings &amp; stationary assets'!T146</f>
        <v/>
      </c>
      <c r="AA136" s="432" t="str">
        <f>'Buildings &amp; stationary assets'!U146</f>
        <v/>
      </c>
      <c r="AB136" s="432" t="str">
        <f>'Buildings &amp; stationary assets'!V146</f>
        <v/>
      </c>
      <c r="AC136" s="432" t="str">
        <f>'Buildings &amp; stationary assets'!W146</f>
        <v/>
      </c>
      <c r="AE136" s="432">
        <f t="shared" si="4"/>
        <v>0</v>
      </c>
      <c r="AF136" s="432">
        <f t="shared" si="5"/>
        <v>0</v>
      </c>
    </row>
    <row r="137" spans="2:32" x14ac:dyDescent="0.35">
      <c r="B137" s="432" t="e">
        <f>"2024"&amp;MATCH(Totals!D137,OrgType,0)&amp;"_"&amp;MATCH(Totals!E137,Organisations,0)&amp;"_"&amp;LEFT(Totals!F137,1)&amp;"_"&amp;LEFT(G137,1)&amp;"_"&amp;COUNTIF($G$3:G137,G137)</f>
        <v>#N/A</v>
      </c>
      <c r="C137" s="432">
        <v>2024</v>
      </c>
      <c r="D137" s="432">
        <f>Introduction!$D$7</f>
        <v>0</v>
      </c>
      <c r="E137" s="432">
        <f>Introduction!$D$8</f>
        <v>0</v>
      </c>
      <c r="F137" s="432" t="s">
        <v>1108</v>
      </c>
      <c r="G137" s="432" t="s">
        <v>1109</v>
      </c>
      <c r="H137" s="433"/>
      <c r="I137" s="432">
        <f>Fleet!B8</f>
        <v>0</v>
      </c>
      <c r="J137" s="432">
        <f>Fleet!C8</f>
        <v>0</v>
      </c>
      <c r="K137" s="432">
        <f>Fleet!D8</f>
        <v>0</v>
      </c>
      <c r="L137" s="432">
        <f>Fleet!E8</f>
        <v>0</v>
      </c>
      <c r="M137" s="432" t="str">
        <f>Fleet!F8</f>
        <v/>
      </c>
      <c r="N137" s="432">
        <f>Fleet!G8</f>
        <v>0</v>
      </c>
      <c r="O137" s="432">
        <f>Fleet!H8</f>
        <v>0</v>
      </c>
      <c r="P137" s="432" t="str">
        <f>Fleet!I8</f>
        <v/>
      </c>
      <c r="Q137" s="432" t="str">
        <f>Fleet!J8</f>
        <v/>
      </c>
      <c r="R137" s="432" t="str">
        <f>Fleet!K8</f>
        <v/>
      </c>
      <c r="S137" s="432" t="str">
        <f>Fleet!L8</f>
        <v/>
      </c>
      <c r="T137" s="432">
        <f>Fleet!M8</f>
        <v>0</v>
      </c>
      <c r="U137" s="432">
        <f>Fleet!N8</f>
        <v>0</v>
      </c>
      <c r="V137" s="432" t="str">
        <f>Fleet!O8</f>
        <v/>
      </c>
      <c r="W137" s="432" t="str">
        <f>Fleet!P8</f>
        <v/>
      </c>
      <c r="X137" s="432" t="str">
        <f>Fleet!Q8</f>
        <v/>
      </c>
      <c r="Y137" s="432" t="str">
        <f>Fleet!R8</f>
        <v/>
      </c>
      <c r="Z137" s="432" t="str">
        <f>Fleet!S8</f>
        <v/>
      </c>
      <c r="AA137" s="432" t="str">
        <f>Fleet!T8</f>
        <v/>
      </c>
      <c r="AB137" s="432" t="str">
        <f>Fleet!U8</f>
        <v/>
      </c>
      <c r="AC137" s="432" t="str">
        <f>Fleet!V8</f>
        <v/>
      </c>
      <c r="AE137" s="432">
        <f t="shared" si="4"/>
        <v>0</v>
      </c>
      <c r="AF137" s="432">
        <f t="shared" si="5"/>
        <v>0</v>
      </c>
    </row>
    <row r="138" spans="2:32" x14ac:dyDescent="0.35">
      <c r="B138" s="432" t="e">
        <f>"2024"&amp;MATCH(Totals!D138,OrgType,0)&amp;"_"&amp;MATCH(Totals!E138,Organisations,0)&amp;"_"&amp;LEFT(Totals!F138,1)&amp;"_"&amp;LEFT(G138,1)&amp;"_"&amp;COUNTIF($G$3:G138,G138)</f>
        <v>#N/A</v>
      </c>
      <c r="C138" s="432">
        <v>2024</v>
      </c>
      <c r="D138" s="432">
        <f>Introduction!$D$7</f>
        <v>0</v>
      </c>
      <c r="E138" s="432">
        <f>Introduction!$D$8</f>
        <v>0</v>
      </c>
      <c r="F138" s="432" t="s">
        <v>1108</v>
      </c>
      <c r="G138" s="432" t="s">
        <v>1109</v>
      </c>
      <c r="H138" s="433"/>
      <c r="I138" s="432">
        <f>Fleet!B9</f>
        <v>0</v>
      </c>
      <c r="J138" s="432">
        <f>Fleet!C9</f>
        <v>0</v>
      </c>
      <c r="K138" s="432">
        <f>Fleet!D9</f>
        <v>0</v>
      </c>
      <c r="L138" s="432">
        <f>Fleet!E9</f>
        <v>0</v>
      </c>
      <c r="M138" s="432" t="str">
        <f>Fleet!F9</f>
        <v/>
      </c>
      <c r="N138" s="432">
        <f>Fleet!G9</f>
        <v>0</v>
      </c>
      <c r="O138" s="432">
        <f>Fleet!H9</f>
        <v>0</v>
      </c>
      <c r="P138" s="432" t="str">
        <f>Fleet!I9</f>
        <v/>
      </c>
      <c r="Q138" s="432" t="str">
        <f>Fleet!J9</f>
        <v/>
      </c>
      <c r="R138" s="432" t="str">
        <f>Fleet!K9</f>
        <v/>
      </c>
      <c r="S138" s="432" t="str">
        <f>Fleet!L9</f>
        <v/>
      </c>
      <c r="T138" s="432">
        <f>Fleet!M9</f>
        <v>0</v>
      </c>
      <c r="U138" s="432">
        <f>Fleet!N9</f>
        <v>0</v>
      </c>
      <c r="V138" s="432" t="str">
        <f>Fleet!O9</f>
        <v/>
      </c>
      <c r="W138" s="432" t="str">
        <f>Fleet!P9</f>
        <v/>
      </c>
      <c r="X138" s="432" t="str">
        <f>Fleet!Q9</f>
        <v/>
      </c>
      <c r="Y138" s="432" t="str">
        <f>Fleet!R9</f>
        <v/>
      </c>
      <c r="Z138" s="432" t="str">
        <f>Fleet!S9</f>
        <v/>
      </c>
      <c r="AA138" s="432" t="str">
        <f>Fleet!T9</f>
        <v/>
      </c>
      <c r="AB138" s="432" t="str">
        <f>Fleet!U9</f>
        <v/>
      </c>
      <c r="AC138" s="432" t="str">
        <f>Fleet!V9</f>
        <v/>
      </c>
      <c r="AE138" s="432">
        <f t="shared" ref="AE138:AE147" si="6">IF(AND(R138="",N138&lt;&gt;0),1,0)</f>
        <v>0</v>
      </c>
      <c r="AF138" s="432">
        <f t="shared" ref="AF138:AF147" si="7">IF(AND(S138="",N138&lt;&gt;0),1,0)</f>
        <v>0</v>
      </c>
    </row>
    <row r="139" spans="2:32" x14ac:dyDescent="0.35">
      <c r="B139" s="432" t="e">
        <f>"2024"&amp;MATCH(Totals!D139,OrgType,0)&amp;"_"&amp;MATCH(Totals!E139,Organisations,0)&amp;"_"&amp;LEFT(Totals!F139,1)&amp;"_"&amp;LEFT(G139,1)&amp;"_"&amp;COUNTIF($G$3:G139,G139)</f>
        <v>#N/A</v>
      </c>
      <c r="C139" s="432">
        <v>2024</v>
      </c>
      <c r="D139" s="432">
        <f>Introduction!$D$7</f>
        <v>0</v>
      </c>
      <c r="E139" s="432">
        <f>Introduction!$D$8</f>
        <v>0</v>
      </c>
      <c r="F139" s="432" t="s">
        <v>1108</v>
      </c>
      <c r="G139" s="432" t="s">
        <v>1109</v>
      </c>
      <c r="H139" s="433"/>
      <c r="I139" s="432">
        <f>Fleet!B10</f>
        <v>0</v>
      </c>
      <c r="J139" s="432">
        <f>Fleet!C10</f>
        <v>0</v>
      </c>
      <c r="K139" s="432">
        <f>Fleet!D10</f>
        <v>0</v>
      </c>
      <c r="L139" s="432">
        <f>Fleet!E10</f>
        <v>0</v>
      </c>
      <c r="M139" s="432" t="str">
        <f>Fleet!F10</f>
        <v/>
      </c>
      <c r="N139" s="432">
        <f>Fleet!G10</f>
        <v>0</v>
      </c>
      <c r="O139" s="432">
        <f>Fleet!H10</f>
        <v>0</v>
      </c>
      <c r="P139" s="432" t="str">
        <f>Fleet!I10</f>
        <v/>
      </c>
      <c r="Q139" s="432" t="str">
        <f>Fleet!J10</f>
        <v/>
      </c>
      <c r="R139" s="432" t="str">
        <f>Fleet!K10</f>
        <v/>
      </c>
      <c r="S139" s="432" t="str">
        <f>Fleet!L10</f>
        <v/>
      </c>
      <c r="T139" s="432">
        <f>Fleet!M10</f>
        <v>0</v>
      </c>
      <c r="U139" s="432">
        <f>Fleet!N10</f>
        <v>0</v>
      </c>
      <c r="V139" s="432" t="str">
        <f>Fleet!O10</f>
        <v/>
      </c>
      <c r="W139" s="432" t="str">
        <f>Fleet!P10</f>
        <v/>
      </c>
      <c r="X139" s="432" t="str">
        <f>Fleet!Q10</f>
        <v/>
      </c>
      <c r="Y139" s="432" t="str">
        <f>Fleet!R10</f>
        <v/>
      </c>
      <c r="Z139" s="432" t="str">
        <f>Fleet!S10</f>
        <v/>
      </c>
      <c r="AA139" s="432" t="str">
        <f>Fleet!T10</f>
        <v/>
      </c>
      <c r="AB139" s="432" t="str">
        <f>Fleet!U10</f>
        <v/>
      </c>
      <c r="AC139" s="432" t="str">
        <f>Fleet!V10</f>
        <v/>
      </c>
      <c r="AE139" s="432">
        <f t="shared" si="6"/>
        <v>0</v>
      </c>
      <c r="AF139" s="432">
        <f t="shared" si="7"/>
        <v>0</v>
      </c>
    </row>
    <row r="140" spans="2:32" x14ac:dyDescent="0.35">
      <c r="B140" s="432" t="e">
        <f>"2024"&amp;MATCH(Totals!D140,OrgType,0)&amp;"_"&amp;MATCH(Totals!E140,Organisations,0)&amp;"_"&amp;LEFT(Totals!F140,1)&amp;"_"&amp;LEFT(G140,1)&amp;"_"&amp;COUNTIF($G$3:G140,G140)</f>
        <v>#N/A</v>
      </c>
      <c r="C140" s="432">
        <v>2024</v>
      </c>
      <c r="D140" s="432">
        <f>Introduction!$D$7</f>
        <v>0</v>
      </c>
      <c r="E140" s="432">
        <f>Introduction!$D$8</f>
        <v>0</v>
      </c>
      <c r="F140" s="432" t="s">
        <v>1108</v>
      </c>
      <c r="G140" s="432" t="s">
        <v>1109</v>
      </c>
      <c r="H140" s="433"/>
      <c r="I140" s="432">
        <f>Fleet!B11</f>
        <v>0</v>
      </c>
      <c r="J140" s="432">
        <f>Fleet!C11</f>
        <v>0</v>
      </c>
      <c r="K140" s="432">
        <f>Fleet!D11</f>
        <v>0</v>
      </c>
      <c r="L140" s="432">
        <f>Fleet!E11</f>
        <v>0</v>
      </c>
      <c r="M140" s="432" t="str">
        <f>Fleet!F11</f>
        <v/>
      </c>
      <c r="N140" s="432">
        <f>Fleet!G11</f>
        <v>0</v>
      </c>
      <c r="O140" s="432">
        <f>Fleet!H11</f>
        <v>0</v>
      </c>
      <c r="P140" s="432" t="str">
        <f>Fleet!I11</f>
        <v/>
      </c>
      <c r="Q140" s="432" t="str">
        <f>Fleet!J11</f>
        <v/>
      </c>
      <c r="R140" s="432" t="str">
        <f>Fleet!K11</f>
        <v/>
      </c>
      <c r="S140" s="432" t="str">
        <f>Fleet!L11</f>
        <v/>
      </c>
      <c r="T140" s="432">
        <f>Fleet!M11</f>
        <v>0</v>
      </c>
      <c r="U140" s="432">
        <f>Fleet!N11</f>
        <v>0</v>
      </c>
      <c r="V140" s="432" t="str">
        <f>Fleet!O11</f>
        <v/>
      </c>
      <c r="W140" s="432" t="str">
        <f>Fleet!P11</f>
        <v/>
      </c>
      <c r="X140" s="432" t="str">
        <f>Fleet!Q11</f>
        <v/>
      </c>
      <c r="Y140" s="432" t="str">
        <f>Fleet!R11</f>
        <v/>
      </c>
      <c r="Z140" s="432" t="str">
        <f>Fleet!S11</f>
        <v/>
      </c>
      <c r="AA140" s="432" t="str">
        <f>Fleet!T11</f>
        <v/>
      </c>
      <c r="AB140" s="432" t="str">
        <f>Fleet!U11</f>
        <v/>
      </c>
      <c r="AC140" s="432" t="str">
        <f>Fleet!V11</f>
        <v/>
      </c>
      <c r="AE140" s="432">
        <f t="shared" si="6"/>
        <v>0</v>
      </c>
      <c r="AF140" s="432">
        <f t="shared" si="7"/>
        <v>0</v>
      </c>
    </row>
    <row r="141" spans="2:32" x14ac:dyDescent="0.35">
      <c r="B141" s="432" t="e">
        <f>"2024"&amp;MATCH(Totals!D141,OrgType,0)&amp;"_"&amp;MATCH(Totals!E141,Organisations,0)&amp;"_"&amp;LEFT(Totals!F141,1)&amp;"_"&amp;LEFT(G141,1)&amp;"_"&amp;COUNTIF($G$3:G141,G141)</f>
        <v>#N/A</v>
      </c>
      <c r="C141" s="432">
        <v>2024</v>
      </c>
      <c r="D141" s="432">
        <f>Introduction!$D$7</f>
        <v>0</v>
      </c>
      <c r="E141" s="432">
        <f>Introduction!$D$8</f>
        <v>0</v>
      </c>
      <c r="F141" s="432" t="s">
        <v>1108</v>
      </c>
      <c r="G141" s="432" t="s">
        <v>1109</v>
      </c>
      <c r="H141" s="433"/>
      <c r="I141" s="432">
        <f>Fleet!B12</f>
        <v>0</v>
      </c>
      <c r="J141" s="432">
        <f>Fleet!C12</f>
        <v>0</v>
      </c>
      <c r="K141" s="432">
        <f>Fleet!D12</f>
        <v>0</v>
      </c>
      <c r="L141" s="432">
        <f>Fleet!E12</f>
        <v>0</v>
      </c>
      <c r="M141" s="432" t="str">
        <f>Fleet!F12</f>
        <v/>
      </c>
      <c r="N141" s="432">
        <f>Fleet!G12</f>
        <v>0</v>
      </c>
      <c r="O141" s="432">
        <f>Fleet!H12</f>
        <v>0</v>
      </c>
      <c r="P141" s="432" t="str">
        <f>Fleet!I12</f>
        <v/>
      </c>
      <c r="Q141" s="432" t="str">
        <f>Fleet!J12</f>
        <v/>
      </c>
      <c r="R141" s="432" t="str">
        <f>Fleet!K12</f>
        <v/>
      </c>
      <c r="S141" s="432" t="str">
        <f>Fleet!L12</f>
        <v/>
      </c>
      <c r="T141" s="432">
        <f>Fleet!M12</f>
        <v>0</v>
      </c>
      <c r="U141" s="432">
        <f>Fleet!N12</f>
        <v>0</v>
      </c>
      <c r="V141" s="432" t="str">
        <f>Fleet!O12</f>
        <v/>
      </c>
      <c r="W141" s="432" t="str">
        <f>Fleet!P12</f>
        <v/>
      </c>
      <c r="X141" s="432" t="str">
        <f>Fleet!Q12</f>
        <v/>
      </c>
      <c r="Y141" s="432" t="str">
        <f>Fleet!R12</f>
        <v/>
      </c>
      <c r="Z141" s="432" t="str">
        <f>Fleet!S12</f>
        <v/>
      </c>
      <c r="AA141" s="432" t="str">
        <f>Fleet!T12</f>
        <v/>
      </c>
      <c r="AB141" s="432" t="str">
        <f>Fleet!U12</f>
        <v/>
      </c>
      <c r="AC141" s="432" t="str">
        <f>Fleet!V12</f>
        <v/>
      </c>
      <c r="AE141" s="432">
        <f t="shared" si="6"/>
        <v>0</v>
      </c>
      <c r="AF141" s="432">
        <f t="shared" si="7"/>
        <v>0</v>
      </c>
    </row>
    <row r="142" spans="2:32" x14ac:dyDescent="0.35">
      <c r="B142" s="432" t="e">
        <f>"2024"&amp;MATCH(Totals!D142,OrgType,0)&amp;"_"&amp;MATCH(Totals!E142,Organisations,0)&amp;"_"&amp;LEFT(Totals!F142,1)&amp;"_"&amp;LEFT(G142,1)&amp;"_"&amp;COUNTIF($G$3:G142,G142)</f>
        <v>#N/A</v>
      </c>
      <c r="C142" s="432">
        <v>2024</v>
      </c>
      <c r="D142" s="432">
        <f>Introduction!$D$7</f>
        <v>0</v>
      </c>
      <c r="E142" s="432">
        <f>Introduction!$D$8</f>
        <v>0</v>
      </c>
      <c r="F142" s="432" t="s">
        <v>1108</v>
      </c>
      <c r="G142" s="432" t="s">
        <v>1109</v>
      </c>
      <c r="H142" s="433"/>
      <c r="I142" s="432">
        <f>Fleet!B13</f>
        <v>0</v>
      </c>
      <c r="J142" s="432">
        <f>Fleet!C13</f>
        <v>0</v>
      </c>
      <c r="K142" s="432">
        <f>Fleet!D13</f>
        <v>0</v>
      </c>
      <c r="L142" s="432">
        <f>Fleet!E13</f>
        <v>0</v>
      </c>
      <c r="M142" s="432" t="str">
        <f>Fleet!F13</f>
        <v/>
      </c>
      <c r="N142" s="432">
        <f>Fleet!G13</f>
        <v>0</v>
      </c>
      <c r="O142" s="432">
        <f>Fleet!H13</f>
        <v>0</v>
      </c>
      <c r="P142" s="432" t="str">
        <f>Fleet!I13</f>
        <v/>
      </c>
      <c r="Q142" s="432" t="str">
        <f>Fleet!J13</f>
        <v/>
      </c>
      <c r="R142" s="432" t="str">
        <f>Fleet!K13</f>
        <v/>
      </c>
      <c r="S142" s="432" t="str">
        <f>Fleet!L13</f>
        <v/>
      </c>
      <c r="T142" s="432">
        <f>Fleet!M13</f>
        <v>0</v>
      </c>
      <c r="U142" s="432">
        <f>Fleet!N13</f>
        <v>0</v>
      </c>
      <c r="V142" s="432" t="str">
        <f>Fleet!O13</f>
        <v/>
      </c>
      <c r="W142" s="432" t="str">
        <f>Fleet!P13</f>
        <v/>
      </c>
      <c r="X142" s="432" t="str">
        <f>Fleet!Q13</f>
        <v/>
      </c>
      <c r="Y142" s="432" t="str">
        <f>Fleet!R13</f>
        <v/>
      </c>
      <c r="Z142" s="432" t="str">
        <f>Fleet!S13</f>
        <v/>
      </c>
      <c r="AA142" s="432" t="str">
        <f>Fleet!T13</f>
        <v/>
      </c>
      <c r="AB142" s="432" t="str">
        <f>Fleet!U13</f>
        <v/>
      </c>
      <c r="AC142" s="432" t="str">
        <f>Fleet!V13</f>
        <v/>
      </c>
      <c r="AE142" s="432">
        <f t="shared" si="6"/>
        <v>0</v>
      </c>
      <c r="AF142" s="432">
        <f t="shared" si="7"/>
        <v>0</v>
      </c>
    </row>
    <row r="143" spans="2:32" x14ac:dyDescent="0.35">
      <c r="B143" s="432" t="e">
        <f>"2024"&amp;MATCH(Totals!D143,OrgType,0)&amp;"_"&amp;MATCH(Totals!E143,Organisations,0)&amp;"_"&amp;LEFT(Totals!F143,1)&amp;"_"&amp;LEFT(G143,1)&amp;"_"&amp;COUNTIF($G$3:G143,G143)</f>
        <v>#N/A</v>
      </c>
      <c r="C143" s="432">
        <v>2024</v>
      </c>
      <c r="D143" s="432">
        <f>Introduction!$D$7</f>
        <v>0</v>
      </c>
      <c r="E143" s="432">
        <f>Introduction!$D$8</f>
        <v>0</v>
      </c>
      <c r="F143" s="432" t="s">
        <v>1108</v>
      </c>
      <c r="G143" s="432" t="s">
        <v>1109</v>
      </c>
      <c r="H143" s="433"/>
      <c r="I143" s="432">
        <f>Fleet!B14</f>
        <v>0</v>
      </c>
      <c r="J143" s="432">
        <f>Fleet!C14</f>
        <v>0</v>
      </c>
      <c r="K143" s="432">
        <f>Fleet!D14</f>
        <v>0</v>
      </c>
      <c r="L143" s="432">
        <f>Fleet!E14</f>
        <v>0</v>
      </c>
      <c r="M143" s="432" t="str">
        <f>Fleet!F14</f>
        <v/>
      </c>
      <c r="N143" s="432">
        <f>Fleet!G14</f>
        <v>0</v>
      </c>
      <c r="O143" s="432">
        <f>Fleet!H14</f>
        <v>0</v>
      </c>
      <c r="P143" s="432" t="str">
        <f>Fleet!I14</f>
        <v/>
      </c>
      <c r="Q143" s="432" t="str">
        <f>Fleet!J14</f>
        <v/>
      </c>
      <c r="R143" s="432" t="str">
        <f>Fleet!K14</f>
        <v/>
      </c>
      <c r="S143" s="432" t="str">
        <f>Fleet!L14</f>
        <v/>
      </c>
      <c r="T143" s="432">
        <f>Fleet!M14</f>
        <v>0</v>
      </c>
      <c r="U143" s="432">
        <f>Fleet!N14</f>
        <v>0</v>
      </c>
      <c r="V143" s="432" t="str">
        <f>Fleet!O14</f>
        <v/>
      </c>
      <c r="W143" s="432" t="str">
        <f>Fleet!P14</f>
        <v/>
      </c>
      <c r="X143" s="432" t="str">
        <f>Fleet!Q14</f>
        <v/>
      </c>
      <c r="Y143" s="432" t="str">
        <f>Fleet!R14</f>
        <v/>
      </c>
      <c r="Z143" s="432" t="str">
        <f>Fleet!S14</f>
        <v/>
      </c>
      <c r="AA143" s="432" t="str">
        <f>Fleet!T14</f>
        <v/>
      </c>
      <c r="AB143" s="432" t="str">
        <f>Fleet!U14</f>
        <v/>
      </c>
      <c r="AC143" s="432" t="str">
        <f>Fleet!V14</f>
        <v/>
      </c>
      <c r="AE143" s="432">
        <f t="shared" si="6"/>
        <v>0</v>
      </c>
      <c r="AF143" s="432">
        <f t="shared" si="7"/>
        <v>0</v>
      </c>
    </row>
    <row r="144" spans="2:32" x14ac:dyDescent="0.35">
      <c r="B144" s="432" t="e">
        <f>"2024"&amp;MATCH(Totals!D144,OrgType,0)&amp;"_"&amp;MATCH(Totals!E144,Organisations,0)&amp;"_"&amp;LEFT(Totals!F144,1)&amp;"_"&amp;LEFT(G144,1)&amp;"_"&amp;COUNTIF($G$3:G144,G144)</f>
        <v>#N/A</v>
      </c>
      <c r="C144" s="432">
        <v>2024</v>
      </c>
      <c r="D144" s="432">
        <f>Introduction!$D$7</f>
        <v>0</v>
      </c>
      <c r="E144" s="432">
        <f>Introduction!$D$8</f>
        <v>0</v>
      </c>
      <c r="F144" s="432" t="s">
        <v>1108</v>
      </c>
      <c r="G144" s="432" t="s">
        <v>1109</v>
      </c>
      <c r="H144" s="433"/>
      <c r="I144" s="432">
        <f>Fleet!B15</f>
        <v>0</v>
      </c>
      <c r="J144" s="432">
        <f>Fleet!C15</f>
        <v>0</v>
      </c>
      <c r="K144" s="432">
        <f>Fleet!D15</f>
        <v>0</v>
      </c>
      <c r="L144" s="432">
        <f>Fleet!E15</f>
        <v>0</v>
      </c>
      <c r="M144" s="432" t="str">
        <f>Fleet!F15</f>
        <v/>
      </c>
      <c r="N144" s="432">
        <f>Fleet!G15</f>
        <v>0</v>
      </c>
      <c r="O144" s="432">
        <f>Fleet!H15</f>
        <v>0</v>
      </c>
      <c r="P144" s="432" t="str">
        <f>Fleet!I15</f>
        <v/>
      </c>
      <c r="Q144" s="432" t="str">
        <f>Fleet!J15</f>
        <v/>
      </c>
      <c r="R144" s="432" t="str">
        <f>Fleet!K15</f>
        <v/>
      </c>
      <c r="S144" s="432" t="str">
        <f>Fleet!L15</f>
        <v/>
      </c>
      <c r="T144" s="432">
        <f>Fleet!M15</f>
        <v>0</v>
      </c>
      <c r="U144" s="432">
        <f>Fleet!N15</f>
        <v>0</v>
      </c>
      <c r="V144" s="432" t="str">
        <f>Fleet!O15</f>
        <v/>
      </c>
      <c r="W144" s="432" t="str">
        <f>Fleet!P15</f>
        <v/>
      </c>
      <c r="X144" s="432" t="str">
        <f>Fleet!Q15</f>
        <v/>
      </c>
      <c r="Y144" s="432" t="str">
        <f>Fleet!R15</f>
        <v/>
      </c>
      <c r="Z144" s="432" t="str">
        <f>Fleet!S15</f>
        <v/>
      </c>
      <c r="AA144" s="432" t="str">
        <f>Fleet!T15</f>
        <v/>
      </c>
      <c r="AB144" s="432" t="str">
        <f>Fleet!U15</f>
        <v/>
      </c>
      <c r="AC144" s="432" t="str">
        <f>Fleet!V15</f>
        <v/>
      </c>
      <c r="AE144" s="432">
        <f t="shared" si="6"/>
        <v>0</v>
      </c>
      <c r="AF144" s="432">
        <f t="shared" si="7"/>
        <v>0</v>
      </c>
    </row>
    <row r="145" spans="2:32" x14ac:dyDescent="0.35">
      <c r="B145" s="432" t="e">
        <f>"2024"&amp;MATCH(Totals!D145,OrgType,0)&amp;"_"&amp;MATCH(Totals!E145,Organisations,0)&amp;"_"&amp;LEFT(Totals!F145,1)&amp;"_"&amp;LEFT(G145,1)&amp;"_"&amp;COUNTIF($G$3:G145,G145)</f>
        <v>#N/A</v>
      </c>
      <c r="C145" s="432">
        <v>2024</v>
      </c>
      <c r="D145" s="432">
        <f>Introduction!$D$7</f>
        <v>0</v>
      </c>
      <c r="E145" s="432">
        <f>Introduction!$D$8</f>
        <v>0</v>
      </c>
      <c r="F145" s="432" t="s">
        <v>1108</v>
      </c>
      <c r="G145" s="432" t="s">
        <v>1109</v>
      </c>
      <c r="H145" s="433"/>
      <c r="I145" s="432">
        <f>Fleet!B16</f>
        <v>0</v>
      </c>
      <c r="J145" s="432">
        <f>Fleet!C16</f>
        <v>0</v>
      </c>
      <c r="K145" s="432">
        <f>Fleet!D16</f>
        <v>0</v>
      </c>
      <c r="L145" s="432">
        <f>Fleet!E16</f>
        <v>0</v>
      </c>
      <c r="M145" s="432" t="str">
        <f>Fleet!F16</f>
        <v/>
      </c>
      <c r="N145" s="432">
        <f>Fleet!G16</f>
        <v>0</v>
      </c>
      <c r="O145" s="432">
        <f>Fleet!H16</f>
        <v>0</v>
      </c>
      <c r="P145" s="432" t="str">
        <f>Fleet!I16</f>
        <v/>
      </c>
      <c r="Q145" s="432" t="str">
        <f>Fleet!J16</f>
        <v/>
      </c>
      <c r="R145" s="432" t="str">
        <f>Fleet!K16</f>
        <v/>
      </c>
      <c r="S145" s="432" t="str">
        <f>Fleet!L16</f>
        <v/>
      </c>
      <c r="T145" s="432">
        <f>Fleet!M16</f>
        <v>0</v>
      </c>
      <c r="U145" s="432">
        <f>Fleet!N16</f>
        <v>0</v>
      </c>
      <c r="V145" s="432" t="str">
        <f>Fleet!O16</f>
        <v/>
      </c>
      <c r="W145" s="432" t="str">
        <f>Fleet!P16</f>
        <v/>
      </c>
      <c r="X145" s="432" t="str">
        <f>Fleet!Q16</f>
        <v/>
      </c>
      <c r="Y145" s="432" t="str">
        <f>Fleet!R16</f>
        <v/>
      </c>
      <c r="Z145" s="432" t="str">
        <f>Fleet!S16</f>
        <v/>
      </c>
      <c r="AA145" s="432" t="str">
        <f>Fleet!T16</f>
        <v/>
      </c>
      <c r="AB145" s="432" t="str">
        <f>Fleet!U16</f>
        <v/>
      </c>
      <c r="AC145" s="432" t="str">
        <f>Fleet!V16</f>
        <v/>
      </c>
      <c r="AE145" s="432">
        <f t="shared" si="6"/>
        <v>0</v>
      </c>
      <c r="AF145" s="432">
        <f t="shared" si="7"/>
        <v>0</v>
      </c>
    </row>
    <row r="146" spans="2:32" x14ac:dyDescent="0.35">
      <c r="B146" s="432" t="e">
        <f>"2024"&amp;MATCH(Totals!D146,OrgType,0)&amp;"_"&amp;MATCH(Totals!E146,Organisations,0)&amp;"_"&amp;LEFT(Totals!F146,1)&amp;"_"&amp;LEFT(G146,1)&amp;"_"&amp;COUNTIF($G$3:G146,G146)</f>
        <v>#N/A</v>
      </c>
      <c r="C146" s="432">
        <v>2024</v>
      </c>
      <c r="D146" s="432">
        <f>Introduction!$D$7</f>
        <v>0</v>
      </c>
      <c r="E146" s="432">
        <f>Introduction!$D$8</f>
        <v>0</v>
      </c>
      <c r="F146" s="432" t="s">
        <v>1108</v>
      </c>
      <c r="G146" s="432" t="s">
        <v>1109</v>
      </c>
      <c r="H146" s="433"/>
      <c r="I146" s="432">
        <f>Fleet!B17</f>
        <v>0</v>
      </c>
      <c r="J146" s="432">
        <f>Fleet!C17</f>
        <v>0</v>
      </c>
      <c r="K146" s="432">
        <f>Fleet!D17</f>
        <v>0</v>
      </c>
      <c r="L146" s="432">
        <f>Fleet!E17</f>
        <v>0</v>
      </c>
      <c r="M146" s="432" t="str">
        <f>Fleet!F17</f>
        <v/>
      </c>
      <c r="N146" s="432">
        <f>Fleet!G17</f>
        <v>0</v>
      </c>
      <c r="O146" s="432">
        <f>Fleet!H17</f>
        <v>0</v>
      </c>
      <c r="P146" s="432" t="str">
        <f>Fleet!I17</f>
        <v/>
      </c>
      <c r="Q146" s="432" t="str">
        <f>Fleet!J17</f>
        <v/>
      </c>
      <c r="R146" s="432" t="str">
        <f>Fleet!K17</f>
        <v/>
      </c>
      <c r="S146" s="432" t="str">
        <f>Fleet!L17</f>
        <v/>
      </c>
      <c r="T146" s="432">
        <f>Fleet!M17</f>
        <v>0</v>
      </c>
      <c r="U146" s="432">
        <f>Fleet!N17</f>
        <v>0</v>
      </c>
      <c r="V146" s="432" t="str">
        <f>Fleet!O17</f>
        <v/>
      </c>
      <c r="W146" s="432" t="str">
        <f>Fleet!P17</f>
        <v/>
      </c>
      <c r="X146" s="432" t="str">
        <f>Fleet!Q17</f>
        <v/>
      </c>
      <c r="Y146" s="432" t="str">
        <f>Fleet!R17</f>
        <v/>
      </c>
      <c r="Z146" s="432" t="str">
        <f>Fleet!S17</f>
        <v/>
      </c>
      <c r="AA146" s="432" t="str">
        <f>Fleet!T17</f>
        <v/>
      </c>
      <c r="AB146" s="432" t="str">
        <f>Fleet!U17</f>
        <v/>
      </c>
      <c r="AC146" s="432" t="str">
        <f>Fleet!V17</f>
        <v/>
      </c>
      <c r="AE146" s="432">
        <f t="shared" si="6"/>
        <v>0</v>
      </c>
      <c r="AF146" s="432">
        <f t="shared" si="7"/>
        <v>0</v>
      </c>
    </row>
    <row r="147" spans="2:32" x14ac:dyDescent="0.35">
      <c r="B147" s="432" t="e">
        <f>"2024"&amp;MATCH(Totals!D147,OrgType,0)&amp;"_"&amp;MATCH(Totals!E147,Organisations,0)&amp;"_"&amp;LEFT(Totals!F147,1)&amp;"_"&amp;LEFT(G147,1)&amp;"_"&amp;COUNTIF($G$3:G147,G147)</f>
        <v>#N/A</v>
      </c>
      <c r="C147" s="432">
        <v>2024</v>
      </c>
      <c r="D147" s="432">
        <f>Introduction!$D$7</f>
        <v>0</v>
      </c>
      <c r="E147" s="432">
        <f>Introduction!$D$8</f>
        <v>0</v>
      </c>
      <c r="F147" s="432" t="s">
        <v>1108</v>
      </c>
      <c r="G147" s="432" t="s">
        <v>1109</v>
      </c>
      <c r="H147" s="433"/>
      <c r="I147" s="432">
        <f>Fleet!B18</f>
        <v>0</v>
      </c>
      <c r="J147" s="432">
        <f>Fleet!C18</f>
        <v>0</v>
      </c>
      <c r="K147" s="432">
        <f>Fleet!D18</f>
        <v>0</v>
      </c>
      <c r="L147" s="432">
        <f>Fleet!E18</f>
        <v>0</v>
      </c>
      <c r="M147" s="432" t="str">
        <f>Fleet!F18</f>
        <v/>
      </c>
      <c r="N147" s="432">
        <f>Fleet!G18</f>
        <v>0</v>
      </c>
      <c r="O147" s="432">
        <f>Fleet!H18</f>
        <v>0</v>
      </c>
      <c r="P147" s="432" t="str">
        <f>Fleet!I18</f>
        <v/>
      </c>
      <c r="Q147" s="432" t="str">
        <f>Fleet!J18</f>
        <v/>
      </c>
      <c r="R147" s="432" t="str">
        <f>Fleet!K18</f>
        <v/>
      </c>
      <c r="S147" s="432" t="str">
        <f>Fleet!L18</f>
        <v/>
      </c>
      <c r="T147" s="432">
        <f>Fleet!M18</f>
        <v>0</v>
      </c>
      <c r="U147" s="432">
        <f>Fleet!N18</f>
        <v>0</v>
      </c>
      <c r="V147" s="432" t="str">
        <f>Fleet!O18</f>
        <v/>
      </c>
      <c r="W147" s="432" t="str">
        <f>Fleet!P18</f>
        <v/>
      </c>
      <c r="X147" s="432" t="str">
        <f>Fleet!Q18</f>
        <v/>
      </c>
      <c r="Y147" s="432" t="str">
        <f>Fleet!R18</f>
        <v/>
      </c>
      <c r="Z147" s="432" t="str">
        <f>Fleet!S18</f>
        <v/>
      </c>
      <c r="AA147" s="432" t="str">
        <f>Fleet!T18</f>
        <v/>
      </c>
      <c r="AB147" s="432" t="str">
        <f>Fleet!U18</f>
        <v/>
      </c>
      <c r="AC147" s="432" t="str">
        <f>Fleet!V18</f>
        <v/>
      </c>
      <c r="AE147" s="432">
        <f t="shared" si="6"/>
        <v>0</v>
      </c>
      <c r="AF147" s="432">
        <f t="shared" si="7"/>
        <v>0</v>
      </c>
    </row>
    <row r="148" spans="2:32" x14ac:dyDescent="0.35">
      <c r="B148" s="432" t="e">
        <f>"2024"&amp;MATCH(Totals!D148,OrgType,0)&amp;"_"&amp;MATCH(Totals!E148,Organisations,0)&amp;"_"&amp;LEFT(Totals!F148,1)&amp;"_"&amp;LEFT(G148,1)&amp;"_"&amp;COUNTIF($G$3:G148,G148)</f>
        <v>#N/A</v>
      </c>
      <c r="C148" s="432">
        <v>2024</v>
      </c>
      <c r="D148" s="432">
        <f>Introduction!$D$7</f>
        <v>0</v>
      </c>
      <c r="E148" s="432">
        <f>Introduction!$D$8</f>
        <v>0</v>
      </c>
      <c r="F148" s="432" t="s">
        <v>1108</v>
      </c>
      <c r="G148" s="432" t="s">
        <v>1109</v>
      </c>
      <c r="H148" s="433"/>
      <c r="I148" s="432">
        <f>Fleet!B19</f>
        <v>0</v>
      </c>
      <c r="J148" s="432">
        <f>Fleet!C19</f>
        <v>0</v>
      </c>
      <c r="K148" s="432">
        <f>Fleet!D19</f>
        <v>0</v>
      </c>
      <c r="L148" s="432">
        <f>Fleet!E19</f>
        <v>0</v>
      </c>
      <c r="M148" s="432" t="str">
        <f>Fleet!F19</f>
        <v/>
      </c>
      <c r="N148" s="432">
        <f>Fleet!G19</f>
        <v>0</v>
      </c>
      <c r="O148" s="432">
        <f>Fleet!H19</f>
        <v>0</v>
      </c>
      <c r="P148" s="432" t="str">
        <f>Fleet!I19</f>
        <v/>
      </c>
      <c r="Q148" s="432" t="str">
        <f>Fleet!J19</f>
        <v/>
      </c>
      <c r="R148" s="432" t="str">
        <f>Fleet!K19</f>
        <v/>
      </c>
      <c r="S148" s="432" t="str">
        <f>Fleet!L19</f>
        <v/>
      </c>
      <c r="T148" s="432">
        <f>Fleet!M19</f>
        <v>0</v>
      </c>
      <c r="U148" s="432">
        <f>Fleet!N19</f>
        <v>0</v>
      </c>
      <c r="V148" s="432" t="str">
        <f>Fleet!O19</f>
        <v/>
      </c>
      <c r="W148" s="432" t="str">
        <f>Fleet!P19</f>
        <v/>
      </c>
      <c r="X148" s="432" t="str">
        <f>Fleet!Q19</f>
        <v/>
      </c>
      <c r="Y148" s="432" t="str">
        <f>Fleet!R19</f>
        <v/>
      </c>
      <c r="Z148" s="432" t="str">
        <f>Fleet!S19</f>
        <v/>
      </c>
      <c r="AA148" s="432" t="str">
        <f>Fleet!T19</f>
        <v/>
      </c>
      <c r="AB148" s="432" t="str">
        <f>Fleet!U19</f>
        <v/>
      </c>
      <c r="AC148" s="432" t="str">
        <f>Fleet!V19</f>
        <v/>
      </c>
      <c r="AE148" s="432">
        <f t="shared" si="4"/>
        <v>0</v>
      </c>
      <c r="AF148" s="432">
        <f t="shared" si="5"/>
        <v>0</v>
      </c>
    </row>
    <row r="149" spans="2:32" x14ac:dyDescent="0.35">
      <c r="B149" s="432" t="e">
        <f>"2024"&amp;MATCH(Totals!D149,OrgType,0)&amp;"_"&amp;MATCH(Totals!E149,Organisations,0)&amp;"_"&amp;LEFT(Totals!F149,1)&amp;"_"&amp;LEFT(G149,1)&amp;"_"&amp;COUNTIF($G$3:G149,G149)</f>
        <v>#N/A</v>
      </c>
      <c r="C149" s="432">
        <v>2024</v>
      </c>
      <c r="D149" s="432">
        <f>Introduction!$D$7</f>
        <v>0</v>
      </c>
      <c r="E149" s="432">
        <f>Introduction!$D$8</f>
        <v>0</v>
      </c>
      <c r="F149" s="432" t="s">
        <v>1108</v>
      </c>
      <c r="G149" s="432" t="s">
        <v>1109</v>
      </c>
      <c r="H149" s="433"/>
      <c r="I149" s="432">
        <f>Fleet!B20</f>
        <v>0</v>
      </c>
      <c r="J149" s="432">
        <f>Fleet!C20</f>
        <v>0</v>
      </c>
      <c r="K149" s="432">
        <f>Fleet!D20</f>
        <v>0</v>
      </c>
      <c r="L149" s="432">
        <f>Fleet!E20</f>
        <v>0</v>
      </c>
      <c r="M149" s="432" t="str">
        <f>Fleet!F20</f>
        <v/>
      </c>
      <c r="N149" s="432">
        <f>Fleet!G20</f>
        <v>0</v>
      </c>
      <c r="O149" s="432">
        <f>Fleet!H20</f>
        <v>0</v>
      </c>
      <c r="P149" s="432" t="str">
        <f>Fleet!I20</f>
        <v/>
      </c>
      <c r="Q149" s="432" t="str">
        <f>Fleet!J20</f>
        <v/>
      </c>
      <c r="R149" s="432" t="str">
        <f>Fleet!K20</f>
        <v/>
      </c>
      <c r="S149" s="432" t="str">
        <f>Fleet!L20</f>
        <v/>
      </c>
      <c r="T149" s="432">
        <f>Fleet!M20</f>
        <v>0</v>
      </c>
      <c r="U149" s="432">
        <f>Fleet!N20</f>
        <v>0</v>
      </c>
      <c r="V149" s="432" t="str">
        <f>Fleet!O20</f>
        <v/>
      </c>
      <c r="W149" s="432" t="str">
        <f>Fleet!P20</f>
        <v/>
      </c>
      <c r="X149" s="432" t="str">
        <f>Fleet!Q20</f>
        <v/>
      </c>
      <c r="Y149" s="432" t="str">
        <f>Fleet!R20</f>
        <v/>
      </c>
      <c r="Z149" s="432" t="str">
        <f>Fleet!S20</f>
        <v/>
      </c>
      <c r="AA149" s="432" t="str">
        <f>Fleet!T20</f>
        <v/>
      </c>
      <c r="AB149" s="432" t="str">
        <f>Fleet!U20</f>
        <v/>
      </c>
      <c r="AC149" s="432" t="str">
        <f>Fleet!V20</f>
        <v/>
      </c>
      <c r="AE149" s="432">
        <f t="shared" si="4"/>
        <v>0</v>
      </c>
      <c r="AF149" s="432">
        <f t="shared" si="5"/>
        <v>0</v>
      </c>
    </row>
    <row r="150" spans="2:32" x14ac:dyDescent="0.35">
      <c r="B150" s="432" t="e">
        <f>"2024"&amp;MATCH(Totals!D150,OrgType,0)&amp;"_"&amp;MATCH(Totals!E150,Organisations,0)&amp;"_"&amp;LEFT(Totals!F150,1)&amp;"_"&amp;LEFT(G150,1)&amp;"_"&amp;COUNTIF($G$3:G150,G150)</f>
        <v>#N/A</v>
      </c>
      <c r="C150" s="432">
        <v>2024</v>
      </c>
      <c r="D150" s="432">
        <f>Introduction!$D$7</f>
        <v>0</v>
      </c>
      <c r="E150" s="432">
        <f>Introduction!$D$8</f>
        <v>0</v>
      </c>
      <c r="F150" s="432" t="s">
        <v>1108</v>
      </c>
      <c r="G150" s="432" t="s">
        <v>1109</v>
      </c>
      <c r="H150" s="433"/>
      <c r="I150" s="432">
        <f>Fleet!B21</f>
        <v>0</v>
      </c>
      <c r="J150" s="432">
        <f>Fleet!C21</f>
        <v>0</v>
      </c>
      <c r="K150" s="432">
        <f>Fleet!D21</f>
        <v>0</v>
      </c>
      <c r="L150" s="432">
        <f>Fleet!E21</f>
        <v>0</v>
      </c>
      <c r="M150" s="432" t="str">
        <f>Fleet!F21</f>
        <v/>
      </c>
      <c r="N150" s="432">
        <f>Fleet!G21</f>
        <v>0</v>
      </c>
      <c r="O150" s="432">
        <f>Fleet!H21</f>
        <v>0</v>
      </c>
      <c r="P150" s="432" t="str">
        <f>Fleet!I21</f>
        <v/>
      </c>
      <c r="Q150" s="432" t="str">
        <f>Fleet!J21</f>
        <v/>
      </c>
      <c r="R150" s="432" t="str">
        <f>Fleet!K21</f>
        <v/>
      </c>
      <c r="S150" s="432" t="str">
        <f>Fleet!L21</f>
        <v/>
      </c>
      <c r="T150" s="432">
        <f>Fleet!M21</f>
        <v>0</v>
      </c>
      <c r="U150" s="432">
        <f>Fleet!N21</f>
        <v>0</v>
      </c>
      <c r="V150" s="432" t="str">
        <f>Fleet!O21</f>
        <v/>
      </c>
      <c r="W150" s="432" t="str">
        <f>Fleet!P21</f>
        <v/>
      </c>
      <c r="X150" s="432" t="str">
        <f>Fleet!Q21</f>
        <v/>
      </c>
      <c r="Y150" s="432" t="str">
        <f>Fleet!R21</f>
        <v/>
      </c>
      <c r="Z150" s="432" t="str">
        <f>Fleet!S21</f>
        <v/>
      </c>
      <c r="AA150" s="432" t="str">
        <f>Fleet!T21</f>
        <v/>
      </c>
      <c r="AB150" s="432" t="str">
        <f>Fleet!U21</f>
        <v/>
      </c>
      <c r="AC150" s="432" t="str">
        <f>Fleet!V21</f>
        <v/>
      </c>
      <c r="AE150" s="432">
        <f t="shared" si="4"/>
        <v>0</v>
      </c>
      <c r="AF150" s="432">
        <f t="shared" si="5"/>
        <v>0</v>
      </c>
    </row>
    <row r="151" spans="2:32" x14ac:dyDescent="0.35">
      <c r="B151" s="432" t="e">
        <f>"2024"&amp;MATCH(Totals!D151,OrgType,0)&amp;"_"&amp;MATCH(Totals!E151,Organisations,0)&amp;"_"&amp;LEFT(Totals!F151,1)&amp;"_"&amp;LEFT(G151,1)&amp;"_"&amp;COUNTIF($G$3:G151,G151)</f>
        <v>#N/A</v>
      </c>
      <c r="C151" s="432">
        <v>2024</v>
      </c>
      <c r="D151" s="432">
        <f>Introduction!$D$7</f>
        <v>0</v>
      </c>
      <c r="E151" s="432">
        <f>Introduction!$D$8</f>
        <v>0</v>
      </c>
      <c r="F151" s="432" t="s">
        <v>1108</v>
      </c>
      <c r="G151" s="432" t="s">
        <v>1109</v>
      </c>
      <c r="H151" s="433"/>
      <c r="I151" s="432">
        <f>Fleet!B22</f>
        <v>0</v>
      </c>
      <c r="J151" s="432">
        <f>Fleet!C22</f>
        <v>0</v>
      </c>
      <c r="K151" s="432">
        <f>Fleet!D22</f>
        <v>0</v>
      </c>
      <c r="L151" s="432">
        <f>Fleet!E22</f>
        <v>0</v>
      </c>
      <c r="M151" s="432" t="str">
        <f>Fleet!F22</f>
        <v/>
      </c>
      <c r="N151" s="432">
        <f>Fleet!G22</f>
        <v>0</v>
      </c>
      <c r="O151" s="432">
        <f>Fleet!H22</f>
        <v>0</v>
      </c>
      <c r="P151" s="432" t="str">
        <f>Fleet!I22</f>
        <v/>
      </c>
      <c r="Q151" s="432" t="str">
        <f>Fleet!J22</f>
        <v/>
      </c>
      <c r="R151" s="432" t="str">
        <f>Fleet!K22</f>
        <v/>
      </c>
      <c r="S151" s="432" t="str">
        <f>Fleet!L22</f>
        <v/>
      </c>
      <c r="T151" s="432">
        <f>Fleet!M22</f>
        <v>0</v>
      </c>
      <c r="U151" s="432">
        <f>Fleet!N22</f>
        <v>0</v>
      </c>
      <c r="V151" s="432" t="str">
        <f>Fleet!O22</f>
        <v/>
      </c>
      <c r="W151" s="432" t="str">
        <f>Fleet!P22</f>
        <v/>
      </c>
      <c r="X151" s="432" t="str">
        <f>Fleet!Q22</f>
        <v/>
      </c>
      <c r="Y151" s="432" t="str">
        <f>Fleet!R22</f>
        <v/>
      </c>
      <c r="Z151" s="432" t="str">
        <f>Fleet!S22</f>
        <v/>
      </c>
      <c r="AA151" s="432" t="str">
        <f>Fleet!T22</f>
        <v/>
      </c>
      <c r="AB151" s="432" t="str">
        <f>Fleet!U22</f>
        <v/>
      </c>
      <c r="AC151" s="432" t="str">
        <f>Fleet!V22</f>
        <v/>
      </c>
      <c r="AE151" s="432">
        <f t="shared" si="4"/>
        <v>0</v>
      </c>
      <c r="AF151" s="432">
        <f t="shared" si="5"/>
        <v>0</v>
      </c>
    </row>
    <row r="152" spans="2:32" x14ac:dyDescent="0.35">
      <c r="B152" s="432" t="e">
        <f>"2024"&amp;MATCH(Totals!D152,OrgType,0)&amp;"_"&amp;MATCH(Totals!E152,Organisations,0)&amp;"_"&amp;LEFT(Totals!F152,1)&amp;"_"&amp;LEFT(G152,1)&amp;"_"&amp;COUNTIF($G$3:G152,G152)</f>
        <v>#N/A</v>
      </c>
      <c r="C152" s="432">
        <v>2024</v>
      </c>
      <c r="D152" s="432">
        <f>Introduction!$D$7</f>
        <v>0</v>
      </c>
      <c r="E152" s="432">
        <f>Introduction!$D$8</f>
        <v>0</v>
      </c>
      <c r="F152" s="432" t="s">
        <v>1108</v>
      </c>
      <c r="G152" s="432" t="s">
        <v>1109</v>
      </c>
      <c r="H152" s="433"/>
      <c r="I152" s="432">
        <f>Fleet!B23</f>
        <v>0</v>
      </c>
      <c r="J152" s="432">
        <f>Fleet!C23</f>
        <v>0</v>
      </c>
      <c r="K152" s="432">
        <f>Fleet!D23</f>
        <v>0</v>
      </c>
      <c r="L152" s="432">
        <f>Fleet!E23</f>
        <v>0</v>
      </c>
      <c r="M152" s="432" t="str">
        <f>Fleet!F23</f>
        <v/>
      </c>
      <c r="N152" s="432">
        <f>Fleet!G23</f>
        <v>0</v>
      </c>
      <c r="O152" s="432">
        <f>Fleet!H23</f>
        <v>0</v>
      </c>
      <c r="P152" s="432" t="str">
        <f>Fleet!I23</f>
        <v/>
      </c>
      <c r="Q152" s="432" t="str">
        <f>Fleet!J23</f>
        <v/>
      </c>
      <c r="R152" s="432" t="str">
        <f>Fleet!K23</f>
        <v/>
      </c>
      <c r="S152" s="432" t="str">
        <f>Fleet!L23</f>
        <v/>
      </c>
      <c r="T152" s="432">
        <f>Fleet!M23</f>
        <v>0</v>
      </c>
      <c r="U152" s="432">
        <f>Fleet!N23</f>
        <v>0</v>
      </c>
      <c r="V152" s="432" t="str">
        <f>Fleet!O23</f>
        <v/>
      </c>
      <c r="W152" s="432" t="str">
        <f>Fleet!P23</f>
        <v/>
      </c>
      <c r="X152" s="432" t="str">
        <f>Fleet!Q23</f>
        <v/>
      </c>
      <c r="Y152" s="432" t="str">
        <f>Fleet!R23</f>
        <v/>
      </c>
      <c r="Z152" s="432" t="str">
        <f>Fleet!S23</f>
        <v/>
      </c>
      <c r="AA152" s="432" t="str">
        <f>Fleet!T23</f>
        <v/>
      </c>
      <c r="AB152" s="432" t="str">
        <f>Fleet!U23</f>
        <v/>
      </c>
      <c r="AC152" s="432" t="str">
        <f>Fleet!V23</f>
        <v/>
      </c>
      <c r="AE152" s="432">
        <f t="shared" si="4"/>
        <v>0</v>
      </c>
      <c r="AF152" s="432">
        <f t="shared" si="5"/>
        <v>0</v>
      </c>
    </row>
    <row r="153" spans="2:32" x14ac:dyDescent="0.35">
      <c r="B153" s="432" t="e">
        <f>"2024"&amp;MATCH(Totals!D153,OrgType,0)&amp;"_"&amp;MATCH(Totals!E153,Organisations,0)&amp;"_"&amp;LEFT(Totals!F153,1)&amp;"_"&amp;LEFT(G153,1)&amp;"_"&amp;COUNTIF($G$3:G153,G153)</f>
        <v>#N/A</v>
      </c>
      <c r="C153" s="432">
        <v>2024</v>
      </c>
      <c r="D153" s="432">
        <f>Introduction!$D$7</f>
        <v>0</v>
      </c>
      <c r="E153" s="432">
        <f>Introduction!$D$8</f>
        <v>0</v>
      </c>
      <c r="F153" s="432" t="s">
        <v>1108</v>
      </c>
      <c r="G153" s="432" t="s">
        <v>1109</v>
      </c>
      <c r="H153" s="433"/>
      <c r="I153" s="432">
        <f>Fleet!B24</f>
        <v>0</v>
      </c>
      <c r="J153" s="432">
        <f>Fleet!C24</f>
        <v>0</v>
      </c>
      <c r="K153" s="432">
        <f>Fleet!D24</f>
        <v>0</v>
      </c>
      <c r="L153" s="432">
        <f>Fleet!E24</f>
        <v>0</v>
      </c>
      <c r="M153" s="432" t="str">
        <f>Fleet!F24</f>
        <v/>
      </c>
      <c r="N153" s="432">
        <f>Fleet!G24</f>
        <v>0</v>
      </c>
      <c r="O153" s="432">
        <f>Fleet!H24</f>
        <v>0</v>
      </c>
      <c r="P153" s="432" t="str">
        <f>Fleet!I24</f>
        <v/>
      </c>
      <c r="Q153" s="432" t="str">
        <f>Fleet!J24</f>
        <v/>
      </c>
      <c r="R153" s="432" t="str">
        <f>Fleet!K24</f>
        <v/>
      </c>
      <c r="S153" s="432" t="str">
        <f>Fleet!L24</f>
        <v/>
      </c>
      <c r="T153" s="432">
        <f>Fleet!M24</f>
        <v>0</v>
      </c>
      <c r="U153" s="432">
        <f>Fleet!N24</f>
        <v>0</v>
      </c>
      <c r="V153" s="432" t="str">
        <f>Fleet!O24</f>
        <v/>
      </c>
      <c r="W153" s="432" t="str">
        <f>Fleet!P24</f>
        <v/>
      </c>
      <c r="X153" s="432" t="str">
        <f>Fleet!Q24</f>
        <v/>
      </c>
      <c r="Y153" s="432" t="str">
        <f>Fleet!R24</f>
        <v/>
      </c>
      <c r="Z153" s="432" t="str">
        <f>Fleet!S24</f>
        <v/>
      </c>
      <c r="AA153" s="432" t="str">
        <f>Fleet!T24</f>
        <v/>
      </c>
      <c r="AB153" s="432" t="str">
        <f>Fleet!U24</f>
        <v/>
      </c>
      <c r="AC153" s="432" t="str">
        <f>Fleet!V24</f>
        <v/>
      </c>
      <c r="AE153" s="432">
        <f t="shared" si="4"/>
        <v>0</v>
      </c>
      <c r="AF153" s="432">
        <f t="shared" si="5"/>
        <v>0</v>
      </c>
    </row>
    <row r="154" spans="2:32" x14ac:dyDescent="0.35">
      <c r="B154" s="432" t="e">
        <f>"2024"&amp;MATCH(Totals!D154,OrgType,0)&amp;"_"&amp;MATCH(Totals!E154,Organisations,0)&amp;"_"&amp;LEFT(Totals!F154,1)&amp;"_"&amp;LEFT(G154,1)&amp;"_"&amp;COUNTIF($G$3:G154,G154)</f>
        <v>#N/A</v>
      </c>
      <c r="C154" s="432">
        <v>2024</v>
      </c>
      <c r="D154" s="432">
        <f>Introduction!$D$7</f>
        <v>0</v>
      </c>
      <c r="E154" s="432">
        <f>Introduction!$D$8</f>
        <v>0</v>
      </c>
      <c r="F154" s="432" t="s">
        <v>1108</v>
      </c>
      <c r="G154" s="432" t="s">
        <v>1109</v>
      </c>
      <c r="H154" s="433"/>
      <c r="I154" s="432">
        <f>Fleet!B25</f>
        <v>0</v>
      </c>
      <c r="J154" s="432">
        <f>Fleet!C25</f>
        <v>0</v>
      </c>
      <c r="K154" s="432">
        <f>Fleet!D25</f>
        <v>0</v>
      </c>
      <c r="L154" s="432">
        <f>Fleet!E25</f>
        <v>0</v>
      </c>
      <c r="M154" s="432" t="str">
        <f>Fleet!F25</f>
        <v/>
      </c>
      <c r="N154" s="432">
        <f>Fleet!G25</f>
        <v>0</v>
      </c>
      <c r="O154" s="432">
        <f>Fleet!H25</f>
        <v>0</v>
      </c>
      <c r="P154" s="432" t="str">
        <f>Fleet!I25</f>
        <v/>
      </c>
      <c r="Q154" s="432" t="str">
        <f>Fleet!J25</f>
        <v/>
      </c>
      <c r="R154" s="432" t="str">
        <f>Fleet!K25</f>
        <v/>
      </c>
      <c r="S154" s="432" t="str">
        <f>Fleet!L25</f>
        <v/>
      </c>
      <c r="T154" s="432">
        <f>Fleet!M25</f>
        <v>0</v>
      </c>
      <c r="U154" s="432">
        <f>Fleet!N25</f>
        <v>0</v>
      </c>
      <c r="V154" s="432" t="str">
        <f>Fleet!O25</f>
        <v/>
      </c>
      <c r="W154" s="432" t="str">
        <f>Fleet!P25</f>
        <v/>
      </c>
      <c r="X154" s="432" t="str">
        <f>Fleet!Q25</f>
        <v/>
      </c>
      <c r="Y154" s="432" t="str">
        <f>Fleet!R25</f>
        <v/>
      </c>
      <c r="Z154" s="432" t="str">
        <f>Fleet!S25</f>
        <v/>
      </c>
      <c r="AA154" s="432" t="str">
        <f>Fleet!T25</f>
        <v/>
      </c>
      <c r="AB154" s="432" t="str">
        <f>Fleet!U25</f>
        <v/>
      </c>
      <c r="AC154" s="432" t="str">
        <f>Fleet!V25</f>
        <v/>
      </c>
      <c r="AE154" s="432">
        <f t="shared" si="4"/>
        <v>0</v>
      </c>
      <c r="AF154" s="432">
        <f t="shared" si="5"/>
        <v>0</v>
      </c>
    </row>
    <row r="155" spans="2:32" x14ac:dyDescent="0.35">
      <c r="B155" s="432" t="e">
        <f>"2024"&amp;MATCH(Totals!D155,OrgType,0)&amp;"_"&amp;MATCH(Totals!E155,Organisations,0)&amp;"_"&amp;LEFT(Totals!F155,1)&amp;"_"&amp;LEFT(G155,1)&amp;"_"&amp;COUNTIF($G$3:G155,G155)</f>
        <v>#N/A</v>
      </c>
      <c r="C155" s="432">
        <v>2024</v>
      </c>
      <c r="D155" s="432">
        <f>Introduction!$D$7</f>
        <v>0</v>
      </c>
      <c r="E155" s="432">
        <f>Introduction!$D$8</f>
        <v>0</v>
      </c>
      <c r="F155" s="432" t="s">
        <v>1108</v>
      </c>
      <c r="G155" s="432" t="s">
        <v>1109</v>
      </c>
      <c r="H155" s="433"/>
      <c r="I155" s="432">
        <f>Fleet!B26</f>
        <v>0</v>
      </c>
      <c r="J155" s="432">
        <f>Fleet!C26</f>
        <v>0</v>
      </c>
      <c r="K155" s="432">
        <f>Fleet!D26</f>
        <v>0</v>
      </c>
      <c r="L155" s="432">
        <f>Fleet!E26</f>
        <v>0</v>
      </c>
      <c r="M155" s="432" t="str">
        <f>Fleet!F26</f>
        <v/>
      </c>
      <c r="N155" s="432">
        <f>Fleet!G26</f>
        <v>0</v>
      </c>
      <c r="O155" s="432">
        <f>Fleet!H26</f>
        <v>0</v>
      </c>
      <c r="P155" s="432" t="str">
        <f>Fleet!I26</f>
        <v/>
      </c>
      <c r="Q155" s="432" t="str">
        <f>Fleet!J26</f>
        <v/>
      </c>
      <c r="R155" s="432" t="str">
        <f>Fleet!K26</f>
        <v/>
      </c>
      <c r="S155" s="432" t="str">
        <f>Fleet!L26</f>
        <v/>
      </c>
      <c r="T155" s="432">
        <f>Fleet!M26</f>
        <v>0</v>
      </c>
      <c r="U155" s="432">
        <f>Fleet!N26</f>
        <v>0</v>
      </c>
      <c r="V155" s="432" t="str">
        <f>Fleet!O26</f>
        <v/>
      </c>
      <c r="W155" s="432" t="str">
        <f>Fleet!P26</f>
        <v/>
      </c>
      <c r="X155" s="432" t="str">
        <f>Fleet!Q26</f>
        <v/>
      </c>
      <c r="Y155" s="432" t="str">
        <f>Fleet!R26</f>
        <v/>
      </c>
      <c r="Z155" s="432" t="str">
        <f>Fleet!S26</f>
        <v/>
      </c>
      <c r="AA155" s="432" t="str">
        <f>Fleet!T26</f>
        <v/>
      </c>
      <c r="AB155" s="432" t="str">
        <f>Fleet!U26</f>
        <v/>
      </c>
      <c r="AC155" s="432" t="str">
        <f>Fleet!V26</f>
        <v/>
      </c>
      <c r="AE155" s="432">
        <f t="shared" si="4"/>
        <v>0</v>
      </c>
      <c r="AF155" s="432">
        <f t="shared" si="5"/>
        <v>0</v>
      </c>
    </row>
    <row r="156" spans="2:32" x14ac:dyDescent="0.35">
      <c r="B156" s="432" t="e">
        <f>"2024"&amp;MATCH(Totals!D156,OrgType,0)&amp;"_"&amp;MATCH(Totals!E156,Organisations,0)&amp;"_"&amp;LEFT(Totals!F156,1)&amp;"_"&amp;LEFT(G156,1)&amp;"_"&amp;COUNTIF($G$3:G156,G156)</f>
        <v>#N/A</v>
      </c>
      <c r="C156" s="432">
        <v>2024</v>
      </c>
      <c r="D156" s="432">
        <f>Introduction!$D$7</f>
        <v>0</v>
      </c>
      <c r="E156" s="432">
        <f>Introduction!$D$8</f>
        <v>0</v>
      </c>
      <c r="F156" s="432" t="s">
        <v>1108</v>
      </c>
      <c r="G156" s="432" t="s">
        <v>1109</v>
      </c>
      <c r="H156" s="433"/>
      <c r="I156" s="432">
        <f>Fleet!B27</f>
        <v>0</v>
      </c>
      <c r="J156" s="432">
        <f>Fleet!C27</f>
        <v>0</v>
      </c>
      <c r="K156" s="432">
        <f>Fleet!D27</f>
        <v>0</v>
      </c>
      <c r="L156" s="432">
        <f>Fleet!E27</f>
        <v>0</v>
      </c>
      <c r="M156" s="432" t="str">
        <f>Fleet!F27</f>
        <v/>
      </c>
      <c r="N156" s="432">
        <f>Fleet!G27</f>
        <v>0</v>
      </c>
      <c r="O156" s="432">
        <f>Fleet!H27</f>
        <v>0</v>
      </c>
      <c r="P156" s="432" t="str">
        <f>Fleet!I27</f>
        <v/>
      </c>
      <c r="Q156" s="432" t="str">
        <f>Fleet!J27</f>
        <v/>
      </c>
      <c r="R156" s="432" t="str">
        <f>Fleet!K27</f>
        <v/>
      </c>
      <c r="S156" s="432" t="str">
        <f>Fleet!L27</f>
        <v/>
      </c>
      <c r="T156" s="432">
        <f>Fleet!M27</f>
        <v>0</v>
      </c>
      <c r="U156" s="432">
        <f>Fleet!N27</f>
        <v>0</v>
      </c>
      <c r="V156" s="432" t="str">
        <f>Fleet!O27</f>
        <v/>
      </c>
      <c r="W156" s="432" t="str">
        <f>Fleet!P27</f>
        <v/>
      </c>
      <c r="X156" s="432" t="str">
        <f>Fleet!Q27</f>
        <v/>
      </c>
      <c r="Y156" s="432" t="str">
        <f>Fleet!R27</f>
        <v/>
      </c>
      <c r="Z156" s="432" t="str">
        <f>Fleet!S27</f>
        <v/>
      </c>
      <c r="AA156" s="432" t="str">
        <f>Fleet!T27</f>
        <v/>
      </c>
      <c r="AB156" s="432" t="str">
        <f>Fleet!U27</f>
        <v/>
      </c>
      <c r="AC156" s="432" t="str">
        <f>Fleet!V27</f>
        <v/>
      </c>
      <c r="AE156" s="432">
        <f t="shared" si="4"/>
        <v>0</v>
      </c>
      <c r="AF156" s="432">
        <f t="shared" si="5"/>
        <v>0</v>
      </c>
    </row>
    <row r="157" spans="2:32" x14ac:dyDescent="0.35">
      <c r="B157" s="432" t="e">
        <f>"2024"&amp;MATCH(Totals!D157,OrgType,0)&amp;"_"&amp;MATCH(Totals!E157,Organisations,0)&amp;"_"&amp;LEFT(Totals!F157,1)&amp;"_"&amp;LEFT(G157,1)&amp;"_"&amp;COUNTIF($G$3:G157,G157)</f>
        <v>#N/A</v>
      </c>
      <c r="C157" s="432">
        <v>2024</v>
      </c>
      <c r="D157" s="432">
        <f>Introduction!$D$7</f>
        <v>0</v>
      </c>
      <c r="E157" s="432">
        <f>Introduction!$D$8</f>
        <v>0</v>
      </c>
      <c r="F157" s="432" t="s">
        <v>1108</v>
      </c>
      <c r="G157" s="432" t="s">
        <v>1109</v>
      </c>
      <c r="H157" s="433"/>
      <c r="I157" s="432">
        <f>Fleet!B31</f>
        <v>0</v>
      </c>
      <c r="J157" s="432">
        <f>Fleet!C31</f>
        <v>0</v>
      </c>
      <c r="K157" s="432">
        <f>Fleet!D31</f>
        <v>0</v>
      </c>
      <c r="L157" s="432">
        <f>Fleet!E31</f>
        <v>0</v>
      </c>
      <c r="M157" s="432" t="str">
        <f>Fleet!F31</f>
        <v/>
      </c>
      <c r="N157" s="432">
        <f>Fleet!G31</f>
        <v>0</v>
      </c>
      <c r="O157" s="432">
        <f>Fleet!H31</f>
        <v>0</v>
      </c>
      <c r="P157" s="432" t="str">
        <f>Fleet!I31</f>
        <v/>
      </c>
      <c r="Q157" s="432" t="str">
        <f>Fleet!J31</f>
        <v/>
      </c>
      <c r="R157" s="432" t="str">
        <f>Fleet!K31</f>
        <v/>
      </c>
      <c r="S157" s="432" t="str">
        <f>Fleet!L31</f>
        <v/>
      </c>
      <c r="T157" s="432">
        <f>Fleet!M31</f>
        <v>0</v>
      </c>
      <c r="U157" s="432">
        <f>Fleet!N31</f>
        <v>0</v>
      </c>
      <c r="V157" s="432" t="str">
        <f>Fleet!O31</f>
        <v/>
      </c>
      <c r="W157" s="432" t="str">
        <f>Fleet!P31</f>
        <v/>
      </c>
      <c r="X157" s="432" t="str">
        <f>Fleet!Q31</f>
        <v/>
      </c>
      <c r="Y157" s="432" t="str">
        <f>Fleet!R31</f>
        <v/>
      </c>
      <c r="Z157" s="432" t="str">
        <f>Fleet!S31</f>
        <v/>
      </c>
      <c r="AA157" s="432" t="str">
        <f>Fleet!T31</f>
        <v/>
      </c>
      <c r="AB157" s="432" t="str">
        <f>Fleet!U31</f>
        <v/>
      </c>
      <c r="AC157" s="432" t="str">
        <f>Fleet!V31</f>
        <v/>
      </c>
      <c r="AE157" s="432">
        <f t="shared" si="4"/>
        <v>0</v>
      </c>
      <c r="AF157" s="432">
        <f t="shared" si="5"/>
        <v>0</v>
      </c>
    </row>
    <row r="158" spans="2:32" x14ac:dyDescent="0.35">
      <c r="B158" s="432" t="e">
        <f>"2024"&amp;MATCH(Totals!D158,OrgType,0)&amp;"_"&amp;MATCH(Totals!E158,Organisations,0)&amp;"_"&amp;LEFT(Totals!F158,1)&amp;"_"&amp;LEFT(G158,1)&amp;"_"&amp;COUNTIF($G$3:G158,G158)</f>
        <v>#N/A</v>
      </c>
      <c r="C158" s="432">
        <v>2024</v>
      </c>
      <c r="D158" s="432">
        <f>Introduction!$D$7</f>
        <v>0</v>
      </c>
      <c r="E158" s="432">
        <f>Introduction!$D$8</f>
        <v>0</v>
      </c>
      <c r="F158" s="432" t="s">
        <v>1108</v>
      </c>
      <c r="G158" s="432" t="s">
        <v>1109</v>
      </c>
      <c r="H158" s="433"/>
      <c r="I158" s="432">
        <f>Fleet!B32</f>
        <v>0</v>
      </c>
      <c r="J158" s="432">
        <f>Fleet!C32</f>
        <v>0</v>
      </c>
      <c r="K158" s="432">
        <f>Fleet!D32</f>
        <v>0</v>
      </c>
      <c r="L158" s="432">
        <f>Fleet!E32</f>
        <v>0</v>
      </c>
      <c r="M158" s="432" t="str">
        <f>Fleet!F32</f>
        <v/>
      </c>
      <c r="N158" s="432">
        <f>Fleet!G32</f>
        <v>0</v>
      </c>
      <c r="O158" s="432">
        <f>Fleet!H32</f>
        <v>0</v>
      </c>
      <c r="P158" s="432" t="str">
        <f>Fleet!I32</f>
        <v/>
      </c>
      <c r="Q158" s="432" t="str">
        <f>Fleet!J32</f>
        <v/>
      </c>
      <c r="R158" s="432" t="str">
        <f>Fleet!K32</f>
        <v/>
      </c>
      <c r="S158" s="432" t="str">
        <f>Fleet!L32</f>
        <v/>
      </c>
      <c r="T158" s="432">
        <f>Fleet!M32</f>
        <v>0</v>
      </c>
      <c r="U158" s="432">
        <f>Fleet!N32</f>
        <v>0</v>
      </c>
      <c r="V158" s="432" t="str">
        <f>Fleet!O32</f>
        <v/>
      </c>
      <c r="W158" s="432" t="str">
        <f>Fleet!P32</f>
        <v/>
      </c>
      <c r="X158" s="432" t="str">
        <f>Fleet!Q32</f>
        <v/>
      </c>
      <c r="Y158" s="432" t="str">
        <f>Fleet!R32</f>
        <v/>
      </c>
      <c r="Z158" s="432" t="str">
        <f>Fleet!S32</f>
        <v/>
      </c>
      <c r="AA158" s="432" t="str">
        <f>Fleet!T32</f>
        <v/>
      </c>
      <c r="AB158" s="432" t="str">
        <f>Fleet!U32</f>
        <v/>
      </c>
      <c r="AC158" s="432" t="str">
        <f>Fleet!V32</f>
        <v/>
      </c>
      <c r="AE158" s="432">
        <f t="shared" ref="AE158:AE166" si="8">IF(AND(R158="",N158&lt;&gt;0),1,0)</f>
        <v>0</v>
      </c>
      <c r="AF158" s="432">
        <f t="shared" ref="AF158:AF166" si="9">IF(AND(S158="",N158&lt;&gt;0),1,0)</f>
        <v>0</v>
      </c>
    </row>
    <row r="159" spans="2:32" x14ac:dyDescent="0.35">
      <c r="B159" s="432" t="e">
        <f>"2024"&amp;MATCH(Totals!D159,OrgType,0)&amp;"_"&amp;MATCH(Totals!E159,Organisations,0)&amp;"_"&amp;LEFT(Totals!F159,1)&amp;"_"&amp;LEFT(G159,1)&amp;"_"&amp;COUNTIF($G$3:G159,G159)</f>
        <v>#N/A</v>
      </c>
      <c r="C159" s="432">
        <v>2024</v>
      </c>
      <c r="D159" s="432">
        <f>Introduction!$D$7</f>
        <v>0</v>
      </c>
      <c r="E159" s="432">
        <f>Introduction!$D$8</f>
        <v>0</v>
      </c>
      <c r="F159" s="432" t="s">
        <v>1108</v>
      </c>
      <c r="G159" s="432" t="s">
        <v>1109</v>
      </c>
      <c r="H159" s="433"/>
      <c r="I159" s="432">
        <f>Fleet!B33</f>
        <v>0</v>
      </c>
      <c r="J159" s="432">
        <f>Fleet!C33</f>
        <v>0</v>
      </c>
      <c r="K159" s="432">
        <f>Fleet!D33</f>
        <v>0</v>
      </c>
      <c r="L159" s="432">
        <f>Fleet!E33</f>
        <v>0</v>
      </c>
      <c r="M159" s="432" t="str">
        <f>Fleet!F33</f>
        <v/>
      </c>
      <c r="N159" s="432">
        <f>Fleet!G33</f>
        <v>0</v>
      </c>
      <c r="O159" s="432">
        <f>Fleet!H33</f>
        <v>0</v>
      </c>
      <c r="P159" s="432" t="str">
        <f>Fleet!I33</f>
        <v/>
      </c>
      <c r="Q159" s="432" t="str">
        <f>Fleet!J33</f>
        <v/>
      </c>
      <c r="R159" s="432" t="str">
        <f>Fleet!K33</f>
        <v/>
      </c>
      <c r="S159" s="432" t="str">
        <f>Fleet!L33</f>
        <v/>
      </c>
      <c r="T159" s="432">
        <f>Fleet!M33</f>
        <v>0</v>
      </c>
      <c r="U159" s="432">
        <f>Fleet!N33</f>
        <v>0</v>
      </c>
      <c r="V159" s="432" t="str">
        <f>Fleet!O33</f>
        <v/>
      </c>
      <c r="W159" s="432" t="str">
        <f>Fleet!P33</f>
        <v/>
      </c>
      <c r="X159" s="432" t="str">
        <f>Fleet!Q33</f>
        <v/>
      </c>
      <c r="Y159" s="432" t="str">
        <f>Fleet!R33</f>
        <v/>
      </c>
      <c r="Z159" s="432" t="str">
        <f>Fleet!S33</f>
        <v/>
      </c>
      <c r="AA159" s="432" t="str">
        <f>Fleet!T33</f>
        <v/>
      </c>
      <c r="AB159" s="432" t="str">
        <f>Fleet!U33</f>
        <v/>
      </c>
      <c r="AC159" s="432" t="str">
        <f>Fleet!V33</f>
        <v/>
      </c>
      <c r="AE159" s="432">
        <f t="shared" si="8"/>
        <v>0</v>
      </c>
      <c r="AF159" s="432">
        <f t="shared" si="9"/>
        <v>0</v>
      </c>
    </row>
    <row r="160" spans="2:32" x14ac:dyDescent="0.35">
      <c r="B160" s="432" t="e">
        <f>"2024"&amp;MATCH(Totals!D160,OrgType,0)&amp;"_"&amp;MATCH(Totals!E160,Organisations,0)&amp;"_"&amp;LEFT(Totals!F160,1)&amp;"_"&amp;LEFT(G160,1)&amp;"_"&amp;COUNTIF($G$3:G160,G160)</f>
        <v>#N/A</v>
      </c>
      <c r="C160" s="432">
        <v>2024</v>
      </c>
      <c r="D160" s="432">
        <f>Introduction!$D$7</f>
        <v>0</v>
      </c>
      <c r="E160" s="432">
        <f>Introduction!$D$8</f>
        <v>0</v>
      </c>
      <c r="F160" s="432" t="s">
        <v>1108</v>
      </c>
      <c r="G160" s="432" t="s">
        <v>1109</v>
      </c>
      <c r="H160" s="433"/>
      <c r="I160" s="432">
        <f>Fleet!B34</f>
        <v>0</v>
      </c>
      <c r="J160" s="432">
        <f>Fleet!C34</f>
        <v>0</v>
      </c>
      <c r="K160" s="432">
        <f>Fleet!D34</f>
        <v>0</v>
      </c>
      <c r="L160" s="432">
        <f>Fleet!E34</f>
        <v>0</v>
      </c>
      <c r="M160" s="432" t="str">
        <f>Fleet!F34</f>
        <v/>
      </c>
      <c r="N160" s="432">
        <f>Fleet!G34</f>
        <v>0</v>
      </c>
      <c r="O160" s="432">
        <f>Fleet!H34</f>
        <v>0</v>
      </c>
      <c r="P160" s="432" t="str">
        <f>Fleet!I34</f>
        <v/>
      </c>
      <c r="Q160" s="432" t="str">
        <f>Fleet!J34</f>
        <v/>
      </c>
      <c r="R160" s="432" t="str">
        <f>Fleet!K34</f>
        <v/>
      </c>
      <c r="S160" s="432" t="str">
        <f>Fleet!L34</f>
        <v/>
      </c>
      <c r="T160" s="432">
        <f>Fleet!M34</f>
        <v>0</v>
      </c>
      <c r="U160" s="432">
        <f>Fleet!N34</f>
        <v>0</v>
      </c>
      <c r="V160" s="432" t="str">
        <f>Fleet!O34</f>
        <v/>
      </c>
      <c r="W160" s="432" t="str">
        <f>Fleet!P34</f>
        <v/>
      </c>
      <c r="X160" s="432" t="str">
        <f>Fleet!Q34</f>
        <v/>
      </c>
      <c r="Y160" s="432" t="str">
        <f>Fleet!R34</f>
        <v/>
      </c>
      <c r="Z160" s="432" t="str">
        <f>Fleet!S34</f>
        <v/>
      </c>
      <c r="AA160" s="432" t="str">
        <f>Fleet!T34</f>
        <v/>
      </c>
      <c r="AB160" s="432" t="str">
        <f>Fleet!U34</f>
        <v/>
      </c>
      <c r="AC160" s="432" t="str">
        <f>Fleet!V34</f>
        <v/>
      </c>
      <c r="AE160" s="432">
        <f t="shared" si="8"/>
        <v>0</v>
      </c>
      <c r="AF160" s="432">
        <f t="shared" si="9"/>
        <v>0</v>
      </c>
    </row>
    <row r="161" spans="2:32" x14ac:dyDescent="0.35">
      <c r="B161" s="432" t="e">
        <f>"2024"&amp;MATCH(Totals!D161,OrgType,0)&amp;"_"&amp;MATCH(Totals!E161,Organisations,0)&amp;"_"&amp;LEFT(Totals!F161,1)&amp;"_"&amp;LEFT(G161,1)&amp;"_"&amp;COUNTIF($G$3:G161,G161)</f>
        <v>#N/A</v>
      </c>
      <c r="C161" s="432">
        <v>2024</v>
      </c>
      <c r="D161" s="432">
        <f>Introduction!$D$7</f>
        <v>0</v>
      </c>
      <c r="E161" s="432">
        <f>Introduction!$D$8</f>
        <v>0</v>
      </c>
      <c r="F161" s="432" t="s">
        <v>1108</v>
      </c>
      <c r="G161" s="432" t="s">
        <v>1109</v>
      </c>
      <c r="H161" s="433"/>
      <c r="I161" s="432">
        <f>Fleet!B35</f>
        <v>0</v>
      </c>
      <c r="J161" s="432">
        <f>Fleet!C35</f>
        <v>0</v>
      </c>
      <c r="K161" s="432">
        <f>Fleet!D35</f>
        <v>0</v>
      </c>
      <c r="L161" s="432">
        <f>Fleet!E35</f>
        <v>0</v>
      </c>
      <c r="M161" s="432" t="str">
        <f>Fleet!F35</f>
        <v/>
      </c>
      <c r="N161" s="432">
        <f>Fleet!G35</f>
        <v>0</v>
      </c>
      <c r="O161" s="432">
        <f>Fleet!H35</f>
        <v>0</v>
      </c>
      <c r="P161" s="432" t="str">
        <f>Fleet!I35</f>
        <v/>
      </c>
      <c r="Q161" s="432" t="str">
        <f>Fleet!J35</f>
        <v/>
      </c>
      <c r="R161" s="432" t="str">
        <f>Fleet!K35</f>
        <v/>
      </c>
      <c r="S161" s="432" t="str">
        <f>Fleet!L35</f>
        <v/>
      </c>
      <c r="T161" s="432">
        <f>Fleet!M35</f>
        <v>0</v>
      </c>
      <c r="U161" s="432">
        <f>Fleet!N35</f>
        <v>0</v>
      </c>
      <c r="V161" s="432" t="str">
        <f>Fleet!O35</f>
        <v/>
      </c>
      <c r="W161" s="432" t="str">
        <f>Fleet!P35</f>
        <v/>
      </c>
      <c r="X161" s="432" t="str">
        <f>Fleet!Q35</f>
        <v/>
      </c>
      <c r="Y161" s="432" t="str">
        <f>Fleet!R35</f>
        <v/>
      </c>
      <c r="Z161" s="432" t="str">
        <f>Fleet!S35</f>
        <v/>
      </c>
      <c r="AA161" s="432" t="str">
        <f>Fleet!T35</f>
        <v/>
      </c>
      <c r="AB161" s="432" t="str">
        <f>Fleet!U35</f>
        <v/>
      </c>
      <c r="AC161" s="432" t="str">
        <f>Fleet!V35</f>
        <v/>
      </c>
      <c r="AE161" s="432">
        <f t="shared" si="8"/>
        <v>0</v>
      </c>
      <c r="AF161" s="432">
        <f t="shared" si="9"/>
        <v>0</v>
      </c>
    </row>
    <row r="162" spans="2:32" x14ac:dyDescent="0.35">
      <c r="B162" s="432" t="e">
        <f>"2024"&amp;MATCH(Totals!D162,OrgType,0)&amp;"_"&amp;MATCH(Totals!E162,Organisations,0)&amp;"_"&amp;LEFT(Totals!F162,1)&amp;"_"&amp;LEFT(G162,1)&amp;"_"&amp;COUNTIF($G$3:G162,G162)</f>
        <v>#N/A</v>
      </c>
      <c r="C162" s="432">
        <v>2024</v>
      </c>
      <c r="D162" s="432">
        <f>Introduction!$D$7</f>
        <v>0</v>
      </c>
      <c r="E162" s="432">
        <f>Introduction!$D$8</f>
        <v>0</v>
      </c>
      <c r="F162" s="432" t="s">
        <v>1108</v>
      </c>
      <c r="G162" s="432" t="s">
        <v>1109</v>
      </c>
      <c r="H162" s="433"/>
      <c r="I162" s="432">
        <f>Fleet!B36</f>
        <v>0</v>
      </c>
      <c r="J162" s="432">
        <f>Fleet!C36</f>
        <v>0</v>
      </c>
      <c r="K162" s="432">
        <f>Fleet!D36</f>
        <v>0</v>
      </c>
      <c r="L162" s="432">
        <f>Fleet!E36</f>
        <v>0</v>
      </c>
      <c r="M162" s="432" t="str">
        <f>Fleet!F36</f>
        <v/>
      </c>
      <c r="N162" s="432">
        <f>Fleet!G36</f>
        <v>0</v>
      </c>
      <c r="O162" s="432">
        <f>Fleet!H36</f>
        <v>0</v>
      </c>
      <c r="P162" s="432" t="str">
        <f>Fleet!I36</f>
        <v/>
      </c>
      <c r="Q162" s="432" t="str">
        <f>Fleet!J36</f>
        <v/>
      </c>
      <c r="R162" s="432" t="str">
        <f>Fleet!K36</f>
        <v/>
      </c>
      <c r="S162" s="432" t="str">
        <f>Fleet!L36</f>
        <v/>
      </c>
      <c r="T162" s="432">
        <f>Fleet!M36</f>
        <v>0</v>
      </c>
      <c r="U162" s="432">
        <f>Fleet!N36</f>
        <v>0</v>
      </c>
      <c r="V162" s="432" t="str">
        <f>Fleet!O36</f>
        <v/>
      </c>
      <c r="W162" s="432" t="str">
        <f>Fleet!P36</f>
        <v/>
      </c>
      <c r="X162" s="432" t="str">
        <f>Fleet!Q36</f>
        <v/>
      </c>
      <c r="Y162" s="432" t="str">
        <f>Fleet!R36</f>
        <v/>
      </c>
      <c r="Z162" s="432" t="str">
        <f>Fleet!S36</f>
        <v/>
      </c>
      <c r="AA162" s="432" t="str">
        <f>Fleet!T36</f>
        <v/>
      </c>
      <c r="AB162" s="432" t="str">
        <f>Fleet!U36</f>
        <v/>
      </c>
      <c r="AC162" s="432" t="str">
        <f>Fleet!V36</f>
        <v/>
      </c>
      <c r="AE162" s="432">
        <f t="shared" si="8"/>
        <v>0</v>
      </c>
      <c r="AF162" s="432">
        <f t="shared" si="9"/>
        <v>0</v>
      </c>
    </row>
    <row r="163" spans="2:32" x14ac:dyDescent="0.35">
      <c r="B163" s="432" t="e">
        <f>"2024"&amp;MATCH(Totals!D163,OrgType,0)&amp;"_"&amp;MATCH(Totals!E163,Organisations,0)&amp;"_"&amp;LEFT(Totals!F163,1)&amp;"_"&amp;LEFT(G163,1)&amp;"_"&amp;COUNTIF($G$3:G163,G163)</f>
        <v>#N/A</v>
      </c>
      <c r="C163" s="432">
        <v>2024</v>
      </c>
      <c r="D163" s="432">
        <f>Introduction!$D$7</f>
        <v>0</v>
      </c>
      <c r="E163" s="432">
        <f>Introduction!$D$8</f>
        <v>0</v>
      </c>
      <c r="F163" s="432" t="s">
        <v>1108</v>
      </c>
      <c r="G163" s="432" t="s">
        <v>1109</v>
      </c>
      <c r="H163" s="433"/>
      <c r="I163" s="432">
        <f>Fleet!B37</f>
        <v>0</v>
      </c>
      <c r="J163" s="432">
        <f>Fleet!C37</f>
        <v>0</v>
      </c>
      <c r="K163" s="432">
        <f>Fleet!D37</f>
        <v>0</v>
      </c>
      <c r="L163" s="432">
        <f>Fleet!E37</f>
        <v>0</v>
      </c>
      <c r="M163" s="432" t="str">
        <f>Fleet!F37</f>
        <v/>
      </c>
      <c r="N163" s="432">
        <f>Fleet!G37</f>
        <v>0</v>
      </c>
      <c r="O163" s="432">
        <f>Fleet!H37</f>
        <v>0</v>
      </c>
      <c r="P163" s="432" t="str">
        <f>Fleet!I37</f>
        <v/>
      </c>
      <c r="Q163" s="432" t="str">
        <f>Fleet!J37</f>
        <v/>
      </c>
      <c r="R163" s="432" t="str">
        <f>Fleet!K37</f>
        <v/>
      </c>
      <c r="S163" s="432" t="str">
        <f>Fleet!L37</f>
        <v/>
      </c>
      <c r="T163" s="432">
        <f>Fleet!M37</f>
        <v>0</v>
      </c>
      <c r="U163" s="432">
        <f>Fleet!N37</f>
        <v>0</v>
      </c>
      <c r="V163" s="432" t="str">
        <f>Fleet!O37</f>
        <v/>
      </c>
      <c r="W163" s="432" t="str">
        <f>Fleet!P37</f>
        <v/>
      </c>
      <c r="X163" s="432" t="str">
        <f>Fleet!Q37</f>
        <v/>
      </c>
      <c r="Y163" s="432" t="str">
        <f>Fleet!R37</f>
        <v/>
      </c>
      <c r="Z163" s="432" t="str">
        <f>Fleet!S37</f>
        <v/>
      </c>
      <c r="AA163" s="432" t="str">
        <f>Fleet!T37</f>
        <v/>
      </c>
      <c r="AB163" s="432" t="str">
        <f>Fleet!U37</f>
        <v/>
      </c>
      <c r="AC163" s="432" t="str">
        <f>Fleet!V37</f>
        <v/>
      </c>
      <c r="AE163" s="432">
        <f t="shared" si="8"/>
        <v>0</v>
      </c>
      <c r="AF163" s="432">
        <f t="shared" si="9"/>
        <v>0</v>
      </c>
    </row>
    <row r="164" spans="2:32" x14ac:dyDescent="0.35">
      <c r="B164" s="432" t="e">
        <f>"2024"&amp;MATCH(Totals!D164,OrgType,0)&amp;"_"&amp;MATCH(Totals!E164,Organisations,0)&amp;"_"&amp;LEFT(Totals!F164,1)&amp;"_"&amp;LEFT(G164,1)&amp;"_"&amp;COUNTIF($G$3:G164,G164)</f>
        <v>#N/A</v>
      </c>
      <c r="C164" s="432">
        <v>2024</v>
      </c>
      <c r="D164" s="432">
        <f>Introduction!$D$7</f>
        <v>0</v>
      </c>
      <c r="E164" s="432">
        <f>Introduction!$D$8</f>
        <v>0</v>
      </c>
      <c r="F164" s="432" t="s">
        <v>1108</v>
      </c>
      <c r="G164" s="432" t="s">
        <v>1109</v>
      </c>
      <c r="H164" s="433"/>
      <c r="I164" s="432">
        <f>Fleet!B38</f>
        <v>0</v>
      </c>
      <c r="J164" s="432">
        <f>Fleet!C38</f>
        <v>0</v>
      </c>
      <c r="K164" s="432">
        <f>Fleet!D38</f>
        <v>0</v>
      </c>
      <c r="L164" s="432">
        <f>Fleet!E38</f>
        <v>0</v>
      </c>
      <c r="M164" s="432" t="str">
        <f>Fleet!F38</f>
        <v/>
      </c>
      <c r="N164" s="432">
        <f>Fleet!G38</f>
        <v>0</v>
      </c>
      <c r="O164" s="432">
        <f>Fleet!H38</f>
        <v>0</v>
      </c>
      <c r="P164" s="432" t="str">
        <f>Fleet!I38</f>
        <v/>
      </c>
      <c r="Q164" s="432" t="str">
        <f>Fleet!J38</f>
        <v/>
      </c>
      <c r="R164" s="432" t="str">
        <f>Fleet!K38</f>
        <v/>
      </c>
      <c r="S164" s="432" t="str">
        <f>Fleet!L38</f>
        <v/>
      </c>
      <c r="T164" s="432">
        <f>Fleet!M38</f>
        <v>0</v>
      </c>
      <c r="U164" s="432">
        <f>Fleet!N38</f>
        <v>0</v>
      </c>
      <c r="V164" s="432" t="str">
        <f>Fleet!O38</f>
        <v/>
      </c>
      <c r="W164" s="432" t="str">
        <f>Fleet!P38</f>
        <v/>
      </c>
      <c r="X164" s="432" t="str">
        <f>Fleet!Q38</f>
        <v/>
      </c>
      <c r="Y164" s="432" t="str">
        <f>Fleet!R38</f>
        <v/>
      </c>
      <c r="Z164" s="432" t="str">
        <f>Fleet!S38</f>
        <v/>
      </c>
      <c r="AA164" s="432" t="str">
        <f>Fleet!T38</f>
        <v/>
      </c>
      <c r="AB164" s="432" t="str">
        <f>Fleet!U38</f>
        <v/>
      </c>
      <c r="AC164" s="432" t="str">
        <f>Fleet!V38</f>
        <v/>
      </c>
      <c r="AE164" s="432">
        <f t="shared" si="8"/>
        <v>0</v>
      </c>
      <c r="AF164" s="432">
        <f t="shared" si="9"/>
        <v>0</v>
      </c>
    </row>
    <row r="165" spans="2:32" x14ac:dyDescent="0.35">
      <c r="B165" s="432" t="e">
        <f>"2024"&amp;MATCH(Totals!D165,OrgType,0)&amp;"_"&amp;MATCH(Totals!E165,Organisations,0)&amp;"_"&amp;LEFT(Totals!F165,1)&amp;"_"&amp;LEFT(G165,1)&amp;"_"&amp;COUNTIF($G$3:G165,G165)</f>
        <v>#N/A</v>
      </c>
      <c r="C165" s="432">
        <v>2024</v>
      </c>
      <c r="D165" s="432">
        <f>Introduction!$D$7</f>
        <v>0</v>
      </c>
      <c r="E165" s="432">
        <f>Introduction!$D$8</f>
        <v>0</v>
      </c>
      <c r="F165" s="432" t="s">
        <v>1108</v>
      </c>
      <c r="G165" s="432" t="s">
        <v>1109</v>
      </c>
      <c r="H165" s="433"/>
      <c r="I165" s="432">
        <f>Fleet!B39</f>
        <v>0</v>
      </c>
      <c r="J165" s="432">
        <f>Fleet!C39</f>
        <v>0</v>
      </c>
      <c r="K165" s="432">
        <f>Fleet!D39</f>
        <v>0</v>
      </c>
      <c r="L165" s="432">
        <f>Fleet!E39</f>
        <v>0</v>
      </c>
      <c r="M165" s="432" t="str">
        <f>Fleet!F39</f>
        <v/>
      </c>
      <c r="N165" s="432">
        <f>Fleet!G39</f>
        <v>0</v>
      </c>
      <c r="O165" s="432">
        <f>Fleet!H39</f>
        <v>0</v>
      </c>
      <c r="P165" s="432" t="str">
        <f>Fleet!I39</f>
        <v/>
      </c>
      <c r="Q165" s="432" t="str">
        <f>Fleet!J39</f>
        <v/>
      </c>
      <c r="R165" s="432" t="str">
        <f>Fleet!K39</f>
        <v/>
      </c>
      <c r="S165" s="432" t="str">
        <f>Fleet!L39</f>
        <v/>
      </c>
      <c r="T165" s="432">
        <f>Fleet!M39</f>
        <v>0</v>
      </c>
      <c r="U165" s="432">
        <f>Fleet!N39</f>
        <v>0</v>
      </c>
      <c r="V165" s="432" t="str">
        <f>Fleet!O39</f>
        <v/>
      </c>
      <c r="W165" s="432" t="str">
        <f>Fleet!P39</f>
        <v/>
      </c>
      <c r="X165" s="432" t="str">
        <f>Fleet!Q39</f>
        <v/>
      </c>
      <c r="Y165" s="432" t="str">
        <f>Fleet!R39</f>
        <v/>
      </c>
      <c r="Z165" s="432" t="str">
        <f>Fleet!S39</f>
        <v/>
      </c>
      <c r="AA165" s="432" t="str">
        <f>Fleet!T39</f>
        <v/>
      </c>
      <c r="AB165" s="432" t="str">
        <f>Fleet!U39</f>
        <v/>
      </c>
      <c r="AC165" s="432" t="str">
        <f>Fleet!V39</f>
        <v/>
      </c>
      <c r="AE165" s="432">
        <f t="shared" si="8"/>
        <v>0</v>
      </c>
      <c r="AF165" s="432">
        <f t="shared" si="9"/>
        <v>0</v>
      </c>
    </row>
    <row r="166" spans="2:32" x14ac:dyDescent="0.35">
      <c r="B166" s="432" t="e">
        <f>"2024"&amp;MATCH(Totals!D166,OrgType,0)&amp;"_"&amp;MATCH(Totals!E166,Organisations,0)&amp;"_"&amp;LEFT(Totals!F166,1)&amp;"_"&amp;LEFT(G166,1)&amp;"_"&amp;COUNTIF($G$3:G166,G166)</f>
        <v>#N/A</v>
      </c>
      <c r="C166" s="432">
        <v>2024</v>
      </c>
      <c r="D166" s="432">
        <f>Introduction!$D$7</f>
        <v>0</v>
      </c>
      <c r="E166" s="432">
        <f>Introduction!$D$8</f>
        <v>0</v>
      </c>
      <c r="F166" s="432" t="s">
        <v>1108</v>
      </c>
      <c r="G166" s="432" t="s">
        <v>1109</v>
      </c>
      <c r="H166" s="433"/>
      <c r="I166" s="432">
        <f>Fleet!B40</f>
        <v>0</v>
      </c>
      <c r="J166" s="432">
        <f>Fleet!C40</f>
        <v>0</v>
      </c>
      <c r="K166" s="432">
        <f>Fleet!D40</f>
        <v>0</v>
      </c>
      <c r="L166" s="432">
        <f>Fleet!E40</f>
        <v>0</v>
      </c>
      <c r="M166" s="432" t="str">
        <f>Fleet!F40</f>
        <v/>
      </c>
      <c r="N166" s="432">
        <f>Fleet!G40</f>
        <v>0</v>
      </c>
      <c r="O166" s="432">
        <f>Fleet!H40</f>
        <v>0</v>
      </c>
      <c r="P166" s="432" t="str">
        <f>Fleet!I40</f>
        <v/>
      </c>
      <c r="Q166" s="432" t="str">
        <f>Fleet!J40</f>
        <v/>
      </c>
      <c r="R166" s="432" t="str">
        <f>Fleet!K40</f>
        <v/>
      </c>
      <c r="S166" s="432" t="str">
        <f>Fleet!L40</f>
        <v/>
      </c>
      <c r="T166" s="432">
        <f>Fleet!M40</f>
        <v>0</v>
      </c>
      <c r="U166" s="432">
        <f>Fleet!N40</f>
        <v>0</v>
      </c>
      <c r="V166" s="432" t="str">
        <f>Fleet!O40</f>
        <v/>
      </c>
      <c r="W166" s="432" t="str">
        <f>Fleet!P40</f>
        <v/>
      </c>
      <c r="X166" s="432" t="str">
        <f>Fleet!Q40</f>
        <v/>
      </c>
      <c r="Y166" s="432" t="str">
        <f>Fleet!R40</f>
        <v/>
      </c>
      <c r="Z166" s="432" t="str">
        <f>Fleet!S40</f>
        <v/>
      </c>
      <c r="AA166" s="432" t="str">
        <f>Fleet!T40</f>
        <v/>
      </c>
      <c r="AB166" s="432" t="str">
        <f>Fleet!U40</f>
        <v/>
      </c>
      <c r="AC166" s="432" t="str">
        <f>Fleet!V40</f>
        <v/>
      </c>
      <c r="AE166" s="432">
        <f t="shared" si="8"/>
        <v>0</v>
      </c>
      <c r="AF166" s="432">
        <f t="shared" si="9"/>
        <v>0</v>
      </c>
    </row>
    <row r="167" spans="2:32" x14ac:dyDescent="0.35">
      <c r="B167" s="432" t="e">
        <f>"2024"&amp;MATCH(Totals!D167,OrgType,0)&amp;"_"&amp;MATCH(Totals!E167,Organisations,0)&amp;"_"&amp;LEFT(Totals!F167,1)&amp;"_"&amp;LEFT(G167,1)&amp;"_"&amp;COUNTIF($G$3:G167,G167)</f>
        <v>#N/A</v>
      </c>
      <c r="C167" s="432">
        <v>2024</v>
      </c>
      <c r="D167" s="432">
        <f>Introduction!$D$7</f>
        <v>0</v>
      </c>
      <c r="E167" s="432">
        <f>Introduction!$D$8</f>
        <v>0</v>
      </c>
      <c r="F167" s="432" t="s">
        <v>1108</v>
      </c>
      <c r="G167" s="432" t="s">
        <v>1109</v>
      </c>
      <c r="H167" s="433"/>
      <c r="I167" s="432">
        <f>Fleet!B41</f>
        <v>0</v>
      </c>
      <c r="J167" s="432">
        <f>Fleet!C41</f>
        <v>0</v>
      </c>
      <c r="K167" s="432">
        <f>Fleet!D41</f>
        <v>0</v>
      </c>
      <c r="L167" s="432">
        <f>Fleet!E41</f>
        <v>0</v>
      </c>
      <c r="M167" s="432" t="str">
        <f>Fleet!F41</f>
        <v/>
      </c>
      <c r="N167" s="432">
        <f>Fleet!G41</f>
        <v>0</v>
      </c>
      <c r="O167" s="432">
        <f>Fleet!H41</f>
        <v>0</v>
      </c>
      <c r="P167" s="432" t="str">
        <f>Fleet!I41</f>
        <v/>
      </c>
      <c r="Q167" s="432" t="str">
        <f>Fleet!J41</f>
        <v/>
      </c>
      <c r="R167" s="432" t="str">
        <f>Fleet!K41</f>
        <v/>
      </c>
      <c r="S167" s="432" t="str">
        <f>Fleet!L41</f>
        <v/>
      </c>
      <c r="T167" s="432">
        <f>Fleet!M41</f>
        <v>0</v>
      </c>
      <c r="U167" s="432">
        <f>Fleet!N41</f>
        <v>0</v>
      </c>
      <c r="V167" s="432" t="str">
        <f>Fleet!O41</f>
        <v/>
      </c>
      <c r="W167" s="432" t="str">
        <f>Fleet!P41</f>
        <v/>
      </c>
      <c r="X167" s="432" t="str">
        <f>Fleet!Q41</f>
        <v/>
      </c>
      <c r="Y167" s="432" t="str">
        <f>Fleet!R41</f>
        <v/>
      </c>
      <c r="Z167" s="432" t="str">
        <f>Fleet!S41</f>
        <v/>
      </c>
      <c r="AA167" s="432" t="str">
        <f>Fleet!T41</f>
        <v/>
      </c>
      <c r="AB167" s="432" t="str">
        <f>Fleet!U41</f>
        <v/>
      </c>
      <c r="AC167" s="432" t="str">
        <f>Fleet!V41</f>
        <v/>
      </c>
      <c r="AE167" s="432">
        <f t="shared" si="4"/>
        <v>0</v>
      </c>
      <c r="AF167" s="432">
        <f t="shared" si="5"/>
        <v>0</v>
      </c>
    </row>
    <row r="168" spans="2:32" x14ac:dyDescent="0.35">
      <c r="B168" s="432" t="e">
        <f>"2024"&amp;MATCH(Totals!D168,OrgType,0)&amp;"_"&amp;MATCH(Totals!E168,Organisations,0)&amp;"_"&amp;LEFT(Totals!F168,1)&amp;"_"&amp;LEFT(G168,1)&amp;"_"&amp;COUNTIF($G$3:G168,G168)</f>
        <v>#N/A</v>
      </c>
      <c r="C168" s="432">
        <v>2024</v>
      </c>
      <c r="D168" s="432">
        <f>Introduction!$D$7</f>
        <v>0</v>
      </c>
      <c r="E168" s="432">
        <f>Introduction!$D$8</f>
        <v>0</v>
      </c>
      <c r="F168" s="432" t="s">
        <v>1108</v>
      </c>
      <c r="G168" s="432" t="s">
        <v>1109</v>
      </c>
      <c r="H168" s="433"/>
      <c r="I168" s="432">
        <f>Fleet!B42</f>
        <v>0</v>
      </c>
      <c r="J168" s="432">
        <f>Fleet!C42</f>
        <v>0</v>
      </c>
      <c r="K168" s="432">
        <f>Fleet!D42</f>
        <v>0</v>
      </c>
      <c r="L168" s="432">
        <f>Fleet!E42</f>
        <v>0</v>
      </c>
      <c r="M168" s="432" t="str">
        <f>Fleet!F42</f>
        <v/>
      </c>
      <c r="N168" s="432">
        <f>Fleet!G42</f>
        <v>0</v>
      </c>
      <c r="O168" s="432">
        <f>Fleet!H42</f>
        <v>0</v>
      </c>
      <c r="P168" s="432" t="str">
        <f>Fleet!I42</f>
        <v/>
      </c>
      <c r="Q168" s="432" t="str">
        <f>Fleet!J42</f>
        <v/>
      </c>
      <c r="R168" s="432" t="str">
        <f>Fleet!K42</f>
        <v/>
      </c>
      <c r="S168" s="432" t="str">
        <f>Fleet!L42</f>
        <v/>
      </c>
      <c r="T168" s="432">
        <f>Fleet!M42</f>
        <v>0</v>
      </c>
      <c r="U168" s="432">
        <f>Fleet!N42</f>
        <v>0</v>
      </c>
      <c r="V168" s="432" t="str">
        <f>Fleet!O42</f>
        <v/>
      </c>
      <c r="W168" s="432" t="str">
        <f>Fleet!P42</f>
        <v/>
      </c>
      <c r="X168" s="432" t="str">
        <f>Fleet!Q42</f>
        <v/>
      </c>
      <c r="Y168" s="432" t="str">
        <f>Fleet!R42</f>
        <v/>
      </c>
      <c r="Z168" s="432" t="str">
        <f>Fleet!S42</f>
        <v/>
      </c>
      <c r="AA168" s="432" t="str">
        <f>Fleet!T42</f>
        <v/>
      </c>
      <c r="AB168" s="432" t="str">
        <f>Fleet!U42</f>
        <v/>
      </c>
      <c r="AC168" s="432" t="str">
        <f>Fleet!V42</f>
        <v/>
      </c>
      <c r="AE168" s="432">
        <f t="shared" si="4"/>
        <v>0</v>
      </c>
      <c r="AF168" s="432">
        <f t="shared" si="5"/>
        <v>0</v>
      </c>
    </row>
    <row r="169" spans="2:32" x14ac:dyDescent="0.35">
      <c r="B169" s="432" t="e">
        <f>"2024"&amp;MATCH(Totals!D169,OrgType,0)&amp;"_"&amp;MATCH(Totals!E169,Organisations,0)&amp;"_"&amp;LEFT(Totals!F169,1)&amp;"_"&amp;LEFT(G169,1)&amp;"_"&amp;COUNTIF($G$3:G169,G169)</f>
        <v>#N/A</v>
      </c>
      <c r="C169" s="432">
        <v>2024</v>
      </c>
      <c r="D169" s="432">
        <f>Introduction!$D$7</f>
        <v>0</v>
      </c>
      <c r="E169" s="432">
        <f>Introduction!$D$8</f>
        <v>0</v>
      </c>
      <c r="F169" s="432" t="s">
        <v>1108</v>
      </c>
      <c r="G169" s="432" t="s">
        <v>1109</v>
      </c>
      <c r="H169" s="433"/>
      <c r="I169" s="432">
        <f>Fleet!B43</f>
        <v>0</v>
      </c>
      <c r="J169" s="432">
        <f>Fleet!C43</f>
        <v>0</v>
      </c>
      <c r="K169" s="432">
        <f>Fleet!D43</f>
        <v>0</v>
      </c>
      <c r="L169" s="432">
        <f>Fleet!E43</f>
        <v>0</v>
      </c>
      <c r="M169" s="432" t="str">
        <f>Fleet!F43</f>
        <v/>
      </c>
      <c r="N169" s="432">
        <f>Fleet!G43</f>
        <v>0</v>
      </c>
      <c r="O169" s="432">
        <f>Fleet!H43</f>
        <v>0</v>
      </c>
      <c r="P169" s="432" t="str">
        <f>Fleet!I43</f>
        <v/>
      </c>
      <c r="Q169" s="432" t="str">
        <f>Fleet!J43</f>
        <v/>
      </c>
      <c r="R169" s="432" t="str">
        <f>Fleet!K43</f>
        <v/>
      </c>
      <c r="S169" s="432" t="str">
        <f>Fleet!L43</f>
        <v/>
      </c>
      <c r="T169" s="432">
        <f>Fleet!M43</f>
        <v>0</v>
      </c>
      <c r="U169" s="432">
        <f>Fleet!N43</f>
        <v>0</v>
      </c>
      <c r="V169" s="432" t="str">
        <f>Fleet!O43</f>
        <v/>
      </c>
      <c r="W169" s="432" t="str">
        <f>Fleet!P43</f>
        <v/>
      </c>
      <c r="X169" s="432" t="str">
        <f>Fleet!Q43</f>
        <v/>
      </c>
      <c r="Y169" s="432" t="str">
        <f>Fleet!R43</f>
        <v/>
      </c>
      <c r="Z169" s="432" t="str">
        <f>Fleet!S43</f>
        <v/>
      </c>
      <c r="AA169" s="432" t="str">
        <f>Fleet!T43</f>
        <v/>
      </c>
      <c r="AB169" s="432" t="str">
        <f>Fleet!U43</f>
        <v/>
      </c>
      <c r="AC169" s="432" t="str">
        <f>Fleet!V43</f>
        <v/>
      </c>
      <c r="AE169" s="432">
        <f t="shared" si="4"/>
        <v>0</v>
      </c>
      <c r="AF169" s="432">
        <f t="shared" si="5"/>
        <v>0</v>
      </c>
    </row>
    <row r="170" spans="2:32" x14ac:dyDescent="0.35">
      <c r="B170" s="432" t="e">
        <f>"2024"&amp;MATCH(Totals!D170,OrgType,0)&amp;"_"&amp;MATCH(Totals!E170,Organisations,0)&amp;"_"&amp;LEFT(Totals!F170,1)&amp;"_"&amp;LEFT(G170,1)&amp;"_"&amp;COUNTIF($G$3:G170,G170)</f>
        <v>#N/A</v>
      </c>
      <c r="C170" s="432">
        <v>2024</v>
      </c>
      <c r="D170" s="432">
        <f>Introduction!$D$7</f>
        <v>0</v>
      </c>
      <c r="E170" s="432">
        <f>Introduction!$D$8</f>
        <v>0</v>
      </c>
      <c r="F170" s="432" t="s">
        <v>1108</v>
      </c>
      <c r="G170" s="432" t="s">
        <v>1109</v>
      </c>
      <c r="H170" s="433"/>
      <c r="I170" s="432">
        <f>Fleet!B44</f>
        <v>0</v>
      </c>
      <c r="J170" s="432">
        <f>Fleet!C44</f>
        <v>0</v>
      </c>
      <c r="K170" s="432">
        <f>Fleet!D44</f>
        <v>0</v>
      </c>
      <c r="L170" s="432">
        <f>Fleet!E44</f>
        <v>0</v>
      </c>
      <c r="M170" s="432" t="str">
        <f>Fleet!F44</f>
        <v/>
      </c>
      <c r="N170" s="432">
        <f>Fleet!G44</f>
        <v>0</v>
      </c>
      <c r="O170" s="432">
        <f>Fleet!H44</f>
        <v>0</v>
      </c>
      <c r="P170" s="432" t="str">
        <f>Fleet!I44</f>
        <v/>
      </c>
      <c r="Q170" s="432" t="str">
        <f>Fleet!J44</f>
        <v/>
      </c>
      <c r="R170" s="432" t="str">
        <f>Fleet!K44</f>
        <v/>
      </c>
      <c r="S170" s="432" t="str">
        <f>Fleet!L44</f>
        <v/>
      </c>
      <c r="T170" s="432">
        <f>Fleet!M44</f>
        <v>0</v>
      </c>
      <c r="U170" s="432">
        <f>Fleet!N44</f>
        <v>0</v>
      </c>
      <c r="V170" s="432" t="str">
        <f>Fleet!O44</f>
        <v/>
      </c>
      <c r="W170" s="432" t="str">
        <f>Fleet!P44</f>
        <v/>
      </c>
      <c r="X170" s="432" t="str">
        <f>Fleet!Q44</f>
        <v/>
      </c>
      <c r="Y170" s="432" t="str">
        <f>Fleet!R44</f>
        <v/>
      </c>
      <c r="Z170" s="432" t="str">
        <f>Fleet!S44</f>
        <v/>
      </c>
      <c r="AA170" s="432" t="str">
        <f>Fleet!T44</f>
        <v/>
      </c>
      <c r="AB170" s="432" t="str">
        <f>Fleet!U44</f>
        <v/>
      </c>
      <c r="AC170" s="432" t="str">
        <f>Fleet!V44</f>
        <v/>
      </c>
      <c r="AE170" s="432">
        <f t="shared" si="4"/>
        <v>0</v>
      </c>
      <c r="AF170" s="432">
        <f t="shared" si="5"/>
        <v>0</v>
      </c>
    </row>
    <row r="171" spans="2:32" x14ac:dyDescent="0.35">
      <c r="B171" s="432" t="e">
        <f>"2024"&amp;MATCH(Totals!D171,OrgType,0)&amp;"_"&amp;MATCH(Totals!E171,Organisations,0)&amp;"_"&amp;LEFT(Totals!F171,1)&amp;"_"&amp;LEFT(G171,1)&amp;"_"&amp;COUNTIF($G$3:G171,G171)</f>
        <v>#N/A</v>
      </c>
      <c r="C171" s="432">
        <v>2024</v>
      </c>
      <c r="D171" s="432">
        <f>Introduction!$D$7</f>
        <v>0</v>
      </c>
      <c r="E171" s="432">
        <f>Introduction!$D$8</f>
        <v>0</v>
      </c>
      <c r="F171" s="432" t="s">
        <v>1108</v>
      </c>
      <c r="G171" s="432" t="s">
        <v>1109</v>
      </c>
      <c r="H171" s="433"/>
      <c r="I171" s="432">
        <f>Fleet!B45</f>
        <v>0</v>
      </c>
      <c r="J171" s="432">
        <f>Fleet!C45</f>
        <v>0</v>
      </c>
      <c r="K171" s="432">
        <f>Fleet!D45</f>
        <v>0</v>
      </c>
      <c r="L171" s="432">
        <f>Fleet!E45</f>
        <v>0</v>
      </c>
      <c r="M171" s="432" t="str">
        <f>Fleet!F45</f>
        <v/>
      </c>
      <c r="N171" s="432">
        <f>Fleet!G45</f>
        <v>0</v>
      </c>
      <c r="O171" s="432">
        <f>Fleet!H45</f>
        <v>0</v>
      </c>
      <c r="P171" s="432" t="str">
        <f>Fleet!I45</f>
        <v/>
      </c>
      <c r="Q171" s="432" t="str">
        <f>Fleet!J45</f>
        <v/>
      </c>
      <c r="R171" s="432" t="str">
        <f>Fleet!K45</f>
        <v/>
      </c>
      <c r="S171" s="432" t="str">
        <f>Fleet!L45</f>
        <v/>
      </c>
      <c r="T171" s="432">
        <f>Fleet!M45</f>
        <v>0</v>
      </c>
      <c r="U171" s="432">
        <f>Fleet!N45</f>
        <v>0</v>
      </c>
      <c r="V171" s="432" t="str">
        <f>Fleet!O45</f>
        <v/>
      </c>
      <c r="W171" s="432" t="str">
        <f>Fleet!P45</f>
        <v/>
      </c>
      <c r="X171" s="432" t="str">
        <f>Fleet!Q45</f>
        <v/>
      </c>
      <c r="Y171" s="432" t="str">
        <f>Fleet!R45</f>
        <v/>
      </c>
      <c r="Z171" s="432" t="str">
        <f>Fleet!S45</f>
        <v/>
      </c>
      <c r="AA171" s="432" t="str">
        <f>Fleet!T45</f>
        <v/>
      </c>
      <c r="AB171" s="432" t="str">
        <f>Fleet!U45</f>
        <v/>
      </c>
      <c r="AC171" s="432" t="str">
        <f>Fleet!V45</f>
        <v/>
      </c>
      <c r="AE171" s="432">
        <f t="shared" si="4"/>
        <v>0</v>
      </c>
      <c r="AF171" s="432">
        <f t="shared" si="5"/>
        <v>0</v>
      </c>
    </row>
    <row r="172" spans="2:32" x14ac:dyDescent="0.35">
      <c r="B172" s="432" t="e">
        <f>"2024"&amp;MATCH(Totals!D172,OrgType,0)&amp;"_"&amp;MATCH(Totals!E172,Organisations,0)&amp;"_"&amp;LEFT(Totals!F172,1)&amp;"_"&amp;LEFT(G172,1)&amp;"_"&amp;COUNTIF($G$3:G172,G172)</f>
        <v>#N/A</v>
      </c>
      <c r="C172" s="432">
        <v>2024</v>
      </c>
      <c r="D172" s="432">
        <f>Introduction!$D$7</f>
        <v>0</v>
      </c>
      <c r="E172" s="432">
        <f>Introduction!$D$8</f>
        <v>0</v>
      </c>
      <c r="F172" s="432" t="s">
        <v>1108</v>
      </c>
      <c r="G172" s="432" t="s">
        <v>1109</v>
      </c>
      <c r="H172" s="433"/>
      <c r="I172" s="432">
        <f>Fleet!B46</f>
        <v>0</v>
      </c>
      <c r="J172" s="432">
        <f>Fleet!C46</f>
        <v>0</v>
      </c>
      <c r="K172" s="432">
        <f>Fleet!D46</f>
        <v>0</v>
      </c>
      <c r="L172" s="432">
        <f>Fleet!E46</f>
        <v>0</v>
      </c>
      <c r="M172" s="432" t="str">
        <f>Fleet!F46</f>
        <v/>
      </c>
      <c r="N172" s="432">
        <f>Fleet!G46</f>
        <v>0</v>
      </c>
      <c r="O172" s="432">
        <f>Fleet!H46</f>
        <v>0</v>
      </c>
      <c r="P172" s="432" t="str">
        <f>Fleet!I46</f>
        <v/>
      </c>
      <c r="Q172" s="432" t="str">
        <f>Fleet!J46</f>
        <v/>
      </c>
      <c r="R172" s="432" t="str">
        <f>Fleet!K46</f>
        <v/>
      </c>
      <c r="S172" s="432" t="str">
        <f>Fleet!L46</f>
        <v/>
      </c>
      <c r="T172" s="432">
        <f>Fleet!M46</f>
        <v>0</v>
      </c>
      <c r="U172" s="432">
        <f>Fleet!N46</f>
        <v>0</v>
      </c>
      <c r="V172" s="432" t="str">
        <f>Fleet!O46</f>
        <v/>
      </c>
      <c r="W172" s="432" t="str">
        <f>Fleet!P46</f>
        <v/>
      </c>
      <c r="X172" s="432" t="str">
        <f>Fleet!Q46</f>
        <v/>
      </c>
      <c r="Y172" s="432" t="str">
        <f>Fleet!R46</f>
        <v/>
      </c>
      <c r="Z172" s="432" t="str">
        <f>Fleet!S46</f>
        <v/>
      </c>
      <c r="AA172" s="432" t="str">
        <f>Fleet!T46</f>
        <v/>
      </c>
      <c r="AB172" s="432" t="str">
        <f>Fleet!U46</f>
        <v/>
      </c>
      <c r="AC172" s="432" t="str">
        <f>Fleet!V46</f>
        <v/>
      </c>
      <c r="AE172" s="432">
        <f t="shared" si="4"/>
        <v>0</v>
      </c>
      <c r="AF172" s="432">
        <f t="shared" si="5"/>
        <v>0</v>
      </c>
    </row>
    <row r="173" spans="2:32" x14ac:dyDescent="0.35">
      <c r="B173" s="432" t="e">
        <f>"2024"&amp;MATCH(Totals!D173,OrgType,0)&amp;"_"&amp;MATCH(Totals!E173,Organisations,0)&amp;"_"&amp;LEFT(Totals!F173,1)&amp;"_"&amp;LEFT(G173,1)&amp;"_"&amp;COUNTIF($G$3:G173,G173)</f>
        <v>#N/A</v>
      </c>
      <c r="C173" s="432">
        <v>2024</v>
      </c>
      <c r="D173" s="432">
        <f>Introduction!$D$7</f>
        <v>0</v>
      </c>
      <c r="E173" s="432">
        <f>Introduction!$D$8</f>
        <v>0</v>
      </c>
      <c r="F173" s="432" t="s">
        <v>1108</v>
      </c>
      <c r="G173" s="432" t="s">
        <v>1109</v>
      </c>
      <c r="H173" s="433"/>
      <c r="I173" s="432">
        <f>Fleet!B47</f>
        <v>0</v>
      </c>
      <c r="J173" s="432">
        <f>Fleet!C47</f>
        <v>0</v>
      </c>
      <c r="K173" s="432">
        <f>Fleet!D47</f>
        <v>0</v>
      </c>
      <c r="L173" s="432">
        <f>Fleet!E47</f>
        <v>0</v>
      </c>
      <c r="M173" s="432" t="str">
        <f>Fleet!F47</f>
        <v/>
      </c>
      <c r="N173" s="432">
        <f>Fleet!G47</f>
        <v>0</v>
      </c>
      <c r="O173" s="432">
        <f>Fleet!H47</f>
        <v>0</v>
      </c>
      <c r="P173" s="432" t="str">
        <f>Fleet!I47</f>
        <v/>
      </c>
      <c r="Q173" s="432" t="str">
        <f>Fleet!J47</f>
        <v/>
      </c>
      <c r="R173" s="432" t="str">
        <f>Fleet!K47</f>
        <v/>
      </c>
      <c r="S173" s="432" t="str">
        <f>Fleet!L47</f>
        <v/>
      </c>
      <c r="T173" s="432">
        <f>Fleet!M47</f>
        <v>0</v>
      </c>
      <c r="U173" s="432">
        <f>Fleet!N47</f>
        <v>0</v>
      </c>
      <c r="V173" s="432" t="str">
        <f>Fleet!O47</f>
        <v/>
      </c>
      <c r="W173" s="432" t="str">
        <f>Fleet!P47</f>
        <v/>
      </c>
      <c r="X173" s="432" t="str">
        <f>Fleet!Q47</f>
        <v/>
      </c>
      <c r="Y173" s="432" t="str">
        <f>Fleet!R47</f>
        <v/>
      </c>
      <c r="Z173" s="432" t="str">
        <f>Fleet!S47</f>
        <v/>
      </c>
      <c r="AA173" s="432" t="str">
        <f>Fleet!T47</f>
        <v/>
      </c>
      <c r="AB173" s="432" t="str">
        <f>Fleet!U47</f>
        <v/>
      </c>
      <c r="AC173" s="432" t="str">
        <f>Fleet!V47</f>
        <v/>
      </c>
      <c r="AE173" s="432">
        <f t="shared" si="4"/>
        <v>0</v>
      </c>
      <c r="AF173" s="432">
        <f t="shared" si="5"/>
        <v>0</v>
      </c>
    </row>
    <row r="174" spans="2:32" x14ac:dyDescent="0.35">
      <c r="B174" s="432" t="e">
        <f>"2024"&amp;MATCH(Totals!D174,OrgType,0)&amp;"_"&amp;MATCH(Totals!E174,Organisations,0)&amp;"_"&amp;LEFT(Totals!F174,1)&amp;"_"&amp;LEFT(G174,1)&amp;"_"&amp;COUNTIF($G$3:G174,G174)</f>
        <v>#N/A</v>
      </c>
      <c r="C174" s="432">
        <v>2024</v>
      </c>
      <c r="D174" s="432">
        <f>Introduction!$D$7</f>
        <v>0</v>
      </c>
      <c r="E174" s="432">
        <f>Introduction!$D$8</f>
        <v>0</v>
      </c>
      <c r="F174" s="432" t="s">
        <v>1108</v>
      </c>
      <c r="G174" s="432" t="s">
        <v>1109</v>
      </c>
      <c r="H174" s="433"/>
      <c r="I174" s="432">
        <f>Fleet!B48</f>
        <v>0</v>
      </c>
      <c r="J174" s="432">
        <f>Fleet!C48</f>
        <v>0</v>
      </c>
      <c r="K174" s="432">
        <f>Fleet!D48</f>
        <v>0</v>
      </c>
      <c r="L174" s="432">
        <f>Fleet!E48</f>
        <v>0</v>
      </c>
      <c r="M174" s="432" t="str">
        <f>Fleet!F48</f>
        <v/>
      </c>
      <c r="N174" s="432">
        <f>Fleet!G48</f>
        <v>0</v>
      </c>
      <c r="O174" s="432">
        <f>Fleet!H48</f>
        <v>0</v>
      </c>
      <c r="P174" s="432" t="str">
        <f>Fleet!I48</f>
        <v/>
      </c>
      <c r="Q174" s="432" t="str">
        <f>Fleet!J48</f>
        <v/>
      </c>
      <c r="R174" s="432" t="str">
        <f>Fleet!K48</f>
        <v/>
      </c>
      <c r="S174" s="432" t="str">
        <f>Fleet!L48</f>
        <v/>
      </c>
      <c r="T174" s="432">
        <f>Fleet!M48</f>
        <v>0</v>
      </c>
      <c r="U174" s="432">
        <f>Fleet!N48</f>
        <v>0</v>
      </c>
      <c r="V174" s="432" t="str">
        <f>Fleet!O48</f>
        <v/>
      </c>
      <c r="W174" s="432" t="str">
        <f>Fleet!P48</f>
        <v/>
      </c>
      <c r="X174" s="432" t="str">
        <f>Fleet!Q48</f>
        <v/>
      </c>
      <c r="Y174" s="432" t="str">
        <f>Fleet!R48</f>
        <v/>
      </c>
      <c r="Z174" s="432" t="str">
        <f>Fleet!S48</f>
        <v/>
      </c>
      <c r="AA174" s="432" t="str">
        <f>Fleet!T48</f>
        <v/>
      </c>
      <c r="AB174" s="432" t="str">
        <f>Fleet!U48</f>
        <v/>
      </c>
      <c r="AC174" s="432" t="str">
        <f>Fleet!V48</f>
        <v/>
      </c>
      <c r="AE174" s="432">
        <f t="shared" si="4"/>
        <v>0</v>
      </c>
      <c r="AF174" s="432">
        <f t="shared" si="5"/>
        <v>0</v>
      </c>
    </row>
    <row r="175" spans="2:32" x14ac:dyDescent="0.35">
      <c r="B175" s="432" t="e">
        <f>"2024"&amp;MATCH(Totals!D175,OrgType,0)&amp;"_"&amp;MATCH(Totals!E175,Organisations,0)&amp;"_"&amp;LEFT(Totals!F175,1)&amp;"_"&amp;LEFT(G175,1)&amp;"_"&amp;COUNTIF($G$3:G175,G175)</f>
        <v>#N/A</v>
      </c>
      <c r="C175" s="432">
        <v>2024</v>
      </c>
      <c r="D175" s="432">
        <f>Introduction!$D$7</f>
        <v>0</v>
      </c>
      <c r="E175" s="432">
        <f>Introduction!$D$8</f>
        <v>0</v>
      </c>
      <c r="F175" s="432" t="s">
        <v>1108</v>
      </c>
      <c r="G175" s="432" t="s">
        <v>1109</v>
      </c>
      <c r="H175" s="433"/>
      <c r="I175" s="432">
        <f>Fleet!B49</f>
        <v>0</v>
      </c>
      <c r="J175" s="432">
        <f>Fleet!C49</f>
        <v>0</v>
      </c>
      <c r="K175" s="432">
        <f>Fleet!D49</f>
        <v>0</v>
      </c>
      <c r="L175" s="432">
        <f>Fleet!E49</f>
        <v>0</v>
      </c>
      <c r="M175" s="432" t="str">
        <f>Fleet!F49</f>
        <v/>
      </c>
      <c r="N175" s="432">
        <f>Fleet!G49</f>
        <v>0</v>
      </c>
      <c r="O175" s="432">
        <f>Fleet!H49</f>
        <v>0</v>
      </c>
      <c r="P175" s="432" t="str">
        <f>Fleet!I49</f>
        <v/>
      </c>
      <c r="Q175" s="432" t="str">
        <f>Fleet!J49</f>
        <v/>
      </c>
      <c r="R175" s="432" t="str">
        <f>Fleet!K49</f>
        <v/>
      </c>
      <c r="S175" s="432" t="str">
        <f>Fleet!L49</f>
        <v/>
      </c>
      <c r="T175" s="432">
        <f>Fleet!M49</f>
        <v>0</v>
      </c>
      <c r="U175" s="432">
        <f>Fleet!N49</f>
        <v>0</v>
      </c>
      <c r="V175" s="432" t="str">
        <f>Fleet!O49</f>
        <v/>
      </c>
      <c r="W175" s="432" t="str">
        <f>Fleet!P49</f>
        <v/>
      </c>
      <c r="X175" s="432" t="str">
        <f>Fleet!Q49</f>
        <v/>
      </c>
      <c r="Y175" s="432" t="str">
        <f>Fleet!R49</f>
        <v/>
      </c>
      <c r="Z175" s="432" t="str">
        <f>Fleet!S49</f>
        <v/>
      </c>
      <c r="AA175" s="432" t="str">
        <f>Fleet!T49</f>
        <v/>
      </c>
      <c r="AB175" s="432" t="str">
        <f>Fleet!U49</f>
        <v/>
      </c>
      <c r="AC175" s="432" t="str">
        <f>Fleet!V49</f>
        <v/>
      </c>
      <c r="AE175" s="432">
        <f t="shared" si="4"/>
        <v>0</v>
      </c>
      <c r="AF175" s="432">
        <f t="shared" si="5"/>
        <v>0</v>
      </c>
    </row>
    <row r="176" spans="2:32" x14ac:dyDescent="0.35">
      <c r="B176" s="432" t="e">
        <f>"2024"&amp;MATCH(Totals!D176,OrgType,0)&amp;"_"&amp;MATCH(Totals!E176,Organisations,0)&amp;"_"&amp;LEFT(Totals!F176,1)&amp;"_"&amp;LEFT(G176,1)&amp;"_"&amp;COUNTIF($G$3:G176,G176)</f>
        <v>#N/A</v>
      </c>
      <c r="C176" s="432">
        <v>2024</v>
      </c>
      <c r="D176" s="432">
        <f>Introduction!$D$7</f>
        <v>0</v>
      </c>
      <c r="E176" s="432">
        <f>Introduction!$D$8</f>
        <v>0</v>
      </c>
      <c r="F176" s="432" t="s">
        <v>1108</v>
      </c>
      <c r="G176" s="432" t="s">
        <v>1109</v>
      </c>
      <c r="H176" s="433"/>
      <c r="I176" s="432">
        <f>Fleet!B50</f>
        <v>0</v>
      </c>
      <c r="J176" s="432">
        <f>Fleet!C50</f>
        <v>0</v>
      </c>
      <c r="K176" s="432">
        <f>Fleet!D50</f>
        <v>0</v>
      </c>
      <c r="L176" s="432">
        <f>Fleet!E50</f>
        <v>0</v>
      </c>
      <c r="M176" s="432" t="str">
        <f>Fleet!F50</f>
        <v/>
      </c>
      <c r="N176" s="432">
        <f>Fleet!G50</f>
        <v>0</v>
      </c>
      <c r="O176" s="432">
        <f>Fleet!H50</f>
        <v>0</v>
      </c>
      <c r="P176" s="432" t="str">
        <f>Fleet!I50</f>
        <v/>
      </c>
      <c r="Q176" s="432" t="str">
        <f>Fleet!J50</f>
        <v/>
      </c>
      <c r="R176" s="432" t="str">
        <f>Fleet!K50</f>
        <v/>
      </c>
      <c r="S176" s="432" t="str">
        <f>Fleet!L50</f>
        <v/>
      </c>
      <c r="T176" s="432">
        <f>Fleet!M50</f>
        <v>0</v>
      </c>
      <c r="U176" s="432">
        <f>Fleet!N50</f>
        <v>0</v>
      </c>
      <c r="V176" s="432" t="str">
        <f>Fleet!O50</f>
        <v/>
      </c>
      <c r="W176" s="432" t="str">
        <f>Fleet!P50</f>
        <v/>
      </c>
      <c r="X176" s="432" t="str">
        <f>Fleet!Q50</f>
        <v/>
      </c>
      <c r="Y176" s="432" t="str">
        <f>Fleet!R50</f>
        <v/>
      </c>
      <c r="Z176" s="432" t="str">
        <f>Fleet!S50</f>
        <v/>
      </c>
      <c r="AA176" s="432" t="str">
        <f>Fleet!T50</f>
        <v/>
      </c>
      <c r="AB176" s="432" t="str">
        <f>Fleet!U50</f>
        <v/>
      </c>
      <c r="AC176" s="432" t="str">
        <f>Fleet!V50</f>
        <v/>
      </c>
      <c r="AE176" s="432">
        <f t="shared" si="4"/>
        <v>0</v>
      </c>
      <c r="AF176" s="432">
        <f t="shared" si="5"/>
        <v>0</v>
      </c>
    </row>
    <row r="177" spans="2:32" x14ac:dyDescent="0.35">
      <c r="B177" s="432" t="e">
        <f>"2024"&amp;MATCH(Totals!D177,OrgType,0)&amp;"_"&amp;MATCH(Totals!E177,Organisations,0)&amp;"_"&amp;LEFT(Totals!F177,1)&amp;"_"&amp;LEFT(G177,1)&amp;"_"&amp;COUNTIF($G$3:G177,G177)</f>
        <v>#N/A</v>
      </c>
      <c r="C177" s="432">
        <v>2024</v>
      </c>
      <c r="D177" s="432">
        <f>Introduction!$D$7</f>
        <v>0</v>
      </c>
      <c r="E177" s="432">
        <f>Introduction!$D$8</f>
        <v>0</v>
      </c>
      <c r="F177" s="432" t="s">
        <v>1108</v>
      </c>
      <c r="G177" s="432" t="s">
        <v>70</v>
      </c>
      <c r="H177" s="433"/>
      <c r="I177" s="432">
        <f>'Business travel, commute, home'!B8</f>
        <v>0</v>
      </c>
      <c r="J177" s="432">
        <f>'Business travel, commute, home'!C8</f>
        <v>0</v>
      </c>
      <c r="K177" s="432">
        <f>'Business travel, commute, home'!D8</f>
        <v>0</v>
      </c>
      <c r="L177" s="432">
        <f>'Business travel, commute, home'!E8</f>
        <v>0</v>
      </c>
      <c r="M177" s="432" t="str">
        <f>'Business travel, commute, home'!F8</f>
        <v/>
      </c>
      <c r="N177" s="432">
        <f>'Business travel, commute, home'!G8</f>
        <v>0</v>
      </c>
      <c r="O177" s="432">
        <f>'Business travel, commute, home'!H8</f>
        <v>0</v>
      </c>
      <c r="P177" s="432" t="str">
        <f>'Business travel, commute, home'!I8</f>
        <v/>
      </c>
      <c r="Q177" s="432" t="str">
        <f>'Business travel, commute, home'!J8</f>
        <v/>
      </c>
      <c r="R177" s="432" t="str">
        <f>'Business travel, commute, home'!K8</f>
        <v/>
      </c>
      <c r="S177" s="432" t="str">
        <f>'Business travel, commute, home'!L8</f>
        <v/>
      </c>
      <c r="T177" s="432">
        <f>'Business travel, commute, home'!M8</f>
        <v>0</v>
      </c>
      <c r="U177" s="432">
        <f>'Business travel, commute, home'!N8</f>
        <v>0</v>
      </c>
      <c r="V177" s="432" t="str">
        <f>'Business travel, commute, home'!O8</f>
        <v/>
      </c>
      <c r="W177" s="432" t="str">
        <f>'Business travel, commute, home'!P8</f>
        <v/>
      </c>
      <c r="X177" s="432" t="str">
        <f>'Business travel, commute, home'!Q8</f>
        <v/>
      </c>
      <c r="Y177" s="432" t="str">
        <f>'Business travel, commute, home'!R8</f>
        <v/>
      </c>
      <c r="Z177" s="432" t="str">
        <f>'Business travel, commute, home'!S8</f>
        <v/>
      </c>
      <c r="AA177" s="432" t="str">
        <f>'Business travel, commute, home'!T8</f>
        <v/>
      </c>
      <c r="AB177" s="432" t="str">
        <f>'Business travel, commute, home'!U8</f>
        <v/>
      </c>
      <c r="AC177" s="432"/>
      <c r="AE177" s="432">
        <f t="shared" si="4"/>
        <v>0</v>
      </c>
      <c r="AF177" s="432">
        <f t="shared" si="5"/>
        <v>0</v>
      </c>
    </row>
    <row r="178" spans="2:32" x14ac:dyDescent="0.35">
      <c r="B178" s="432" t="e">
        <f>"2024"&amp;MATCH(Totals!D178,OrgType,0)&amp;"_"&amp;MATCH(Totals!E178,Organisations,0)&amp;"_"&amp;LEFT(Totals!F178,1)&amp;"_"&amp;LEFT(G178,1)&amp;"_"&amp;COUNTIF($G$3:G178,G178)</f>
        <v>#N/A</v>
      </c>
      <c r="C178" s="432">
        <v>2024</v>
      </c>
      <c r="D178" s="432">
        <f>Introduction!$D$7</f>
        <v>0</v>
      </c>
      <c r="E178" s="432">
        <f>Introduction!$D$8</f>
        <v>0</v>
      </c>
      <c r="F178" s="432" t="s">
        <v>1108</v>
      </c>
      <c r="G178" s="432" t="s">
        <v>70</v>
      </c>
      <c r="H178" s="433"/>
      <c r="I178" s="432">
        <f>'Business travel, commute, home'!B9</f>
        <v>0</v>
      </c>
      <c r="J178" s="432">
        <f>'Business travel, commute, home'!C9</f>
        <v>0</v>
      </c>
      <c r="K178" s="432">
        <f>'Business travel, commute, home'!D9</f>
        <v>0</v>
      </c>
      <c r="L178" s="432">
        <f>'Business travel, commute, home'!E9</f>
        <v>0</v>
      </c>
      <c r="M178" s="432" t="str">
        <f>'Business travel, commute, home'!F9</f>
        <v/>
      </c>
      <c r="N178" s="432">
        <f>'Business travel, commute, home'!G9</f>
        <v>0</v>
      </c>
      <c r="O178" s="432">
        <f>'Business travel, commute, home'!H9</f>
        <v>0</v>
      </c>
      <c r="P178" s="432" t="str">
        <f>'Business travel, commute, home'!I9</f>
        <v/>
      </c>
      <c r="Q178" s="432" t="str">
        <f>'Business travel, commute, home'!J9</f>
        <v/>
      </c>
      <c r="R178" s="432" t="str">
        <f>'Business travel, commute, home'!K9</f>
        <v/>
      </c>
      <c r="S178" s="432" t="str">
        <f>'Business travel, commute, home'!L9</f>
        <v/>
      </c>
      <c r="T178" s="432">
        <f>'Business travel, commute, home'!M9</f>
        <v>0</v>
      </c>
      <c r="U178" s="432">
        <f>'Business travel, commute, home'!N9</f>
        <v>0</v>
      </c>
      <c r="V178" s="432" t="str">
        <f>'Business travel, commute, home'!O9</f>
        <v/>
      </c>
      <c r="W178" s="432" t="str">
        <f>'Business travel, commute, home'!P9</f>
        <v/>
      </c>
      <c r="X178" s="432" t="str">
        <f>'Business travel, commute, home'!Q9</f>
        <v/>
      </c>
      <c r="Y178" s="432" t="str">
        <f>'Business travel, commute, home'!R9</f>
        <v/>
      </c>
      <c r="Z178" s="432" t="str">
        <f>'Business travel, commute, home'!S9</f>
        <v/>
      </c>
      <c r="AA178" s="432" t="str">
        <f>'Business travel, commute, home'!T9</f>
        <v/>
      </c>
      <c r="AB178" s="432" t="str">
        <f>'Business travel, commute, home'!U9</f>
        <v/>
      </c>
      <c r="AC178" s="432"/>
      <c r="AE178" s="432">
        <f t="shared" si="4"/>
        <v>0</v>
      </c>
      <c r="AF178" s="432">
        <f t="shared" si="5"/>
        <v>0</v>
      </c>
    </row>
    <row r="179" spans="2:32" x14ac:dyDescent="0.35">
      <c r="B179" s="432" t="e">
        <f>"2024"&amp;MATCH(Totals!D179,OrgType,0)&amp;"_"&amp;MATCH(Totals!E179,Organisations,0)&amp;"_"&amp;LEFT(Totals!F179,1)&amp;"_"&amp;LEFT(G179,1)&amp;"_"&amp;COUNTIF($G$3:G179,G179)</f>
        <v>#N/A</v>
      </c>
      <c r="C179" s="432">
        <v>2024</v>
      </c>
      <c r="D179" s="432">
        <f>Introduction!$D$7</f>
        <v>0</v>
      </c>
      <c r="E179" s="432">
        <f>Introduction!$D$8</f>
        <v>0</v>
      </c>
      <c r="F179" s="432" t="s">
        <v>1108</v>
      </c>
      <c r="G179" s="432" t="s">
        <v>70</v>
      </c>
      <c r="H179" s="433"/>
      <c r="I179" s="432">
        <f>'Business travel, commute, home'!B10</f>
        <v>0</v>
      </c>
      <c r="J179" s="432">
        <f>'Business travel, commute, home'!C10</f>
        <v>0</v>
      </c>
      <c r="K179" s="432">
        <f>'Business travel, commute, home'!D10</f>
        <v>0</v>
      </c>
      <c r="L179" s="432">
        <f>'Business travel, commute, home'!E10</f>
        <v>0</v>
      </c>
      <c r="M179" s="432" t="str">
        <f>'Business travel, commute, home'!F10</f>
        <v/>
      </c>
      <c r="N179" s="432">
        <f>'Business travel, commute, home'!G10</f>
        <v>0</v>
      </c>
      <c r="O179" s="432">
        <f>'Business travel, commute, home'!H10</f>
        <v>0</v>
      </c>
      <c r="P179" s="432" t="str">
        <f>'Business travel, commute, home'!I10</f>
        <v/>
      </c>
      <c r="Q179" s="432" t="str">
        <f>'Business travel, commute, home'!J10</f>
        <v/>
      </c>
      <c r="R179" s="432" t="str">
        <f>'Business travel, commute, home'!K10</f>
        <v/>
      </c>
      <c r="S179" s="432" t="str">
        <f>'Business travel, commute, home'!L10</f>
        <v/>
      </c>
      <c r="T179" s="432">
        <f>'Business travel, commute, home'!M10</f>
        <v>0</v>
      </c>
      <c r="U179" s="432">
        <f>'Business travel, commute, home'!N10</f>
        <v>0</v>
      </c>
      <c r="V179" s="432" t="str">
        <f>'Business travel, commute, home'!O10</f>
        <v/>
      </c>
      <c r="W179" s="432" t="str">
        <f>'Business travel, commute, home'!P10</f>
        <v/>
      </c>
      <c r="X179" s="432" t="str">
        <f>'Business travel, commute, home'!Q10</f>
        <v/>
      </c>
      <c r="Y179" s="432" t="str">
        <f>'Business travel, commute, home'!R10</f>
        <v/>
      </c>
      <c r="Z179" s="432" t="str">
        <f>'Business travel, commute, home'!S10</f>
        <v/>
      </c>
      <c r="AA179" s="432" t="str">
        <f>'Business travel, commute, home'!T10</f>
        <v/>
      </c>
      <c r="AB179" s="432" t="str">
        <f>'Business travel, commute, home'!U10</f>
        <v/>
      </c>
      <c r="AC179" s="432"/>
      <c r="AE179" s="432">
        <f t="shared" si="4"/>
        <v>0</v>
      </c>
      <c r="AF179" s="432">
        <f t="shared" si="5"/>
        <v>0</v>
      </c>
    </row>
    <row r="180" spans="2:32" x14ac:dyDescent="0.35">
      <c r="B180" s="432" t="e">
        <f>"2024"&amp;MATCH(Totals!D180,OrgType,0)&amp;"_"&amp;MATCH(Totals!E180,Organisations,0)&amp;"_"&amp;LEFT(Totals!F180,1)&amp;"_"&amp;LEFT(G180,1)&amp;"_"&amp;COUNTIF($G$3:G180,G180)</f>
        <v>#N/A</v>
      </c>
      <c r="C180" s="432">
        <v>2024</v>
      </c>
      <c r="D180" s="432">
        <f>Introduction!$D$7</f>
        <v>0</v>
      </c>
      <c r="E180" s="432">
        <f>Introduction!$D$8</f>
        <v>0</v>
      </c>
      <c r="F180" s="432" t="s">
        <v>1108</v>
      </c>
      <c r="G180" s="432" t="s">
        <v>70</v>
      </c>
      <c r="H180" s="433"/>
      <c r="I180" s="432">
        <f>'Business travel, commute, home'!B11</f>
        <v>0</v>
      </c>
      <c r="J180" s="432">
        <f>'Business travel, commute, home'!C11</f>
        <v>0</v>
      </c>
      <c r="K180" s="432">
        <f>'Business travel, commute, home'!D11</f>
        <v>0</v>
      </c>
      <c r="L180" s="432">
        <f>'Business travel, commute, home'!E11</f>
        <v>0</v>
      </c>
      <c r="M180" s="432" t="str">
        <f>'Business travel, commute, home'!F11</f>
        <v/>
      </c>
      <c r="N180" s="432">
        <f>'Business travel, commute, home'!G11</f>
        <v>0</v>
      </c>
      <c r="O180" s="432">
        <f>'Business travel, commute, home'!H11</f>
        <v>0</v>
      </c>
      <c r="P180" s="432" t="str">
        <f>'Business travel, commute, home'!I11</f>
        <v/>
      </c>
      <c r="Q180" s="432" t="str">
        <f>'Business travel, commute, home'!J11</f>
        <v/>
      </c>
      <c r="R180" s="432" t="str">
        <f>'Business travel, commute, home'!K11</f>
        <v/>
      </c>
      <c r="S180" s="432" t="str">
        <f>'Business travel, commute, home'!L11</f>
        <v/>
      </c>
      <c r="T180" s="432">
        <f>'Business travel, commute, home'!M11</f>
        <v>0</v>
      </c>
      <c r="U180" s="432">
        <f>'Business travel, commute, home'!N11</f>
        <v>0</v>
      </c>
      <c r="V180" s="432" t="str">
        <f>'Business travel, commute, home'!O11</f>
        <v/>
      </c>
      <c r="W180" s="432" t="str">
        <f>'Business travel, commute, home'!P11</f>
        <v/>
      </c>
      <c r="X180" s="432" t="str">
        <f>'Business travel, commute, home'!Q11</f>
        <v/>
      </c>
      <c r="Y180" s="432" t="str">
        <f>'Business travel, commute, home'!R11</f>
        <v/>
      </c>
      <c r="Z180" s="432" t="str">
        <f>'Business travel, commute, home'!S11</f>
        <v/>
      </c>
      <c r="AA180" s="432" t="str">
        <f>'Business travel, commute, home'!T11</f>
        <v/>
      </c>
      <c r="AB180" s="432" t="str">
        <f>'Business travel, commute, home'!U11</f>
        <v/>
      </c>
      <c r="AC180" s="432"/>
      <c r="AE180" s="432">
        <f t="shared" si="4"/>
        <v>0</v>
      </c>
      <c r="AF180" s="432">
        <f t="shared" si="5"/>
        <v>0</v>
      </c>
    </row>
    <row r="181" spans="2:32" x14ac:dyDescent="0.35">
      <c r="B181" s="432" t="e">
        <f>"2024"&amp;MATCH(Totals!D181,OrgType,0)&amp;"_"&amp;MATCH(Totals!E181,Organisations,0)&amp;"_"&amp;LEFT(Totals!F181,1)&amp;"_"&amp;LEFT(G181,1)&amp;"_"&amp;COUNTIF($G$3:G181,G181)</f>
        <v>#N/A</v>
      </c>
      <c r="C181" s="432">
        <v>2024</v>
      </c>
      <c r="D181" s="432">
        <f>Introduction!$D$7</f>
        <v>0</v>
      </c>
      <c r="E181" s="432">
        <f>Introduction!$D$8</f>
        <v>0</v>
      </c>
      <c r="F181" s="432" t="s">
        <v>1108</v>
      </c>
      <c r="G181" s="432" t="s">
        <v>70</v>
      </c>
      <c r="H181" s="433"/>
      <c r="I181" s="432">
        <f>'Business travel, commute, home'!B12</f>
        <v>0</v>
      </c>
      <c r="J181" s="432">
        <f>'Business travel, commute, home'!C12</f>
        <v>0</v>
      </c>
      <c r="K181" s="432">
        <f>'Business travel, commute, home'!D12</f>
        <v>0</v>
      </c>
      <c r="L181" s="432">
        <f>'Business travel, commute, home'!E12</f>
        <v>0</v>
      </c>
      <c r="M181" s="432" t="str">
        <f>'Business travel, commute, home'!F12</f>
        <v/>
      </c>
      <c r="N181" s="432">
        <f>'Business travel, commute, home'!G12</f>
        <v>0</v>
      </c>
      <c r="O181" s="432">
        <f>'Business travel, commute, home'!H12</f>
        <v>0</v>
      </c>
      <c r="P181" s="432" t="str">
        <f>'Business travel, commute, home'!I12</f>
        <v/>
      </c>
      <c r="Q181" s="432" t="str">
        <f>'Business travel, commute, home'!J12</f>
        <v/>
      </c>
      <c r="R181" s="432" t="str">
        <f>'Business travel, commute, home'!K12</f>
        <v/>
      </c>
      <c r="S181" s="432" t="str">
        <f>'Business travel, commute, home'!L12</f>
        <v/>
      </c>
      <c r="T181" s="432">
        <f>'Business travel, commute, home'!M12</f>
        <v>0</v>
      </c>
      <c r="U181" s="432">
        <f>'Business travel, commute, home'!N12</f>
        <v>0</v>
      </c>
      <c r="V181" s="432" t="str">
        <f>'Business travel, commute, home'!O12</f>
        <v/>
      </c>
      <c r="W181" s="432" t="str">
        <f>'Business travel, commute, home'!P12</f>
        <v/>
      </c>
      <c r="X181" s="432" t="str">
        <f>'Business travel, commute, home'!Q12</f>
        <v/>
      </c>
      <c r="Y181" s="432" t="str">
        <f>'Business travel, commute, home'!R12</f>
        <v/>
      </c>
      <c r="Z181" s="432" t="str">
        <f>'Business travel, commute, home'!S12</f>
        <v/>
      </c>
      <c r="AA181" s="432" t="str">
        <f>'Business travel, commute, home'!T12</f>
        <v/>
      </c>
      <c r="AB181" s="432" t="str">
        <f>'Business travel, commute, home'!U12</f>
        <v/>
      </c>
      <c r="AC181" s="432"/>
      <c r="AE181" s="432">
        <f t="shared" si="4"/>
        <v>0</v>
      </c>
      <c r="AF181" s="432">
        <f t="shared" si="5"/>
        <v>0</v>
      </c>
    </row>
    <row r="182" spans="2:32" x14ac:dyDescent="0.35">
      <c r="B182" s="432" t="e">
        <f>"2024"&amp;MATCH(Totals!D182,OrgType,0)&amp;"_"&amp;MATCH(Totals!E182,Organisations,0)&amp;"_"&amp;LEFT(Totals!F182,1)&amp;"_"&amp;LEFT(G182,1)&amp;"_"&amp;COUNTIF($G$3:G182,G182)</f>
        <v>#N/A</v>
      </c>
      <c r="C182" s="432">
        <v>2024</v>
      </c>
      <c r="D182" s="432">
        <f>Introduction!$D$7</f>
        <v>0</v>
      </c>
      <c r="E182" s="432">
        <f>Introduction!$D$8</f>
        <v>0</v>
      </c>
      <c r="F182" s="432" t="s">
        <v>1108</v>
      </c>
      <c r="G182" s="432" t="s">
        <v>70</v>
      </c>
      <c r="H182" s="433"/>
      <c r="I182" s="432">
        <f>'Business travel, commute, home'!B13</f>
        <v>0</v>
      </c>
      <c r="J182" s="432">
        <f>'Business travel, commute, home'!C13</f>
        <v>0</v>
      </c>
      <c r="K182" s="432">
        <f>'Business travel, commute, home'!D13</f>
        <v>0</v>
      </c>
      <c r="L182" s="432">
        <f>'Business travel, commute, home'!E13</f>
        <v>0</v>
      </c>
      <c r="M182" s="432" t="str">
        <f>'Business travel, commute, home'!F13</f>
        <v/>
      </c>
      <c r="N182" s="432">
        <f>'Business travel, commute, home'!G13</f>
        <v>0</v>
      </c>
      <c r="O182" s="432">
        <f>'Business travel, commute, home'!H13</f>
        <v>0</v>
      </c>
      <c r="P182" s="432" t="str">
        <f>'Business travel, commute, home'!I13</f>
        <v/>
      </c>
      <c r="Q182" s="432" t="str">
        <f>'Business travel, commute, home'!J13</f>
        <v/>
      </c>
      <c r="R182" s="432" t="str">
        <f>'Business travel, commute, home'!K13</f>
        <v/>
      </c>
      <c r="S182" s="432" t="str">
        <f>'Business travel, commute, home'!L13</f>
        <v/>
      </c>
      <c r="T182" s="432">
        <f>'Business travel, commute, home'!M13</f>
        <v>0</v>
      </c>
      <c r="U182" s="432">
        <f>'Business travel, commute, home'!N13</f>
        <v>0</v>
      </c>
      <c r="V182" s="432" t="str">
        <f>'Business travel, commute, home'!O13</f>
        <v/>
      </c>
      <c r="W182" s="432" t="str">
        <f>'Business travel, commute, home'!P13</f>
        <v/>
      </c>
      <c r="X182" s="432" t="str">
        <f>'Business travel, commute, home'!Q13</f>
        <v/>
      </c>
      <c r="Y182" s="432" t="str">
        <f>'Business travel, commute, home'!R13</f>
        <v/>
      </c>
      <c r="Z182" s="432" t="str">
        <f>'Business travel, commute, home'!S13</f>
        <v/>
      </c>
      <c r="AA182" s="432" t="str">
        <f>'Business travel, commute, home'!T13</f>
        <v/>
      </c>
      <c r="AB182" s="432" t="str">
        <f>'Business travel, commute, home'!U13</f>
        <v/>
      </c>
      <c r="AC182" s="432"/>
      <c r="AE182" s="432">
        <f t="shared" si="4"/>
        <v>0</v>
      </c>
      <c r="AF182" s="432">
        <f t="shared" si="5"/>
        <v>0</v>
      </c>
    </row>
    <row r="183" spans="2:32" x14ac:dyDescent="0.35">
      <c r="B183" s="432" t="e">
        <f>"2024"&amp;MATCH(Totals!D183,OrgType,0)&amp;"_"&amp;MATCH(Totals!E183,Organisations,0)&amp;"_"&amp;LEFT(Totals!F183,1)&amp;"_"&amp;LEFT(G183,1)&amp;"_"&amp;COUNTIF($G$3:G183,G183)</f>
        <v>#N/A</v>
      </c>
      <c r="C183" s="432">
        <v>2024</v>
      </c>
      <c r="D183" s="432">
        <f>Introduction!$D$7</f>
        <v>0</v>
      </c>
      <c r="E183" s="432">
        <f>Introduction!$D$8</f>
        <v>0</v>
      </c>
      <c r="F183" s="432" t="s">
        <v>1108</v>
      </c>
      <c r="G183" s="432" t="s">
        <v>70</v>
      </c>
      <c r="H183" s="433"/>
      <c r="I183" s="432">
        <f>'Business travel, commute, home'!B14</f>
        <v>0</v>
      </c>
      <c r="J183" s="432">
        <f>'Business travel, commute, home'!C14</f>
        <v>0</v>
      </c>
      <c r="K183" s="432">
        <f>'Business travel, commute, home'!D14</f>
        <v>0</v>
      </c>
      <c r="L183" s="432">
        <f>'Business travel, commute, home'!E14</f>
        <v>0</v>
      </c>
      <c r="M183" s="432" t="str">
        <f>'Business travel, commute, home'!F14</f>
        <v/>
      </c>
      <c r="N183" s="432">
        <f>'Business travel, commute, home'!G14</f>
        <v>0</v>
      </c>
      <c r="O183" s="432">
        <f>'Business travel, commute, home'!H14</f>
        <v>0</v>
      </c>
      <c r="P183" s="432" t="str">
        <f>'Business travel, commute, home'!I14</f>
        <v/>
      </c>
      <c r="Q183" s="432" t="str">
        <f>'Business travel, commute, home'!J14</f>
        <v/>
      </c>
      <c r="R183" s="432" t="str">
        <f>'Business travel, commute, home'!K14</f>
        <v/>
      </c>
      <c r="S183" s="432" t="str">
        <f>'Business travel, commute, home'!L14</f>
        <v/>
      </c>
      <c r="T183" s="432">
        <f>'Business travel, commute, home'!M14</f>
        <v>0</v>
      </c>
      <c r="U183" s="432">
        <f>'Business travel, commute, home'!N14</f>
        <v>0</v>
      </c>
      <c r="V183" s="432" t="str">
        <f>'Business travel, commute, home'!O14</f>
        <v/>
      </c>
      <c r="W183" s="432" t="str">
        <f>'Business travel, commute, home'!P14</f>
        <v/>
      </c>
      <c r="X183" s="432" t="str">
        <f>'Business travel, commute, home'!Q14</f>
        <v/>
      </c>
      <c r="Y183" s="432" t="str">
        <f>'Business travel, commute, home'!R14</f>
        <v/>
      </c>
      <c r="Z183" s="432" t="str">
        <f>'Business travel, commute, home'!S14</f>
        <v/>
      </c>
      <c r="AA183" s="432" t="str">
        <f>'Business travel, commute, home'!T14</f>
        <v/>
      </c>
      <c r="AB183" s="432" t="str">
        <f>'Business travel, commute, home'!U14</f>
        <v/>
      </c>
      <c r="AC183" s="432"/>
      <c r="AE183" s="432">
        <f t="shared" si="4"/>
        <v>0</v>
      </c>
      <c r="AF183" s="432">
        <f t="shared" si="5"/>
        <v>0</v>
      </c>
    </row>
    <row r="184" spans="2:32" x14ac:dyDescent="0.35">
      <c r="B184" s="432" t="e">
        <f>"2024"&amp;MATCH(Totals!D184,OrgType,0)&amp;"_"&amp;MATCH(Totals!E184,Organisations,0)&amp;"_"&amp;LEFT(Totals!F184,1)&amp;"_"&amp;LEFT(G184,1)&amp;"_"&amp;COUNTIF($G$3:G184,G184)</f>
        <v>#N/A</v>
      </c>
      <c r="C184" s="432">
        <v>2024</v>
      </c>
      <c r="D184" s="432">
        <f>Introduction!$D$7</f>
        <v>0</v>
      </c>
      <c r="E184" s="432">
        <f>Introduction!$D$8</f>
        <v>0</v>
      </c>
      <c r="F184" s="432" t="s">
        <v>1108</v>
      </c>
      <c r="G184" s="432" t="s">
        <v>70</v>
      </c>
      <c r="H184" s="433"/>
      <c r="I184" s="432">
        <f>'Business travel, commute, home'!B15</f>
        <v>0</v>
      </c>
      <c r="J184" s="432">
        <f>'Business travel, commute, home'!C15</f>
        <v>0</v>
      </c>
      <c r="K184" s="432">
        <f>'Business travel, commute, home'!D15</f>
        <v>0</v>
      </c>
      <c r="L184" s="432">
        <f>'Business travel, commute, home'!E15</f>
        <v>0</v>
      </c>
      <c r="M184" s="432" t="str">
        <f>'Business travel, commute, home'!F15</f>
        <v/>
      </c>
      <c r="N184" s="432">
        <f>'Business travel, commute, home'!G15</f>
        <v>0</v>
      </c>
      <c r="O184" s="432">
        <f>'Business travel, commute, home'!H15</f>
        <v>0</v>
      </c>
      <c r="P184" s="432" t="str">
        <f>'Business travel, commute, home'!I15</f>
        <v/>
      </c>
      <c r="Q184" s="432" t="str">
        <f>'Business travel, commute, home'!J15</f>
        <v/>
      </c>
      <c r="R184" s="432" t="str">
        <f>'Business travel, commute, home'!K15</f>
        <v/>
      </c>
      <c r="S184" s="432" t="str">
        <f>'Business travel, commute, home'!L15</f>
        <v/>
      </c>
      <c r="T184" s="432">
        <f>'Business travel, commute, home'!M15</f>
        <v>0</v>
      </c>
      <c r="U184" s="432">
        <f>'Business travel, commute, home'!N15</f>
        <v>0</v>
      </c>
      <c r="V184" s="432" t="str">
        <f>'Business travel, commute, home'!O15</f>
        <v/>
      </c>
      <c r="W184" s="432" t="str">
        <f>'Business travel, commute, home'!P15</f>
        <v/>
      </c>
      <c r="X184" s="432" t="str">
        <f>'Business travel, commute, home'!Q15</f>
        <v/>
      </c>
      <c r="Y184" s="432" t="str">
        <f>'Business travel, commute, home'!R15</f>
        <v/>
      </c>
      <c r="Z184" s="432" t="str">
        <f>'Business travel, commute, home'!S15</f>
        <v/>
      </c>
      <c r="AA184" s="432" t="str">
        <f>'Business travel, commute, home'!T15</f>
        <v/>
      </c>
      <c r="AB184" s="432" t="str">
        <f>'Business travel, commute, home'!U15</f>
        <v/>
      </c>
      <c r="AC184" s="432"/>
      <c r="AE184" s="432">
        <f t="shared" si="4"/>
        <v>0</v>
      </c>
      <c r="AF184" s="432">
        <f t="shared" si="5"/>
        <v>0</v>
      </c>
    </row>
    <row r="185" spans="2:32" x14ac:dyDescent="0.35">
      <c r="B185" s="432" t="e">
        <f>"2024"&amp;MATCH(Totals!D185,OrgType,0)&amp;"_"&amp;MATCH(Totals!E185,Organisations,0)&amp;"_"&amp;LEFT(Totals!F185,1)&amp;"_"&amp;LEFT(G185,1)&amp;"_"&amp;COUNTIF($G$3:G185,G185)</f>
        <v>#N/A</v>
      </c>
      <c r="C185" s="432">
        <v>2024</v>
      </c>
      <c r="D185" s="432">
        <f>Introduction!$D$7</f>
        <v>0</v>
      </c>
      <c r="E185" s="432">
        <f>Introduction!$D$8</f>
        <v>0</v>
      </c>
      <c r="F185" s="432" t="s">
        <v>1108</v>
      </c>
      <c r="G185" s="432" t="s">
        <v>70</v>
      </c>
      <c r="H185" s="433"/>
      <c r="I185" s="432">
        <f>'Business travel, commute, home'!B16</f>
        <v>0</v>
      </c>
      <c r="J185" s="432">
        <f>'Business travel, commute, home'!C16</f>
        <v>0</v>
      </c>
      <c r="K185" s="432">
        <f>'Business travel, commute, home'!D16</f>
        <v>0</v>
      </c>
      <c r="L185" s="432">
        <f>'Business travel, commute, home'!E16</f>
        <v>0</v>
      </c>
      <c r="M185" s="432" t="str">
        <f>'Business travel, commute, home'!F16</f>
        <v/>
      </c>
      <c r="N185" s="432">
        <f>'Business travel, commute, home'!G16</f>
        <v>0</v>
      </c>
      <c r="O185" s="432">
        <f>'Business travel, commute, home'!H16</f>
        <v>0</v>
      </c>
      <c r="P185" s="432" t="str">
        <f>'Business travel, commute, home'!I16</f>
        <v/>
      </c>
      <c r="Q185" s="432" t="str">
        <f>'Business travel, commute, home'!J16</f>
        <v/>
      </c>
      <c r="R185" s="432" t="str">
        <f>'Business travel, commute, home'!K16</f>
        <v/>
      </c>
      <c r="S185" s="432" t="str">
        <f>'Business travel, commute, home'!L16</f>
        <v/>
      </c>
      <c r="T185" s="432">
        <f>'Business travel, commute, home'!M16</f>
        <v>0</v>
      </c>
      <c r="U185" s="432">
        <f>'Business travel, commute, home'!N16</f>
        <v>0</v>
      </c>
      <c r="V185" s="432" t="str">
        <f>'Business travel, commute, home'!O16</f>
        <v/>
      </c>
      <c r="W185" s="432" t="str">
        <f>'Business travel, commute, home'!P16</f>
        <v/>
      </c>
      <c r="X185" s="432" t="str">
        <f>'Business travel, commute, home'!Q16</f>
        <v/>
      </c>
      <c r="Y185" s="432" t="str">
        <f>'Business travel, commute, home'!R16</f>
        <v/>
      </c>
      <c r="Z185" s="432" t="str">
        <f>'Business travel, commute, home'!S16</f>
        <v/>
      </c>
      <c r="AA185" s="432" t="str">
        <f>'Business travel, commute, home'!T16</f>
        <v/>
      </c>
      <c r="AB185" s="432" t="str">
        <f>'Business travel, commute, home'!U16</f>
        <v/>
      </c>
      <c r="AC185" s="432"/>
      <c r="AE185" s="432">
        <f t="shared" si="4"/>
        <v>0</v>
      </c>
      <c r="AF185" s="432">
        <f t="shared" si="5"/>
        <v>0</v>
      </c>
    </row>
    <row r="186" spans="2:32" x14ac:dyDescent="0.35">
      <c r="B186" s="432" t="e">
        <f>"2024"&amp;MATCH(Totals!D186,OrgType,0)&amp;"_"&amp;MATCH(Totals!E186,Organisations,0)&amp;"_"&amp;LEFT(Totals!F186,1)&amp;"_"&amp;LEFT(G186,1)&amp;"_"&amp;COUNTIF($G$3:G186,G186)</f>
        <v>#N/A</v>
      </c>
      <c r="C186" s="432">
        <v>2024</v>
      </c>
      <c r="D186" s="432">
        <f>Introduction!$D$7</f>
        <v>0</v>
      </c>
      <c r="E186" s="432">
        <f>Introduction!$D$8</f>
        <v>0</v>
      </c>
      <c r="F186" s="432" t="s">
        <v>1108</v>
      </c>
      <c r="G186" s="432" t="s">
        <v>70</v>
      </c>
      <c r="H186" s="433"/>
      <c r="I186" s="432">
        <f>'Business travel, commute, home'!B17</f>
        <v>0</v>
      </c>
      <c r="J186" s="432">
        <f>'Business travel, commute, home'!C17</f>
        <v>0</v>
      </c>
      <c r="K186" s="432">
        <f>'Business travel, commute, home'!D17</f>
        <v>0</v>
      </c>
      <c r="L186" s="432">
        <f>'Business travel, commute, home'!E17</f>
        <v>0</v>
      </c>
      <c r="M186" s="432" t="str">
        <f>'Business travel, commute, home'!F17</f>
        <v/>
      </c>
      <c r="N186" s="432">
        <f>'Business travel, commute, home'!G17</f>
        <v>0</v>
      </c>
      <c r="O186" s="432">
        <f>'Business travel, commute, home'!H17</f>
        <v>0</v>
      </c>
      <c r="P186" s="432" t="str">
        <f>'Business travel, commute, home'!I17</f>
        <v/>
      </c>
      <c r="Q186" s="432" t="str">
        <f>'Business travel, commute, home'!J17</f>
        <v/>
      </c>
      <c r="R186" s="432" t="str">
        <f>'Business travel, commute, home'!K17</f>
        <v/>
      </c>
      <c r="S186" s="432" t="str">
        <f>'Business travel, commute, home'!L17</f>
        <v/>
      </c>
      <c r="T186" s="432">
        <f>'Business travel, commute, home'!M17</f>
        <v>0</v>
      </c>
      <c r="U186" s="432">
        <f>'Business travel, commute, home'!N17</f>
        <v>0</v>
      </c>
      <c r="V186" s="432" t="str">
        <f>'Business travel, commute, home'!O17</f>
        <v/>
      </c>
      <c r="W186" s="432" t="str">
        <f>'Business travel, commute, home'!P17</f>
        <v/>
      </c>
      <c r="X186" s="432" t="str">
        <f>'Business travel, commute, home'!Q17</f>
        <v/>
      </c>
      <c r="Y186" s="432" t="str">
        <f>'Business travel, commute, home'!R17</f>
        <v/>
      </c>
      <c r="Z186" s="432" t="str">
        <f>'Business travel, commute, home'!S17</f>
        <v/>
      </c>
      <c r="AA186" s="432" t="str">
        <f>'Business travel, commute, home'!T17</f>
        <v/>
      </c>
      <c r="AB186" s="432" t="str">
        <f>'Business travel, commute, home'!U17</f>
        <v/>
      </c>
      <c r="AC186" s="432"/>
      <c r="AE186" s="432">
        <f t="shared" si="4"/>
        <v>0</v>
      </c>
      <c r="AF186" s="432">
        <f t="shared" si="5"/>
        <v>0</v>
      </c>
    </row>
    <row r="187" spans="2:32" x14ac:dyDescent="0.35">
      <c r="B187" s="432" t="e">
        <f>"2024"&amp;MATCH(Totals!D187,OrgType,0)&amp;"_"&amp;MATCH(Totals!E187,Organisations,0)&amp;"_"&amp;LEFT(Totals!F187,1)&amp;"_"&amp;LEFT(G187,1)&amp;"_"&amp;COUNTIF($G$3:G187,G187)</f>
        <v>#N/A</v>
      </c>
      <c r="C187" s="432">
        <v>2024</v>
      </c>
      <c r="D187" s="432">
        <f>Introduction!$D$7</f>
        <v>0</v>
      </c>
      <c r="E187" s="432">
        <f>Introduction!$D$8</f>
        <v>0</v>
      </c>
      <c r="F187" s="432" t="s">
        <v>1108</v>
      </c>
      <c r="G187" s="432" t="s">
        <v>70</v>
      </c>
      <c r="H187" s="433"/>
      <c r="I187" s="432">
        <f>'Business travel, commute, home'!B18</f>
        <v>0</v>
      </c>
      <c r="J187" s="432">
        <f>'Business travel, commute, home'!C18</f>
        <v>0</v>
      </c>
      <c r="K187" s="432">
        <f>'Business travel, commute, home'!D18</f>
        <v>0</v>
      </c>
      <c r="L187" s="432">
        <f>'Business travel, commute, home'!E18</f>
        <v>0</v>
      </c>
      <c r="M187" s="432" t="str">
        <f>'Business travel, commute, home'!F18</f>
        <v/>
      </c>
      <c r="N187" s="432">
        <f>'Business travel, commute, home'!G18</f>
        <v>0</v>
      </c>
      <c r="O187" s="432">
        <f>'Business travel, commute, home'!H18</f>
        <v>0</v>
      </c>
      <c r="P187" s="432" t="str">
        <f>'Business travel, commute, home'!I18</f>
        <v/>
      </c>
      <c r="Q187" s="432" t="str">
        <f>'Business travel, commute, home'!J18</f>
        <v/>
      </c>
      <c r="R187" s="432" t="str">
        <f>'Business travel, commute, home'!K18</f>
        <v/>
      </c>
      <c r="S187" s="432" t="str">
        <f>'Business travel, commute, home'!L18</f>
        <v/>
      </c>
      <c r="T187" s="432">
        <f>'Business travel, commute, home'!M18</f>
        <v>0</v>
      </c>
      <c r="U187" s="432">
        <f>'Business travel, commute, home'!N18</f>
        <v>0</v>
      </c>
      <c r="V187" s="432" t="str">
        <f>'Business travel, commute, home'!O18</f>
        <v/>
      </c>
      <c r="W187" s="432" t="str">
        <f>'Business travel, commute, home'!P18</f>
        <v/>
      </c>
      <c r="X187" s="432" t="str">
        <f>'Business travel, commute, home'!Q18</f>
        <v/>
      </c>
      <c r="Y187" s="432" t="str">
        <f>'Business travel, commute, home'!R18</f>
        <v/>
      </c>
      <c r="Z187" s="432" t="str">
        <f>'Business travel, commute, home'!S18</f>
        <v/>
      </c>
      <c r="AA187" s="432" t="str">
        <f>'Business travel, commute, home'!T18</f>
        <v/>
      </c>
      <c r="AB187" s="432" t="str">
        <f>'Business travel, commute, home'!U18</f>
        <v/>
      </c>
      <c r="AC187" s="432"/>
      <c r="AE187" s="432">
        <f t="shared" si="4"/>
        <v>0</v>
      </c>
      <c r="AF187" s="432">
        <f t="shared" si="5"/>
        <v>0</v>
      </c>
    </row>
    <row r="188" spans="2:32" x14ac:dyDescent="0.35">
      <c r="B188" s="432" t="e">
        <f>"2024"&amp;MATCH(Totals!D188,OrgType,0)&amp;"_"&amp;MATCH(Totals!E188,Organisations,0)&amp;"_"&amp;LEFT(Totals!F188,1)&amp;"_"&amp;LEFT(G188,1)&amp;"_"&amp;COUNTIF($G$3:G188,G188)</f>
        <v>#N/A</v>
      </c>
      <c r="C188" s="432">
        <v>2024</v>
      </c>
      <c r="D188" s="432">
        <f>Introduction!$D$7</f>
        <v>0</v>
      </c>
      <c r="E188" s="432">
        <f>Introduction!$D$8</f>
        <v>0</v>
      </c>
      <c r="F188" s="432" t="s">
        <v>1108</v>
      </c>
      <c r="G188" s="432" t="s">
        <v>70</v>
      </c>
      <c r="H188" s="433"/>
      <c r="I188" s="432">
        <f>'Business travel, commute, home'!B19</f>
        <v>0</v>
      </c>
      <c r="J188" s="432">
        <f>'Business travel, commute, home'!C19</f>
        <v>0</v>
      </c>
      <c r="K188" s="432">
        <f>'Business travel, commute, home'!D19</f>
        <v>0</v>
      </c>
      <c r="L188" s="432">
        <f>'Business travel, commute, home'!E19</f>
        <v>0</v>
      </c>
      <c r="M188" s="432" t="str">
        <f>'Business travel, commute, home'!F19</f>
        <v/>
      </c>
      <c r="N188" s="432">
        <f>'Business travel, commute, home'!G19</f>
        <v>0</v>
      </c>
      <c r="O188" s="432">
        <f>'Business travel, commute, home'!H19</f>
        <v>0</v>
      </c>
      <c r="P188" s="432" t="str">
        <f>'Business travel, commute, home'!I19</f>
        <v/>
      </c>
      <c r="Q188" s="432" t="str">
        <f>'Business travel, commute, home'!J19</f>
        <v/>
      </c>
      <c r="R188" s="432" t="str">
        <f>'Business travel, commute, home'!K19</f>
        <v/>
      </c>
      <c r="S188" s="432" t="str">
        <f>'Business travel, commute, home'!L19</f>
        <v/>
      </c>
      <c r="T188" s="432">
        <f>'Business travel, commute, home'!M19</f>
        <v>0</v>
      </c>
      <c r="U188" s="432">
        <f>'Business travel, commute, home'!N19</f>
        <v>0</v>
      </c>
      <c r="V188" s="432" t="str">
        <f>'Business travel, commute, home'!O19</f>
        <v/>
      </c>
      <c r="W188" s="432" t="str">
        <f>'Business travel, commute, home'!P19</f>
        <v/>
      </c>
      <c r="X188" s="432" t="str">
        <f>'Business travel, commute, home'!Q19</f>
        <v/>
      </c>
      <c r="Y188" s="432" t="str">
        <f>'Business travel, commute, home'!R19</f>
        <v/>
      </c>
      <c r="Z188" s="432" t="str">
        <f>'Business travel, commute, home'!S19</f>
        <v/>
      </c>
      <c r="AA188" s="432" t="str">
        <f>'Business travel, commute, home'!T19</f>
        <v/>
      </c>
      <c r="AB188" s="432" t="str">
        <f>'Business travel, commute, home'!U19</f>
        <v/>
      </c>
      <c r="AC188" s="432"/>
      <c r="AE188" s="432">
        <f t="shared" si="4"/>
        <v>0</v>
      </c>
      <c r="AF188" s="432">
        <f t="shared" si="5"/>
        <v>0</v>
      </c>
    </row>
    <row r="189" spans="2:32" x14ac:dyDescent="0.35">
      <c r="B189" s="432" t="e">
        <f>"2024"&amp;MATCH(Totals!D189,OrgType,0)&amp;"_"&amp;MATCH(Totals!E189,Organisations,0)&amp;"_"&amp;LEFT(Totals!F189,1)&amp;"_"&amp;LEFT(G189,1)&amp;"_"&amp;COUNTIF($G$3:G189,G189)</f>
        <v>#N/A</v>
      </c>
      <c r="C189" s="432">
        <v>2024</v>
      </c>
      <c r="D189" s="432">
        <f>Introduction!$D$7</f>
        <v>0</v>
      </c>
      <c r="E189" s="432">
        <f>Introduction!$D$8</f>
        <v>0</v>
      </c>
      <c r="F189" s="432" t="s">
        <v>1108</v>
      </c>
      <c r="G189" s="432" t="s">
        <v>70</v>
      </c>
      <c r="H189" s="433"/>
      <c r="I189" s="432">
        <f>'Business travel, commute, home'!B20</f>
        <v>0</v>
      </c>
      <c r="J189" s="432">
        <f>'Business travel, commute, home'!C20</f>
        <v>0</v>
      </c>
      <c r="K189" s="432">
        <f>'Business travel, commute, home'!D20</f>
        <v>0</v>
      </c>
      <c r="L189" s="432">
        <f>'Business travel, commute, home'!E20</f>
        <v>0</v>
      </c>
      <c r="M189" s="432" t="str">
        <f>'Business travel, commute, home'!F20</f>
        <v/>
      </c>
      <c r="N189" s="432">
        <f>'Business travel, commute, home'!G20</f>
        <v>0</v>
      </c>
      <c r="O189" s="432">
        <f>'Business travel, commute, home'!H20</f>
        <v>0</v>
      </c>
      <c r="P189" s="432" t="str">
        <f>'Business travel, commute, home'!I20</f>
        <v/>
      </c>
      <c r="Q189" s="432" t="str">
        <f>'Business travel, commute, home'!J20</f>
        <v/>
      </c>
      <c r="R189" s="432" t="str">
        <f>'Business travel, commute, home'!K20</f>
        <v/>
      </c>
      <c r="S189" s="432" t="str">
        <f>'Business travel, commute, home'!L20</f>
        <v/>
      </c>
      <c r="T189" s="432">
        <f>'Business travel, commute, home'!M20</f>
        <v>0</v>
      </c>
      <c r="U189" s="432">
        <f>'Business travel, commute, home'!N20</f>
        <v>0</v>
      </c>
      <c r="V189" s="432" t="str">
        <f>'Business travel, commute, home'!O20</f>
        <v/>
      </c>
      <c r="W189" s="432" t="str">
        <f>'Business travel, commute, home'!P20</f>
        <v/>
      </c>
      <c r="X189" s="432" t="str">
        <f>'Business travel, commute, home'!Q20</f>
        <v/>
      </c>
      <c r="Y189" s="432" t="str">
        <f>'Business travel, commute, home'!R20</f>
        <v/>
      </c>
      <c r="Z189" s="432" t="str">
        <f>'Business travel, commute, home'!S20</f>
        <v/>
      </c>
      <c r="AA189" s="432" t="str">
        <f>'Business travel, commute, home'!T20</f>
        <v/>
      </c>
      <c r="AB189" s="432" t="str">
        <f>'Business travel, commute, home'!U20</f>
        <v/>
      </c>
      <c r="AC189" s="432"/>
      <c r="AE189" s="432">
        <f t="shared" si="4"/>
        <v>0</v>
      </c>
      <c r="AF189" s="432">
        <f t="shared" si="5"/>
        <v>0</v>
      </c>
    </row>
    <row r="190" spans="2:32" x14ac:dyDescent="0.35">
      <c r="B190" s="432" t="e">
        <f>"2024"&amp;MATCH(Totals!D190,OrgType,0)&amp;"_"&amp;MATCH(Totals!E190,Organisations,0)&amp;"_"&amp;LEFT(Totals!F190,1)&amp;"_"&amp;LEFT(G190,1)&amp;"_"&amp;COUNTIF($G$3:G190,G190)</f>
        <v>#N/A</v>
      </c>
      <c r="C190" s="432">
        <v>2024</v>
      </c>
      <c r="D190" s="432">
        <f>Introduction!$D$7</f>
        <v>0</v>
      </c>
      <c r="E190" s="432">
        <f>Introduction!$D$8</f>
        <v>0</v>
      </c>
      <c r="F190" s="432" t="s">
        <v>1108</v>
      </c>
      <c r="G190" s="432" t="s">
        <v>70</v>
      </c>
      <c r="H190" s="433"/>
      <c r="I190" s="432">
        <f>'Business travel, commute, home'!B21</f>
        <v>0</v>
      </c>
      <c r="J190" s="432">
        <f>'Business travel, commute, home'!C21</f>
        <v>0</v>
      </c>
      <c r="K190" s="432">
        <f>'Business travel, commute, home'!D21</f>
        <v>0</v>
      </c>
      <c r="L190" s="432">
        <f>'Business travel, commute, home'!E21</f>
        <v>0</v>
      </c>
      <c r="M190" s="432" t="str">
        <f>'Business travel, commute, home'!F21</f>
        <v/>
      </c>
      <c r="N190" s="432">
        <f>'Business travel, commute, home'!G21</f>
        <v>0</v>
      </c>
      <c r="O190" s="432">
        <f>'Business travel, commute, home'!H21</f>
        <v>0</v>
      </c>
      <c r="P190" s="432" t="str">
        <f>'Business travel, commute, home'!I21</f>
        <v/>
      </c>
      <c r="Q190" s="432" t="str">
        <f>'Business travel, commute, home'!J21</f>
        <v/>
      </c>
      <c r="R190" s="432" t="str">
        <f>'Business travel, commute, home'!K21</f>
        <v/>
      </c>
      <c r="S190" s="432" t="str">
        <f>'Business travel, commute, home'!L21</f>
        <v/>
      </c>
      <c r="T190" s="432">
        <f>'Business travel, commute, home'!M21</f>
        <v>0</v>
      </c>
      <c r="U190" s="432">
        <f>'Business travel, commute, home'!N21</f>
        <v>0</v>
      </c>
      <c r="V190" s="432" t="str">
        <f>'Business travel, commute, home'!O21</f>
        <v/>
      </c>
      <c r="W190" s="432" t="str">
        <f>'Business travel, commute, home'!P21</f>
        <v/>
      </c>
      <c r="X190" s="432" t="str">
        <f>'Business travel, commute, home'!Q21</f>
        <v/>
      </c>
      <c r="Y190" s="432" t="str">
        <f>'Business travel, commute, home'!R21</f>
        <v/>
      </c>
      <c r="Z190" s="432" t="str">
        <f>'Business travel, commute, home'!S21</f>
        <v/>
      </c>
      <c r="AA190" s="432" t="str">
        <f>'Business travel, commute, home'!T21</f>
        <v/>
      </c>
      <c r="AB190" s="432" t="str">
        <f>'Business travel, commute, home'!U21</f>
        <v/>
      </c>
      <c r="AC190" s="432"/>
      <c r="AE190" s="432">
        <f t="shared" si="4"/>
        <v>0</v>
      </c>
      <c r="AF190" s="432">
        <f t="shared" si="5"/>
        <v>0</v>
      </c>
    </row>
    <row r="191" spans="2:32" x14ac:dyDescent="0.35">
      <c r="B191" s="432" t="e">
        <f>"2024"&amp;MATCH(Totals!D191,OrgType,0)&amp;"_"&amp;MATCH(Totals!E191,Organisations,0)&amp;"_"&amp;LEFT(Totals!F191,1)&amp;"_"&amp;LEFT(G191,1)&amp;"_"&amp;COUNTIF($G$3:G191,G191)</f>
        <v>#N/A</v>
      </c>
      <c r="C191" s="432">
        <v>2024</v>
      </c>
      <c r="D191" s="432">
        <f>Introduction!$D$7</f>
        <v>0</v>
      </c>
      <c r="E191" s="432">
        <f>Introduction!$D$8</f>
        <v>0</v>
      </c>
      <c r="F191" s="432" t="s">
        <v>1108</v>
      </c>
      <c r="G191" s="432" t="s">
        <v>70</v>
      </c>
      <c r="H191" s="433"/>
      <c r="I191" s="432">
        <f>'Business travel, commute, home'!B22</f>
        <v>0</v>
      </c>
      <c r="J191" s="432">
        <f>'Business travel, commute, home'!C22</f>
        <v>0</v>
      </c>
      <c r="K191" s="432">
        <f>'Business travel, commute, home'!D22</f>
        <v>0</v>
      </c>
      <c r="L191" s="432">
        <f>'Business travel, commute, home'!E22</f>
        <v>0</v>
      </c>
      <c r="M191" s="432" t="str">
        <f>'Business travel, commute, home'!F22</f>
        <v/>
      </c>
      <c r="N191" s="432">
        <f>'Business travel, commute, home'!G22</f>
        <v>0</v>
      </c>
      <c r="O191" s="432">
        <f>'Business travel, commute, home'!H22</f>
        <v>0</v>
      </c>
      <c r="P191" s="432" t="str">
        <f>'Business travel, commute, home'!I22</f>
        <v/>
      </c>
      <c r="Q191" s="432" t="str">
        <f>'Business travel, commute, home'!J22</f>
        <v/>
      </c>
      <c r="R191" s="432" t="str">
        <f>'Business travel, commute, home'!K22</f>
        <v/>
      </c>
      <c r="S191" s="432" t="str">
        <f>'Business travel, commute, home'!L22</f>
        <v/>
      </c>
      <c r="T191" s="432">
        <f>'Business travel, commute, home'!M22</f>
        <v>0</v>
      </c>
      <c r="U191" s="432">
        <f>'Business travel, commute, home'!N22</f>
        <v>0</v>
      </c>
      <c r="V191" s="432" t="str">
        <f>'Business travel, commute, home'!O22</f>
        <v/>
      </c>
      <c r="W191" s="432" t="str">
        <f>'Business travel, commute, home'!P22</f>
        <v/>
      </c>
      <c r="X191" s="432" t="str">
        <f>'Business travel, commute, home'!Q22</f>
        <v/>
      </c>
      <c r="Y191" s="432" t="str">
        <f>'Business travel, commute, home'!R22</f>
        <v/>
      </c>
      <c r="Z191" s="432" t="str">
        <f>'Business travel, commute, home'!S22</f>
        <v/>
      </c>
      <c r="AA191" s="432" t="str">
        <f>'Business travel, commute, home'!T22</f>
        <v/>
      </c>
      <c r="AB191" s="432" t="str">
        <f>'Business travel, commute, home'!U22</f>
        <v/>
      </c>
      <c r="AC191" s="432"/>
      <c r="AE191" s="432">
        <f t="shared" si="4"/>
        <v>0</v>
      </c>
      <c r="AF191" s="432">
        <f t="shared" si="5"/>
        <v>0</v>
      </c>
    </row>
    <row r="192" spans="2:32" x14ac:dyDescent="0.35">
      <c r="B192" s="432" t="e">
        <f>"2024"&amp;MATCH(Totals!D192,OrgType,0)&amp;"_"&amp;MATCH(Totals!E192,Organisations,0)&amp;"_"&amp;LEFT(Totals!F192,1)&amp;"_"&amp;LEFT(G192,1)&amp;"_"&amp;COUNTIF($G$3:G192,G192)</f>
        <v>#N/A</v>
      </c>
      <c r="C192" s="432">
        <v>2024</v>
      </c>
      <c r="D192" s="432">
        <f>Introduction!$D$7</f>
        <v>0</v>
      </c>
      <c r="E192" s="432">
        <f>Introduction!$D$8</f>
        <v>0</v>
      </c>
      <c r="F192" s="432" t="s">
        <v>1108</v>
      </c>
      <c r="G192" s="432" t="s">
        <v>70</v>
      </c>
      <c r="H192" s="433"/>
      <c r="I192" s="432">
        <f>'Business travel, commute, home'!B23</f>
        <v>0</v>
      </c>
      <c r="J192" s="432">
        <f>'Business travel, commute, home'!C23</f>
        <v>0</v>
      </c>
      <c r="K192" s="432">
        <f>'Business travel, commute, home'!D23</f>
        <v>0</v>
      </c>
      <c r="L192" s="432">
        <f>'Business travel, commute, home'!E23</f>
        <v>0</v>
      </c>
      <c r="M192" s="432" t="str">
        <f>'Business travel, commute, home'!F23</f>
        <v/>
      </c>
      <c r="N192" s="432">
        <f>'Business travel, commute, home'!G23</f>
        <v>0</v>
      </c>
      <c r="O192" s="432">
        <f>'Business travel, commute, home'!H23</f>
        <v>0</v>
      </c>
      <c r="P192" s="432" t="str">
        <f>'Business travel, commute, home'!I23</f>
        <v/>
      </c>
      <c r="Q192" s="432" t="str">
        <f>'Business travel, commute, home'!J23</f>
        <v/>
      </c>
      <c r="R192" s="432" t="str">
        <f>'Business travel, commute, home'!K23</f>
        <v/>
      </c>
      <c r="S192" s="432" t="str">
        <f>'Business travel, commute, home'!L23</f>
        <v/>
      </c>
      <c r="T192" s="432">
        <f>'Business travel, commute, home'!M23</f>
        <v>0</v>
      </c>
      <c r="U192" s="432">
        <f>'Business travel, commute, home'!N23</f>
        <v>0</v>
      </c>
      <c r="V192" s="432" t="str">
        <f>'Business travel, commute, home'!O23</f>
        <v/>
      </c>
      <c r="W192" s="432" t="str">
        <f>'Business travel, commute, home'!P23</f>
        <v/>
      </c>
      <c r="X192" s="432" t="str">
        <f>'Business travel, commute, home'!Q23</f>
        <v/>
      </c>
      <c r="Y192" s="432" t="str">
        <f>'Business travel, commute, home'!R23</f>
        <v/>
      </c>
      <c r="Z192" s="432" t="str">
        <f>'Business travel, commute, home'!S23</f>
        <v/>
      </c>
      <c r="AA192" s="432" t="str">
        <f>'Business travel, commute, home'!T23</f>
        <v/>
      </c>
      <c r="AB192" s="432" t="str">
        <f>'Business travel, commute, home'!U23</f>
        <v/>
      </c>
      <c r="AC192" s="432"/>
      <c r="AE192" s="432">
        <f t="shared" si="4"/>
        <v>0</v>
      </c>
      <c r="AF192" s="432">
        <f t="shared" si="5"/>
        <v>0</v>
      </c>
    </row>
    <row r="193" spans="2:32" x14ac:dyDescent="0.35">
      <c r="B193" s="432" t="e">
        <f>"2024"&amp;MATCH(Totals!D193,OrgType,0)&amp;"_"&amp;MATCH(Totals!E193,Organisations,0)&amp;"_"&amp;LEFT(Totals!F193,1)&amp;"_"&amp;LEFT(G193,1)&amp;"_"&amp;COUNTIF($G$3:G193,G193)</f>
        <v>#N/A</v>
      </c>
      <c r="C193" s="432">
        <v>2024</v>
      </c>
      <c r="D193" s="432">
        <f>Introduction!$D$7</f>
        <v>0</v>
      </c>
      <c r="E193" s="432">
        <f>Introduction!$D$8</f>
        <v>0</v>
      </c>
      <c r="F193" s="432" t="s">
        <v>1108</v>
      </c>
      <c r="G193" s="432" t="s">
        <v>70</v>
      </c>
      <c r="H193" s="433"/>
      <c r="I193" s="432">
        <f>'Business travel, commute, home'!B24</f>
        <v>0</v>
      </c>
      <c r="J193" s="432">
        <f>'Business travel, commute, home'!C24</f>
        <v>0</v>
      </c>
      <c r="K193" s="432">
        <f>'Business travel, commute, home'!D24</f>
        <v>0</v>
      </c>
      <c r="L193" s="432">
        <f>'Business travel, commute, home'!E24</f>
        <v>0</v>
      </c>
      <c r="M193" s="432" t="str">
        <f>'Business travel, commute, home'!F24</f>
        <v/>
      </c>
      <c r="N193" s="432">
        <f>'Business travel, commute, home'!G24</f>
        <v>0</v>
      </c>
      <c r="O193" s="432">
        <f>'Business travel, commute, home'!H24</f>
        <v>0</v>
      </c>
      <c r="P193" s="432" t="str">
        <f>'Business travel, commute, home'!I24</f>
        <v/>
      </c>
      <c r="Q193" s="432" t="str">
        <f>'Business travel, commute, home'!J24</f>
        <v/>
      </c>
      <c r="R193" s="432" t="str">
        <f>'Business travel, commute, home'!K24</f>
        <v/>
      </c>
      <c r="S193" s="432" t="str">
        <f>'Business travel, commute, home'!L24</f>
        <v/>
      </c>
      <c r="T193" s="432">
        <f>'Business travel, commute, home'!M24</f>
        <v>0</v>
      </c>
      <c r="U193" s="432">
        <f>'Business travel, commute, home'!N24</f>
        <v>0</v>
      </c>
      <c r="V193" s="432" t="str">
        <f>'Business travel, commute, home'!O24</f>
        <v/>
      </c>
      <c r="W193" s="432" t="str">
        <f>'Business travel, commute, home'!P24</f>
        <v/>
      </c>
      <c r="X193" s="432" t="str">
        <f>'Business travel, commute, home'!Q24</f>
        <v/>
      </c>
      <c r="Y193" s="432" t="str">
        <f>'Business travel, commute, home'!R24</f>
        <v/>
      </c>
      <c r="Z193" s="432" t="str">
        <f>'Business travel, commute, home'!S24</f>
        <v/>
      </c>
      <c r="AA193" s="432" t="str">
        <f>'Business travel, commute, home'!T24</f>
        <v/>
      </c>
      <c r="AB193" s="432" t="str">
        <f>'Business travel, commute, home'!U24</f>
        <v/>
      </c>
      <c r="AC193" s="432"/>
      <c r="AE193" s="432">
        <f t="shared" si="4"/>
        <v>0</v>
      </c>
      <c r="AF193" s="432">
        <f t="shared" si="5"/>
        <v>0</v>
      </c>
    </row>
    <row r="194" spans="2:32" x14ac:dyDescent="0.35">
      <c r="B194" s="432" t="e">
        <f>"2024"&amp;MATCH(Totals!D194,OrgType,0)&amp;"_"&amp;MATCH(Totals!E194,Organisations,0)&amp;"_"&amp;LEFT(Totals!F194,1)&amp;"_"&amp;LEFT(G194,1)&amp;"_"&amp;COUNTIF($G$3:G194,G194)</f>
        <v>#N/A</v>
      </c>
      <c r="C194" s="432">
        <v>2024</v>
      </c>
      <c r="D194" s="432">
        <f>Introduction!$D$7</f>
        <v>0</v>
      </c>
      <c r="E194" s="432">
        <f>Introduction!$D$8</f>
        <v>0</v>
      </c>
      <c r="F194" s="432" t="s">
        <v>1108</v>
      </c>
      <c r="G194" s="432" t="s">
        <v>70</v>
      </c>
      <c r="H194" s="433"/>
      <c r="I194" s="432">
        <f>'Business travel, commute, home'!B25</f>
        <v>0</v>
      </c>
      <c r="J194" s="432">
        <f>'Business travel, commute, home'!C25</f>
        <v>0</v>
      </c>
      <c r="K194" s="432">
        <f>'Business travel, commute, home'!D25</f>
        <v>0</v>
      </c>
      <c r="L194" s="432">
        <f>'Business travel, commute, home'!E25</f>
        <v>0</v>
      </c>
      <c r="M194" s="432" t="str">
        <f>'Business travel, commute, home'!F25</f>
        <v/>
      </c>
      <c r="N194" s="432">
        <f>'Business travel, commute, home'!G25</f>
        <v>0</v>
      </c>
      <c r="O194" s="432">
        <f>'Business travel, commute, home'!H25</f>
        <v>0</v>
      </c>
      <c r="P194" s="432" t="str">
        <f>'Business travel, commute, home'!I25</f>
        <v/>
      </c>
      <c r="Q194" s="432" t="str">
        <f>'Business travel, commute, home'!J25</f>
        <v/>
      </c>
      <c r="R194" s="432" t="str">
        <f>'Business travel, commute, home'!K25</f>
        <v/>
      </c>
      <c r="S194" s="432" t="str">
        <f>'Business travel, commute, home'!L25</f>
        <v/>
      </c>
      <c r="T194" s="432">
        <f>'Business travel, commute, home'!M25</f>
        <v>0</v>
      </c>
      <c r="U194" s="432">
        <f>'Business travel, commute, home'!N25</f>
        <v>0</v>
      </c>
      <c r="V194" s="432" t="str">
        <f>'Business travel, commute, home'!O25</f>
        <v/>
      </c>
      <c r="W194" s="432" t="str">
        <f>'Business travel, commute, home'!P25</f>
        <v/>
      </c>
      <c r="X194" s="432" t="str">
        <f>'Business travel, commute, home'!Q25</f>
        <v/>
      </c>
      <c r="Y194" s="432" t="str">
        <f>'Business travel, commute, home'!R25</f>
        <v/>
      </c>
      <c r="Z194" s="432" t="str">
        <f>'Business travel, commute, home'!S25</f>
        <v/>
      </c>
      <c r="AA194" s="432" t="str">
        <f>'Business travel, commute, home'!T25</f>
        <v/>
      </c>
      <c r="AB194" s="432" t="str">
        <f>'Business travel, commute, home'!U25</f>
        <v/>
      </c>
      <c r="AC194" s="432"/>
      <c r="AE194" s="432">
        <f t="shared" si="4"/>
        <v>0</v>
      </c>
      <c r="AF194" s="432">
        <f t="shared" si="5"/>
        <v>0</v>
      </c>
    </row>
    <row r="195" spans="2:32" x14ac:dyDescent="0.35">
      <c r="B195" s="432" t="e">
        <f>"2024"&amp;MATCH(Totals!D195,OrgType,0)&amp;"_"&amp;MATCH(Totals!E195,Organisations,0)&amp;"_"&amp;LEFT(Totals!F195,1)&amp;"_"&amp;LEFT(G195,1)&amp;"_"&amp;COUNTIF($G$3:G195,G195)</f>
        <v>#N/A</v>
      </c>
      <c r="C195" s="432">
        <v>2024</v>
      </c>
      <c r="D195" s="432">
        <f>Introduction!$D$7</f>
        <v>0</v>
      </c>
      <c r="E195" s="432">
        <f>Introduction!$D$8</f>
        <v>0</v>
      </c>
      <c r="F195" s="432" t="s">
        <v>1108</v>
      </c>
      <c r="G195" s="432" t="s">
        <v>70</v>
      </c>
      <c r="H195" s="433"/>
      <c r="I195" s="432">
        <f>'Business travel, commute, home'!B26</f>
        <v>0</v>
      </c>
      <c r="J195" s="432">
        <f>'Business travel, commute, home'!C26</f>
        <v>0</v>
      </c>
      <c r="K195" s="432">
        <f>'Business travel, commute, home'!D26</f>
        <v>0</v>
      </c>
      <c r="L195" s="432">
        <f>'Business travel, commute, home'!E26</f>
        <v>0</v>
      </c>
      <c r="M195" s="432" t="str">
        <f>'Business travel, commute, home'!F26</f>
        <v/>
      </c>
      <c r="N195" s="432">
        <f>'Business travel, commute, home'!G26</f>
        <v>0</v>
      </c>
      <c r="O195" s="432">
        <f>'Business travel, commute, home'!H26</f>
        <v>0</v>
      </c>
      <c r="P195" s="432" t="str">
        <f>'Business travel, commute, home'!I26</f>
        <v/>
      </c>
      <c r="Q195" s="432" t="str">
        <f>'Business travel, commute, home'!J26</f>
        <v/>
      </c>
      <c r="R195" s="432" t="str">
        <f>'Business travel, commute, home'!K26</f>
        <v/>
      </c>
      <c r="S195" s="432" t="str">
        <f>'Business travel, commute, home'!L26</f>
        <v/>
      </c>
      <c r="T195" s="432">
        <f>'Business travel, commute, home'!M26</f>
        <v>0</v>
      </c>
      <c r="U195" s="432">
        <f>'Business travel, commute, home'!N26</f>
        <v>0</v>
      </c>
      <c r="V195" s="432" t="str">
        <f>'Business travel, commute, home'!O26</f>
        <v/>
      </c>
      <c r="W195" s="432" t="str">
        <f>'Business travel, commute, home'!P26</f>
        <v/>
      </c>
      <c r="X195" s="432" t="str">
        <f>'Business travel, commute, home'!Q26</f>
        <v/>
      </c>
      <c r="Y195" s="432" t="str">
        <f>'Business travel, commute, home'!R26</f>
        <v/>
      </c>
      <c r="Z195" s="432" t="str">
        <f>'Business travel, commute, home'!S26</f>
        <v/>
      </c>
      <c r="AA195" s="432" t="str">
        <f>'Business travel, commute, home'!T26</f>
        <v/>
      </c>
      <c r="AB195" s="432" t="str">
        <f>'Business travel, commute, home'!U26</f>
        <v/>
      </c>
      <c r="AC195" s="432"/>
      <c r="AE195" s="432">
        <f t="shared" si="4"/>
        <v>0</v>
      </c>
      <c r="AF195" s="432">
        <f t="shared" si="5"/>
        <v>0</v>
      </c>
    </row>
    <row r="196" spans="2:32" x14ac:dyDescent="0.35">
      <c r="B196" s="432" t="e">
        <f>"2024"&amp;MATCH(Totals!D196,OrgType,0)&amp;"_"&amp;MATCH(Totals!E196,Organisations,0)&amp;"_"&amp;LEFT(Totals!F196,1)&amp;"_"&amp;LEFT(G196,1)&amp;"_"&amp;COUNTIF($G$3:G196,G196)</f>
        <v>#N/A</v>
      </c>
      <c r="C196" s="432">
        <v>2024</v>
      </c>
      <c r="D196" s="432">
        <f>Introduction!$D$7</f>
        <v>0</v>
      </c>
      <c r="E196" s="432">
        <f>Introduction!$D$8</f>
        <v>0</v>
      </c>
      <c r="F196" s="432" t="s">
        <v>1108</v>
      </c>
      <c r="G196" s="432" t="s">
        <v>70</v>
      </c>
      <c r="H196" s="433"/>
      <c r="I196" s="432">
        <f>'Business travel, commute, home'!B27</f>
        <v>0</v>
      </c>
      <c r="J196" s="432">
        <f>'Business travel, commute, home'!C27</f>
        <v>0</v>
      </c>
      <c r="K196" s="432">
        <f>'Business travel, commute, home'!D27</f>
        <v>0</v>
      </c>
      <c r="L196" s="432">
        <f>'Business travel, commute, home'!E27</f>
        <v>0</v>
      </c>
      <c r="M196" s="432" t="str">
        <f>'Business travel, commute, home'!F27</f>
        <v/>
      </c>
      <c r="N196" s="432">
        <f>'Business travel, commute, home'!G27</f>
        <v>0</v>
      </c>
      <c r="O196" s="432">
        <f>'Business travel, commute, home'!H27</f>
        <v>0</v>
      </c>
      <c r="P196" s="432" t="str">
        <f>'Business travel, commute, home'!I27</f>
        <v/>
      </c>
      <c r="Q196" s="432" t="str">
        <f>'Business travel, commute, home'!J27</f>
        <v/>
      </c>
      <c r="R196" s="432" t="str">
        <f>'Business travel, commute, home'!K27</f>
        <v/>
      </c>
      <c r="S196" s="432" t="str">
        <f>'Business travel, commute, home'!L27</f>
        <v/>
      </c>
      <c r="T196" s="432">
        <f>'Business travel, commute, home'!M27</f>
        <v>0</v>
      </c>
      <c r="U196" s="432">
        <f>'Business travel, commute, home'!N27</f>
        <v>0</v>
      </c>
      <c r="V196" s="432" t="str">
        <f>'Business travel, commute, home'!O27</f>
        <v/>
      </c>
      <c r="W196" s="432" t="str">
        <f>'Business travel, commute, home'!P27</f>
        <v/>
      </c>
      <c r="X196" s="432" t="str">
        <f>'Business travel, commute, home'!Q27</f>
        <v/>
      </c>
      <c r="Y196" s="432" t="str">
        <f>'Business travel, commute, home'!R27</f>
        <v/>
      </c>
      <c r="Z196" s="432" t="str">
        <f>'Business travel, commute, home'!S27</f>
        <v/>
      </c>
      <c r="AA196" s="432" t="str">
        <f>'Business travel, commute, home'!T27</f>
        <v/>
      </c>
      <c r="AB196" s="432" t="str">
        <f>'Business travel, commute, home'!U27</f>
        <v/>
      </c>
      <c r="AC196" s="432"/>
      <c r="AE196" s="432">
        <f t="shared" si="4"/>
        <v>0</v>
      </c>
      <c r="AF196" s="432">
        <f t="shared" si="5"/>
        <v>0</v>
      </c>
    </row>
    <row r="197" spans="2:32" x14ac:dyDescent="0.35">
      <c r="B197" s="432" t="e">
        <f>"2024"&amp;MATCH(Totals!D197,OrgType,0)&amp;"_"&amp;MATCH(Totals!E197,Organisations,0)&amp;"_"&amp;LEFT(Totals!F197,1)&amp;"_"&amp;LEFT(G197,1)&amp;"_"&amp;COUNTIF($G$3:G197,G197)</f>
        <v>#N/A</v>
      </c>
      <c r="C197" s="432">
        <v>2024</v>
      </c>
      <c r="D197" s="432">
        <f>Introduction!$D$7</f>
        <v>0</v>
      </c>
      <c r="E197" s="432">
        <f>Introduction!$D$8</f>
        <v>0</v>
      </c>
      <c r="F197" s="432" t="s">
        <v>1108</v>
      </c>
      <c r="G197" s="432" t="s">
        <v>70</v>
      </c>
      <c r="H197" s="433"/>
      <c r="I197" s="432">
        <f>'Business travel, commute, home'!B28</f>
        <v>0</v>
      </c>
      <c r="J197" s="432">
        <f>'Business travel, commute, home'!C28</f>
        <v>0</v>
      </c>
      <c r="K197" s="432">
        <f>'Business travel, commute, home'!D28</f>
        <v>0</v>
      </c>
      <c r="L197" s="432">
        <f>'Business travel, commute, home'!E28</f>
        <v>0</v>
      </c>
      <c r="M197" s="432" t="str">
        <f>'Business travel, commute, home'!F28</f>
        <v/>
      </c>
      <c r="N197" s="432">
        <f>'Business travel, commute, home'!G28</f>
        <v>0</v>
      </c>
      <c r="O197" s="432">
        <f>'Business travel, commute, home'!H28</f>
        <v>0</v>
      </c>
      <c r="P197" s="432" t="str">
        <f>'Business travel, commute, home'!I28</f>
        <v/>
      </c>
      <c r="Q197" s="432" t="str">
        <f>'Business travel, commute, home'!J28</f>
        <v/>
      </c>
      <c r="R197" s="432" t="str">
        <f>'Business travel, commute, home'!K28</f>
        <v/>
      </c>
      <c r="S197" s="432" t="str">
        <f>'Business travel, commute, home'!L28</f>
        <v/>
      </c>
      <c r="T197" s="432">
        <f>'Business travel, commute, home'!M28</f>
        <v>0</v>
      </c>
      <c r="U197" s="432">
        <f>'Business travel, commute, home'!N28</f>
        <v>0</v>
      </c>
      <c r="V197" s="432" t="str">
        <f>'Business travel, commute, home'!O28</f>
        <v/>
      </c>
      <c r="W197" s="432" t="str">
        <f>'Business travel, commute, home'!P28</f>
        <v/>
      </c>
      <c r="X197" s="432" t="str">
        <f>'Business travel, commute, home'!Q28</f>
        <v/>
      </c>
      <c r="Y197" s="432" t="str">
        <f>'Business travel, commute, home'!R28</f>
        <v/>
      </c>
      <c r="Z197" s="432" t="str">
        <f>'Business travel, commute, home'!S28</f>
        <v/>
      </c>
      <c r="AA197" s="432" t="str">
        <f>'Business travel, commute, home'!T28</f>
        <v/>
      </c>
      <c r="AB197" s="432" t="str">
        <f>'Business travel, commute, home'!U28</f>
        <v/>
      </c>
      <c r="AC197" s="432"/>
      <c r="AE197" s="432">
        <f t="shared" si="4"/>
        <v>0</v>
      </c>
      <c r="AF197" s="432">
        <f t="shared" si="5"/>
        <v>0</v>
      </c>
    </row>
    <row r="198" spans="2:32" x14ac:dyDescent="0.35">
      <c r="B198" s="432" t="e">
        <f>"2024"&amp;MATCH(Totals!D198,OrgType,0)&amp;"_"&amp;MATCH(Totals!E198,Organisations,0)&amp;"_"&amp;LEFT(Totals!F198,1)&amp;"_"&amp;LEFT(G198,1)&amp;"_"&amp;COUNTIF($G$3:G198,G198)</f>
        <v>#N/A</v>
      </c>
      <c r="C198" s="432">
        <v>2024</v>
      </c>
      <c r="D198" s="432">
        <f>Introduction!$D$7</f>
        <v>0</v>
      </c>
      <c r="E198" s="432">
        <f>Introduction!$D$8</f>
        <v>0</v>
      </c>
      <c r="F198" s="432" t="s">
        <v>1108</v>
      </c>
      <c r="G198" s="432" t="s">
        <v>70</v>
      </c>
      <c r="H198" s="433"/>
      <c r="I198" s="432">
        <f>'Business travel, commute, home'!B29</f>
        <v>0</v>
      </c>
      <c r="J198" s="432">
        <f>'Business travel, commute, home'!C29</f>
        <v>0</v>
      </c>
      <c r="K198" s="432">
        <f>'Business travel, commute, home'!D29</f>
        <v>0</v>
      </c>
      <c r="L198" s="432">
        <f>'Business travel, commute, home'!E29</f>
        <v>0</v>
      </c>
      <c r="M198" s="432" t="str">
        <f>'Business travel, commute, home'!F29</f>
        <v/>
      </c>
      <c r="N198" s="432">
        <f>'Business travel, commute, home'!G29</f>
        <v>0</v>
      </c>
      <c r="O198" s="432">
        <f>'Business travel, commute, home'!H29</f>
        <v>0</v>
      </c>
      <c r="P198" s="432" t="str">
        <f>'Business travel, commute, home'!I29</f>
        <v/>
      </c>
      <c r="Q198" s="432" t="str">
        <f>'Business travel, commute, home'!J29</f>
        <v/>
      </c>
      <c r="R198" s="432" t="str">
        <f>'Business travel, commute, home'!K29</f>
        <v/>
      </c>
      <c r="S198" s="432" t="str">
        <f>'Business travel, commute, home'!L29</f>
        <v/>
      </c>
      <c r="T198" s="432">
        <f>'Business travel, commute, home'!M29</f>
        <v>0</v>
      </c>
      <c r="U198" s="432">
        <f>'Business travel, commute, home'!N29</f>
        <v>0</v>
      </c>
      <c r="V198" s="432" t="str">
        <f>'Business travel, commute, home'!O29</f>
        <v/>
      </c>
      <c r="W198" s="432" t="str">
        <f>'Business travel, commute, home'!P29</f>
        <v/>
      </c>
      <c r="X198" s="432" t="str">
        <f>'Business travel, commute, home'!Q29</f>
        <v/>
      </c>
      <c r="Y198" s="432" t="str">
        <f>'Business travel, commute, home'!R29</f>
        <v/>
      </c>
      <c r="Z198" s="432" t="str">
        <f>'Business travel, commute, home'!S29</f>
        <v/>
      </c>
      <c r="AA198" s="432" t="str">
        <f>'Business travel, commute, home'!T29</f>
        <v/>
      </c>
      <c r="AB198" s="432" t="str">
        <f>'Business travel, commute, home'!U29</f>
        <v/>
      </c>
      <c r="AC198" s="432"/>
      <c r="AE198" s="432">
        <f t="shared" si="4"/>
        <v>0</v>
      </c>
      <c r="AF198" s="432">
        <f t="shared" si="5"/>
        <v>0</v>
      </c>
    </row>
    <row r="199" spans="2:32" x14ac:dyDescent="0.35">
      <c r="B199" s="432" t="e">
        <f>"2024"&amp;MATCH(Totals!D199,OrgType,0)&amp;"_"&amp;MATCH(Totals!E199,Organisations,0)&amp;"_"&amp;LEFT(Totals!F199,1)&amp;"_"&amp;LEFT(G199,1)&amp;"_"&amp;COUNTIF($G$3:G199,G199)</f>
        <v>#N/A</v>
      </c>
      <c r="C199" s="432">
        <v>2024</v>
      </c>
      <c r="D199" s="432">
        <f>Introduction!$D$7</f>
        <v>0</v>
      </c>
      <c r="E199" s="432">
        <f>Introduction!$D$8</f>
        <v>0</v>
      </c>
      <c r="F199" s="432" t="s">
        <v>1108</v>
      </c>
      <c r="G199" s="432" t="s">
        <v>70</v>
      </c>
      <c r="H199" s="433"/>
      <c r="I199" s="432">
        <f>'Business travel, commute, home'!B30</f>
        <v>0</v>
      </c>
      <c r="J199" s="432">
        <f>'Business travel, commute, home'!C30</f>
        <v>0</v>
      </c>
      <c r="K199" s="432">
        <f>'Business travel, commute, home'!D30</f>
        <v>0</v>
      </c>
      <c r="L199" s="432">
        <f>'Business travel, commute, home'!E30</f>
        <v>0</v>
      </c>
      <c r="M199" s="432" t="str">
        <f>'Business travel, commute, home'!F30</f>
        <v/>
      </c>
      <c r="N199" s="432">
        <f>'Business travel, commute, home'!G30</f>
        <v>0</v>
      </c>
      <c r="O199" s="432">
        <f>'Business travel, commute, home'!H30</f>
        <v>0</v>
      </c>
      <c r="P199" s="432" t="str">
        <f>'Business travel, commute, home'!I30</f>
        <v/>
      </c>
      <c r="Q199" s="432" t="str">
        <f>'Business travel, commute, home'!J30</f>
        <v/>
      </c>
      <c r="R199" s="432" t="str">
        <f>'Business travel, commute, home'!K30</f>
        <v/>
      </c>
      <c r="S199" s="432" t="str">
        <f>'Business travel, commute, home'!L30</f>
        <v/>
      </c>
      <c r="T199" s="432">
        <f>'Business travel, commute, home'!M30</f>
        <v>0</v>
      </c>
      <c r="U199" s="432">
        <f>'Business travel, commute, home'!N30</f>
        <v>0</v>
      </c>
      <c r="V199" s="432" t="str">
        <f>'Business travel, commute, home'!O30</f>
        <v/>
      </c>
      <c r="W199" s="432" t="str">
        <f>'Business travel, commute, home'!P30</f>
        <v/>
      </c>
      <c r="X199" s="432" t="str">
        <f>'Business travel, commute, home'!Q30</f>
        <v/>
      </c>
      <c r="Y199" s="432" t="str">
        <f>'Business travel, commute, home'!R30</f>
        <v/>
      </c>
      <c r="Z199" s="432" t="str">
        <f>'Business travel, commute, home'!S30</f>
        <v/>
      </c>
      <c r="AA199" s="432" t="str">
        <f>'Business travel, commute, home'!T30</f>
        <v/>
      </c>
      <c r="AB199" s="432" t="str">
        <f>'Business travel, commute, home'!U30</f>
        <v/>
      </c>
      <c r="AC199" s="432"/>
      <c r="AE199" s="432">
        <f t="shared" si="4"/>
        <v>0</v>
      </c>
      <c r="AF199" s="432">
        <f t="shared" si="5"/>
        <v>0</v>
      </c>
    </row>
    <row r="200" spans="2:32" x14ac:dyDescent="0.35">
      <c r="B200" s="432" t="e">
        <f>"2024"&amp;MATCH(Totals!D200,OrgType,0)&amp;"_"&amp;MATCH(Totals!E200,Organisations,0)&amp;"_"&amp;LEFT(Totals!F200,1)&amp;"_"&amp;LEFT(G200,1)&amp;"_"&amp;COUNTIF($G$3:G200,G200)</f>
        <v>#N/A</v>
      </c>
      <c r="C200" s="432">
        <v>2024</v>
      </c>
      <c r="D200" s="432">
        <f>Introduction!$D$7</f>
        <v>0</v>
      </c>
      <c r="E200" s="432">
        <f>Introduction!$D$8</f>
        <v>0</v>
      </c>
      <c r="F200" s="432" t="s">
        <v>1108</v>
      </c>
      <c r="G200" s="432" t="s">
        <v>70</v>
      </c>
      <c r="H200" s="433"/>
      <c r="I200" s="432">
        <f>'Business travel, commute, home'!B31</f>
        <v>0</v>
      </c>
      <c r="J200" s="432">
        <f>'Business travel, commute, home'!C31</f>
        <v>0</v>
      </c>
      <c r="K200" s="432">
        <f>'Business travel, commute, home'!D31</f>
        <v>0</v>
      </c>
      <c r="L200" s="432">
        <f>'Business travel, commute, home'!E31</f>
        <v>0</v>
      </c>
      <c r="M200" s="432" t="str">
        <f>'Business travel, commute, home'!F31</f>
        <v/>
      </c>
      <c r="N200" s="432">
        <f>'Business travel, commute, home'!G31</f>
        <v>0</v>
      </c>
      <c r="O200" s="432">
        <f>'Business travel, commute, home'!H31</f>
        <v>0</v>
      </c>
      <c r="P200" s="432" t="str">
        <f>'Business travel, commute, home'!I31</f>
        <v/>
      </c>
      <c r="Q200" s="432" t="str">
        <f>'Business travel, commute, home'!J31</f>
        <v/>
      </c>
      <c r="R200" s="432" t="str">
        <f>'Business travel, commute, home'!K31</f>
        <v/>
      </c>
      <c r="S200" s="432" t="str">
        <f>'Business travel, commute, home'!L31</f>
        <v/>
      </c>
      <c r="T200" s="432">
        <f>'Business travel, commute, home'!M31</f>
        <v>0</v>
      </c>
      <c r="U200" s="432">
        <f>'Business travel, commute, home'!N31</f>
        <v>0</v>
      </c>
      <c r="V200" s="432" t="str">
        <f>'Business travel, commute, home'!O31</f>
        <v/>
      </c>
      <c r="W200" s="432" t="str">
        <f>'Business travel, commute, home'!P31</f>
        <v/>
      </c>
      <c r="X200" s="432" t="str">
        <f>'Business travel, commute, home'!Q31</f>
        <v/>
      </c>
      <c r="Y200" s="432" t="str">
        <f>'Business travel, commute, home'!R31</f>
        <v/>
      </c>
      <c r="Z200" s="432" t="str">
        <f>'Business travel, commute, home'!S31</f>
        <v/>
      </c>
      <c r="AA200" s="432" t="str">
        <f>'Business travel, commute, home'!T31</f>
        <v/>
      </c>
      <c r="AB200" s="432" t="str">
        <f>'Business travel, commute, home'!U31</f>
        <v/>
      </c>
      <c r="AC200" s="432"/>
      <c r="AE200" s="432">
        <f t="shared" si="4"/>
        <v>0</v>
      </c>
      <c r="AF200" s="432">
        <f t="shared" si="5"/>
        <v>0</v>
      </c>
    </row>
    <row r="201" spans="2:32" x14ac:dyDescent="0.35">
      <c r="B201" s="432" t="e">
        <f>"2024"&amp;MATCH(Totals!D201,OrgType,0)&amp;"_"&amp;MATCH(Totals!E201,Organisations,0)&amp;"_"&amp;LEFT(Totals!F201,1)&amp;"_"&amp;LEFT(G201,1)&amp;"_"&amp;COUNTIF($G$3:G201,G201)</f>
        <v>#N/A</v>
      </c>
      <c r="C201" s="432">
        <v>2024</v>
      </c>
      <c r="D201" s="432">
        <f>Introduction!$D$7</f>
        <v>0</v>
      </c>
      <c r="E201" s="432">
        <f>Introduction!$D$8</f>
        <v>0</v>
      </c>
      <c r="F201" s="432" t="s">
        <v>1108</v>
      </c>
      <c r="G201" s="432" t="s">
        <v>70</v>
      </c>
      <c r="H201" s="433"/>
      <c r="I201" s="432">
        <f>'Business travel, commute, home'!B32</f>
        <v>0</v>
      </c>
      <c r="J201" s="432">
        <f>'Business travel, commute, home'!C32</f>
        <v>0</v>
      </c>
      <c r="K201" s="432">
        <f>'Business travel, commute, home'!D32</f>
        <v>0</v>
      </c>
      <c r="L201" s="432">
        <f>'Business travel, commute, home'!E32</f>
        <v>0</v>
      </c>
      <c r="M201" s="432" t="str">
        <f>'Business travel, commute, home'!F32</f>
        <v/>
      </c>
      <c r="N201" s="432">
        <f>'Business travel, commute, home'!G32</f>
        <v>0</v>
      </c>
      <c r="O201" s="432">
        <f>'Business travel, commute, home'!H32</f>
        <v>0</v>
      </c>
      <c r="P201" s="432" t="str">
        <f>'Business travel, commute, home'!I32</f>
        <v/>
      </c>
      <c r="Q201" s="432" t="str">
        <f>'Business travel, commute, home'!J32</f>
        <v/>
      </c>
      <c r="R201" s="432" t="str">
        <f>'Business travel, commute, home'!K32</f>
        <v/>
      </c>
      <c r="S201" s="432" t="str">
        <f>'Business travel, commute, home'!L32</f>
        <v/>
      </c>
      <c r="T201" s="432">
        <f>'Business travel, commute, home'!M32</f>
        <v>0</v>
      </c>
      <c r="U201" s="432">
        <f>'Business travel, commute, home'!N32</f>
        <v>0</v>
      </c>
      <c r="V201" s="432" t="str">
        <f>'Business travel, commute, home'!O32</f>
        <v/>
      </c>
      <c r="W201" s="432" t="str">
        <f>'Business travel, commute, home'!P32</f>
        <v/>
      </c>
      <c r="X201" s="432" t="str">
        <f>'Business travel, commute, home'!Q32</f>
        <v/>
      </c>
      <c r="Y201" s="432" t="str">
        <f>'Business travel, commute, home'!R32</f>
        <v/>
      </c>
      <c r="Z201" s="432" t="str">
        <f>'Business travel, commute, home'!S32</f>
        <v/>
      </c>
      <c r="AA201" s="432" t="str">
        <f>'Business travel, commute, home'!T32</f>
        <v/>
      </c>
      <c r="AB201" s="432" t="str">
        <f>'Business travel, commute, home'!U32</f>
        <v/>
      </c>
      <c r="AC201" s="432"/>
      <c r="AE201" s="432">
        <f t="shared" si="4"/>
        <v>0</v>
      </c>
      <c r="AF201" s="432">
        <f t="shared" si="5"/>
        <v>0</v>
      </c>
    </row>
    <row r="202" spans="2:32" x14ac:dyDescent="0.35">
      <c r="B202" s="432" t="e">
        <f>"2024"&amp;MATCH(Totals!D202,OrgType,0)&amp;"_"&amp;MATCH(Totals!E202,Organisations,0)&amp;"_"&amp;LEFT(Totals!F202,1)&amp;"_"&amp;LEFT(G202,1)&amp;"_"&amp;COUNTIF($G$3:G202,G202)</f>
        <v>#N/A</v>
      </c>
      <c r="C202" s="432">
        <v>2024</v>
      </c>
      <c r="D202" s="432">
        <f>Introduction!$D$7</f>
        <v>0</v>
      </c>
      <c r="E202" s="432">
        <f>Introduction!$D$8</f>
        <v>0</v>
      </c>
      <c r="F202" s="432" t="s">
        <v>1108</v>
      </c>
      <c r="G202" s="432" t="s">
        <v>70</v>
      </c>
      <c r="H202" s="433"/>
      <c r="I202" s="432">
        <f>'Business travel, commute, home'!B33</f>
        <v>0</v>
      </c>
      <c r="J202" s="432">
        <f>'Business travel, commute, home'!C33</f>
        <v>0</v>
      </c>
      <c r="K202" s="432">
        <f>'Business travel, commute, home'!D33</f>
        <v>0</v>
      </c>
      <c r="L202" s="432">
        <f>'Business travel, commute, home'!E33</f>
        <v>0</v>
      </c>
      <c r="M202" s="432" t="str">
        <f>'Business travel, commute, home'!F33</f>
        <v/>
      </c>
      <c r="N202" s="432">
        <f>'Business travel, commute, home'!G33</f>
        <v>0</v>
      </c>
      <c r="O202" s="432">
        <f>'Business travel, commute, home'!H33</f>
        <v>0</v>
      </c>
      <c r="P202" s="432" t="str">
        <f>'Business travel, commute, home'!I33</f>
        <v/>
      </c>
      <c r="Q202" s="432" t="str">
        <f>'Business travel, commute, home'!J33</f>
        <v/>
      </c>
      <c r="R202" s="432" t="str">
        <f>'Business travel, commute, home'!K33</f>
        <v/>
      </c>
      <c r="S202" s="432" t="str">
        <f>'Business travel, commute, home'!L33</f>
        <v/>
      </c>
      <c r="T202" s="432">
        <f>'Business travel, commute, home'!M33</f>
        <v>0</v>
      </c>
      <c r="U202" s="432">
        <f>'Business travel, commute, home'!N33</f>
        <v>0</v>
      </c>
      <c r="V202" s="432" t="str">
        <f>'Business travel, commute, home'!O33</f>
        <v/>
      </c>
      <c r="W202" s="432" t="str">
        <f>'Business travel, commute, home'!P33</f>
        <v/>
      </c>
      <c r="X202" s="432" t="str">
        <f>'Business travel, commute, home'!Q33</f>
        <v/>
      </c>
      <c r="Y202" s="432" t="str">
        <f>'Business travel, commute, home'!R33</f>
        <v/>
      </c>
      <c r="Z202" s="432" t="str">
        <f>'Business travel, commute, home'!S33</f>
        <v/>
      </c>
      <c r="AA202" s="432" t="str">
        <f>'Business travel, commute, home'!T33</f>
        <v/>
      </c>
      <c r="AB202" s="432" t="str">
        <f>'Business travel, commute, home'!U33</f>
        <v/>
      </c>
      <c r="AC202" s="432"/>
      <c r="AE202" s="432">
        <f t="shared" si="4"/>
        <v>0</v>
      </c>
      <c r="AF202" s="432">
        <f t="shared" si="5"/>
        <v>0</v>
      </c>
    </row>
    <row r="203" spans="2:32" x14ac:dyDescent="0.35">
      <c r="B203" s="432" t="e">
        <f>"2024"&amp;MATCH(Totals!D203,OrgType,0)&amp;"_"&amp;MATCH(Totals!E203,Organisations,0)&amp;"_"&amp;LEFT(Totals!F203,1)&amp;"_"&amp;LEFT(G203,1)&amp;"_"&amp;COUNTIF($G$3:G203,G203)</f>
        <v>#N/A</v>
      </c>
      <c r="C203" s="432">
        <v>2024</v>
      </c>
      <c r="D203" s="432">
        <f>Introduction!$D$7</f>
        <v>0</v>
      </c>
      <c r="E203" s="432">
        <f>Introduction!$D$8</f>
        <v>0</v>
      </c>
      <c r="F203" s="432" t="s">
        <v>1108</v>
      </c>
      <c r="G203" s="432" t="s">
        <v>70</v>
      </c>
      <c r="H203" s="433"/>
      <c r="I203" s="432">
        <f>'Business travel, commute, home'!B34</f>
        <v>0</v>
      </c>
      <c r="J203" s="432">
        <f>'Business travel, commute, home'!C34</f>
        <v>0</v>
      </c>
      <c r="K203" s="432">
        <f>'Business travel, commute, home'!D34</f>
        <v>0</v>
      </c>
      <c r="L203" s="432">
        <f>'Business travel, commute, home'!E34</f>
        <v>0</v>
      </c>
      <c r="M203" s="432" t="str">
        <f>'Business travel, commute, home'!F34</f>
        <v/>
      </c>
      <c r="N203" s="432">
        <f>'Business travel, commute, home'!G34</f>
        <v>0</v>
      </c>
      <c r="O203" s="432">
        <f>'Business travel, commute, home'!H34</f>
        <v>0</v>
      </c>
      <c r="P203" s="432" t="str">
        <f>'Business travel, commute, home'!I34</f>
        <v/>
      </c>
      <c r="Q203" s="432" t="str">
        <f>'Business travel, commute, home'!J34</f>
        <v/>
      </c>
      <c r="R203" s="432" t="str">
        <f>'Business travel, commute, home'!K34</f>
        <v/>
      </c>
      <c r="S203" s="432" t="str">
        <f>'Business travel, commute, home'!L34</f>
        <v/>
      </c>
      <c r="T203" s="432">
        <f>'Business travel, commute, home'!M34</f>
        <v>0</v>
      </c>
      <c r="U203" s="432">
        <f>'Business travel, commute, home'!N34</f>
        <v>0</v>
      </c>
      <c r="V203" s="432" t="str">
        <f>'Business travel, commute, home'!O34</f>
        <v/>
      </c>
      <c r="W203" s="432" t="str">
        <f>'Business travel, commute, home'!P34</f>
        <v/>
      </c>
      <c r="X203" s="432" t="str">
        <f>'Business travel, commute, home'!Q34</f>
        <v/>
      </c>
      <c r="Y203" s="432" t="str">
        <f>'Business travel, commute, home'!R34</f>
        <v/>
      </c>
      <c r="Z203" s="432" t="str">
        <f>'Business travel, commute, home'!S34</f>
        <v/>
      </c>
      <c r="AA203" s="432" t="str">
        <f>'Business travel, commute, home'!T34</f>
        <v/>
      </c>
      <c r="AB203" s="432" t="str">
        <f>'Business travel, commute, home'!U34</f>
        <v/>
      </c>
      <c r="AC203" s="432"/>
      <c r="AE203" s="432">
        <f t="shared" si="4"/>
        <v>0</v>
      </c>
      <c r="AF203" s="432">
        <f t="shared" si="5"/>
        <v>0</v>
      </c>
    </row>
    <row r="204" spans="2:32" x14ac:dyDescent="0.35">
      <c r="B204" s="432" t="e">
        <f>"2024"&amp;MATCH(Totals!D204,OrgType,0)&amp;"_"&amp;MATCH(Totals!E204,Organisations,0)&amp;"_"&amp;LEFT(Totals!F204,1)&amp;"_"&amp;LEFT(G204,1)&amp;"_"&amp;COUNTIF($G$3:G204,G204)</f>
        <v>#N/A</v>
      </c>
      <c r="C204" s="432">
        <v>2024</v>
      </c>
      <c r="D204" s="432">
        <f>Introduction!$D$7</f>
        <v>0</v>
      </c>
      <c r="E204" s="432">
        <f>Introduction!$D$8</f>
        <v>0</v>
      </c>
      <c r="F204" s="432" t="s">
        <v>1108</v>
      </c>
      <c r="G204" s="432" t="s">
        <v>71</v>
      </c>
      <c r="H204" s="433"/>
      <c r="I204" s="432">
        <f>'Business travel, commute, home'!B38</f>
        <v>0</v>
      </c>
      <c r="J204" s="432">
        <f>'Business travel, commute, home'!C38</f>
        <v>0</v>
      </c>
      <c r="K204" s="432">
        <f>'Business travel, commute, home'!D38</f>
        <v>0</v>
      </c>
      <c r="L204" s="432">
        <f>'Business travel, commute, home'!E38</f>
        <v>0</v>
      </c>
      <c r="M204" s="432" t="str">
        <f>'Business travel, commute, home'!F38</f>
        <v/>
      </c>
      <c r="N204" s="432">
        <f>'Business travel, commute, home'!G38</f>
        <v>0</v>
      </c>
      <c r="O204" s="432">
        <f>'Business travel, commute, home'!H38</f>
        <v>0</v>
      </c>
      <c r="P204" s="432" t="str">
        <f>'Business travel, commute, home'!I38</f>
        <v/>
      </c>
      <c r="Q204" s="432" t="str">
        <f>'Business travel, commute, home'!J38</f>
        <v/>
      </c>
      <c r="R204" s="432" t="str">
        <f>'Business travel, commute, home'!K38</f>
        <v/>
      </c>
      <c r="S204" s="432" t="str">
        <f>'Business travel, commute, home'!L38</f>
        <v/>
      </c>
      <c r="T204" s="432">
        <f>'Business travel, commute, home'!M38</f>
        <v>0</v>
      </c>
      <c r="U204" s="432">
        <f>'Business travel, commute, home'!N38</f>
        <v>0</v>
      </c>
      <c r="V204" s="432" t="str">
        <f>'Business travel, commute, home'!O38</f>
        <v/>
      </c>
      <c r="W204" s="432" t="str">
        <f>'Business travel, commute, home'!P38</f>
        <v/>
      </c>
      <c r="X204" s="432" t="str">
        <f>'Business travel, commute, home'!Q38</f>
        <v/>
      </c>
      <c r="Y204" s="432" t="str">
        <f>'Business travel, commute, home'!R38</f>
        <v/>
      </c>
      <c r="Z204" s="432" t="str">
        <f>'Business travel, commute, home'!S38</f>
        <v/>
      </c>
      <c r="AA204" s="432" t="str">
        <f>'Business travel, commute, home'!T38</f>
        <v/>
      </c>
      <c r="AB204" s="432" t="str">
        <f>'Business travel, commute, home'!U38</f>
        <v/>
      </c>
      <c r="AC204" s="432"/>
      <c r="AE204" s="432">
        <f t="shared" si="4"/>
        <v>0</v>
      </c>
      <c r="AF204" s="432">
        <f t="shared" si="5"/>
        <v>0</v>
      </c>
    </row>
    <row r="205" spans="2:32" x14ac:dyDescent="0.35">
      <c r="B205" s="432" t="e">
        <f>"2024"&amp;MATCH(Totals!D205,OrgType,0)&amp;"_"&amp;MATCH(Totals!E205,Organisations,0)&amp;"_"&amp;LEFT(Totals!F205,1)&amp;"_"&amp;LEFT(G205,1)&amp;"_"&amp;COUNTIF($G$3:G205,G205)</f>
        <v>#N/A</v>
      </c>
      <c r="C205" s="432">
        <v>2024</v>
      </c>
      <c r="D205" s="432">
        <f>Introduction!$D$7</f>
        <v>0</v>
      </c>
      <c r="E205" s="432">
        <f>Introduction!$D$8</f>
        <v>0</v>
      </c>
      <c r="F205" s="432" t="s">
        <v>1108</v>
      </c>
      <c r="G205" s="432" t="s">
        <v>71</v>
      </c>
      <c r="H205" s="433"/>
      <c r="I205" s="432">
        <f>'Business travel, commute, home'!B39</f>
        <v>0</v>
      </c>
      <c r="J205" s="432">
        <f>'Business travel, commute, home'!C39</f>
        <v>0</v>
      </c>
      <c r="K205" s="432">
        <f>'Business travel, commute, home'!D39</f>
        <v>0</v>
      </c>
      <c r="L205" s="432">
        <f>'Business travel, commute, home'!E39</f>
        <v>0</v>
      </c>
      <c r="M205" s="432" t="str">
        <f>'Business travel, commute, home'!F39</f>
        <v/>
      </c>
      <c r="N205" s="432">
        <f>'Business travel, commute, home'!G39</f>
        <v>0</v>
      </c>
      <c r="O205" s="432">
        <f>'Business travel, commute, home'!H39</f>
        <v>0</v>
      </c>
      <c r="P205" s="432" t="str">
        <f>'Business travel, commute, home'!I39</f>
        <v/>
      </c>
      <c r="Q205" s="432" t="str">
        <f>'Business travel, commute, home'!J39</f>
        <v/>
      </c>
      <c r="R205" s="432" t="str">
        <f>'Business travel, commute, home'!K39</f>
        <v/>
      </c>
      <c r="S205" s="432" t="str">
        <f>'Business travel, commute, home'!L39</f>
        <v/>
      </c>
      <c r="T205" s="432">
        <f>'Business travel, commute, home'!M39</f>
        <v>0</v>
      </c>
      <c r="U205" s="432">
        <f>'Business travel, commute, home'!N39</f>
        <v>0</v>
      </c>
      <c r="V205" s="432" t="str">
        <f>'Business travel, commute, home'!O39</f>
        <v/>
      </c>
      <c r="W205" s="432" t="str">
        <f>'Business travel, commute, home'!P39</f>
        <v/>
      </c>
      <c r="X205" s="432" t="str">
        <f>'Business travel, commute, home'!Q39</f>
        <v/>
      </c>
      <c r="Y205" s="432" t="str">
        <f>'Business travel, commute, home'!R39</f>
        <v/>
      </c>
      <c r="Z205" s="432" t="str">
        <f>'Business travel, commute, home'!S39</f>
        <v/>
      </c>
      <c r="AA205" s="432" t="str">
        <f>'Business travel, commute, home'!T39</f>
        <v/>
      </c>
      <c r="AB205" s="432" t="str">
        <f>'Business travel, commute, home'!U39</f>
        <v/>
      </c>
      <c r="AC205" s="432"/>
      <c r="AE205" s="432">
        <f t="shared" si="4"/>
        <v>0</v>
      </c>
      <c r="AF205" s="432">
        <f t="shared" si="5"/>
        <v>0</v>
      </c>
    </row>
    <row r="206" spans="2:32" x14ac:dyDescent="0.35">
      <c r="B206" s="432" t="e">
        <f>"2024"&amp;MATCH(Totals!D206,OrgType,0)&amp;"_"&amp;MATCH(Totals!E206,Organisations,0)&amp;"_"&amp;LEFT(Totals!F206,1)&amp;"_"&amp;LEFT(G206,1)&amp;"_"&amp;COUNTIF($G$3:G206,G206)</f>
        <v>#N/A</v>
      </c>
      <c r="C206" s="432">
        <v>2024</v>
      </c>
      <c r="D206" s="432">
        <f>Introduction!$D$7</f>
        <v>0</v>
      </c>
      <c r="E206" s="432">
        <f>Introduction!$D$8</f>
        <v>0</v>
      </c>
      <c r="F206" s="432" t="s">
        <v>1108</v>
      </c>
      <c r="G206" s="432" t="s">
        <v>71</v>
      </c>
      <c r="H206" s="433"/>
      <c r="I206" s="432">
        <f>'Business travel, commute, home'!B40</f>
        <v>0</v>
      </c>
      <c r="J206" s="432">
        <f>'Business travel, commute, home'!C40</f>
        <v>0</v>
      </c>
      <c r="K206" s="432">
        <f>'Business travel, commute, home'!D40</f>
        <v>0</v>
      </c>
      <c r="L206" s="432">
        <f>'Business travel, commute, home'!E40</f>
        <v>0</v>
      </c>
      <c r="M206" s="432" t="str">
        <f>'Business travel, commute, home'!F40</f>
        <v/>
      </c>
      <c r="N206" s="432">
        <f>'Business travel, commute, home'!G40</f>
        <v>0</v>
      </c>
      <c r="O206" s="432">
        <f>'Business travel, commute, home'!H40</f>
        <v>0</v>
      </c>
      <c r="P206" s="432" t="str">
        <f>'Business travel, commute, home'!I40</f>
        <v/>
      </c>
      <c r="Q206" s="432" t="str">
        <f>'Business travel, commute, home'!J40</f>
        <v/>
      </c>
      <c r="R206" s="432" t="str">
        <f>'Business travel, commute, home'!K40</f>
        <v/>
      </c>
      <c r="S206" s="432" t="str">
        <f>'Business travel, commute, home'!L40</f>
        <v/>
      </c>
      <c r="T206" s="432">
        <f>'Business travel, commute, home'!M40</f>
        <v>0</v>
      </c>
      <c r="U206" s="432">
        <f>'Business travel, commute, home'!N40</f>
        <v>0</v>
      </c>
      <c r="V206" s="432" t="str">
        <f>'Business travel, commute, home'!O40</f>
        <v/>
      </c>
      <c r="W206" s="432" t="str">
        <f>'Business travel, commute, home'!P40</f>
        <v/>
      </c>
      <c r="X206" s="432" t="str">
        <f>'Business travel, commute, home'!Q40</f>
        <v/>
      </c>
      <c r="Y206" s="432" t="str">
        <f>'Business travel, commute, home'!R40</f>
        <v/>
      </c>
      <c r="Z206" s="432" t="str">
        <f>'Business travel, commute, home'!S40</f>
        <v/>
      </c>
      <c r="AA206" s="432" t="str">
        <f>'Business travel, commute, home'!T40</f>
        <v/>
      </c>
      <c r="AB206" s="432" t="str">
        <f>'Business travel, commute, home'!U40</f>
        <v/>
      </c>
      <c r="AC206" s="432"/>
      <c r="AE206" s="432">
        <f t="shared" si="4"/>
        <v>0</v>
      </c>
      <c r="AF206" s="432">
        <f t="shared" si="5"/>
        <v>0</v>
      </c>
    </row>
    <row r="207" spans="2:32" x14ac:dyDescent="0.35">
      <c r="B207" s="432" t="e">
        <f>"2024"&amp;MATCH(Totals!D207,OrgType,0)&amp;"_"&amp;MATCH(Totals!E207,Organisations,0)&amp;"_"&amp;LEFT(Totals!F207,1)&amp;"_"&amp;LEFT(G207,1)&amp;"_"&amp;COUNTIF($G$3:G207,G207)</f>
        <v>#N/A</v>
      </c>
      <c r="C207" s="432">
        <v>2024</v>
      </c>
      <c r="D207" s="432">
        <f>Introduction!$D$7</f>
        <v>0</v>
      </c>
      <c r="E207" s="432">
        <f>Introduction!$D$8</f>
        <v>0</v>
      </c>
      <c r="F207" s="432" t="s">
        <v>1108</v>
      </c>
      <c r="G207" s="432" t="s">
        <v>71</v>
      </c>
      <c r="H207" s="433"/>
      <c r="I207" s="432">
        <f>'Business travel, commute, home'!B41</f>
        <v>0</v>
      </c>
      <c r="J207" s="432">
        <f>'Business travel, commute, home'!C41</f>
        <v>0</v>
      </c>
      <c r="K207" s="432">
        <f>'Business travel, commute, home'!D41</f>
        <v>0</v>
      </c>
      <c r="L207" s="432">
        <f>'Business travel, commute, home'!E41</f>
        <v>0</v>
      </c>
      <c r="M207" s="432" t="str">
        <f>'Business travel, commute, home'!F41</f>
        <v/>
      </c>
      <c r="N207" s="432">
        <f>'Business travel, commute, home'!G41</f>
        <v>0</v>
      </c>
      <c r="O207" s="432">
        <f>'Business travel, commute, home'!H41</f>
        <v>0</v>
      </c>
      <c r="P207" s="432" t="str">
        <f>'Business travel, commute, home'!I41</f>
        <v/>
      </c>
      <c r="Q207" s="432" t="str">
        <f>'Business travel, commute, home'!J41</f>
        <v/>
      </c>
      <c r="R207" s="432" t="str">
        <f>'Business travel, commute, home'!K41</f>
        <v/>
      </c>
      <c r="S207" s="432" t="str">
        <f>'Business travel, commute, home'!L41</f>
        <v/>
      </c>
      <c r="T207" s="432">
        <f>'Business travel, commute, home'!M41</f>
        <v>0</v>
      </c>
      <c r="U207" s="432">
        <f>'Business travel, commute, home'!N41</f>
        <v>0</v>
      </c>
      <c r="V207" s="432" t="str">
        <f>'Business travel, commute, home'!O41</f>
        <v/>
      </c>
      <c r="W207" s="432" t="str">
        <f>'Business travel, commute, home'!P41</f>
        <v/>
      </c>
      <c r="X207" s="432" t="str">
        <f>'Business travel, commute, home'!Q41</f>
        <v/>
      </c>
      <c r="Y207" s="432" t="str">
        <f>'Business travel, commute, home'!R41</f>
        <v/>
      </c>
      <c r="Z207" s="432" t="str">
        <f>'Business travel, commute, home'!S41</f>
        <v/>
      </c>
      <c r="AA207" s="432" t="str">
        <f>'Business travel, commute, home'!T41</f>
        <v/>
      </c>
      <c r="AB207" s="432" t="str">
        <f>'Business travel, commute, home'!U41</f>
        <v/>
      </c>
      <c r="AC207" s="432"/>
      <c r="AE207" s="432">
        <f t="shared" si="4"/>
        <v>0</v>
      </c>
      <c r="AF207" s="432">
        <f t="shared" si="5"/>
        <v>0</v>
      </c>
    </row>
    <row r="208" spans="2:32" x14ac:dyDescent="0.35">
      <c r="B208" s="432" t="e">
        <f>"2024"&amp;MATCH(Totals!D208,OrgType,0)&amp;"_"&amp;MATCH(Totals!E208,Organisations,0)&amp;"_"&amp;LEFT(Totals!F208,1)&amp;"_"&amp;LEFT(G208,1)&amp;"_"&amp;COUNTIF($G$3:G208,G208)</f>
        <v>#N/A</v>
      </c>
      <c r="C208" s="432">
        <v>2024</v>
      </c>
      <c r="D208" s="432">
        <f>Introduction!$D$7</f>
        <v>0</v>
      </c>
      <c r="E208" s="432">
        <f>Introduction!$D$8</f>
        <v>0</v>
      </c>
      <c r="F208" s="432" t="s">
        <v>1108</v>
      </c>
      <c r="G208" s="432" t="s">
        <v>71</v>
      </c>
      <c r="H208" s="433"/>
      <c r="I208" s="432">
        <f>'Business travel, commute, home'!B42</f>
        <v>0</v>
      </c>
      <c r="J208" s="432">
        <f>'Business travel, commute, home'!C42</f>
        <v>0</v>
      </c>
      <c r="K208" s="432">
        <f>'Business travel, commute, home'!D42</f>
        <v>0</v>
      </c>
      <c r="L208" s="432">
        <f>'Business travel, commute, home'!E42</f>
        <v>0</v>
      </c>
      <c r="M208" s="432" t="str">
        <f>'Business travel, commute, home'!F42</f>
        <v/>
      </c>
      <c r="N208" s="432">
        <f>'Business travel, commute, home'!G42</f>
        <v>0</v>
      </c>
      <c r="O208" s="432">
        <f>'Business travel, commute, home'!H42</f>
        <v>0</v>
      </c>
      <c r="P208" s="432" t="str">
        <f>'Business travel, commute, home'!I42</f>
        <v/>
      </c>
      <c r="Q208" s="432" t="str">
        <f>'Business travel, commute, home'!J42</f>
        <v/>
      </c>
      <c r="R208" s="432" t="str">
        <f>'Business travel, commute, home'!K42</f>
        <v/>
      </c>
      <c r="S208" s="432" t="str">
        <f>'Business travel, commute, home'!L42</f>
        <v/>
      </c>
      <c r="T208" s="432">
        <f>'Business travel, commute, home'!M42</f>
        <v>0</v>
      </c>
      <c r="U208" s="432">
        <f>'Business travel, commute, home'!N42</f>
        <v>0</v>
      </c>
      <c r="V208" s="432" t="str">
        <f>'Business travel, commute, home'!O42</f>
        <v/>
      </c>
      <c r="W208" s="432" t="str">
        <f>'Business travel, commute, home'!P42</f>
        <v/>
      </c>
      <c r="X208" s="432" t="str">
        <f>'Business travel, commute, home'!Q42</f>
        <v/>
      </c>
      <c r="Y208" s="432" t="str">
        <f>'Business travel, commute, home'!R42</f>
        <v/>
      </c>
      <c r="Z208" s="432" t="str">
        <f>'Business travel, commute, home'!S42</f>
        <v/>
      </c>
      <c r="AA208" s="432" t="str">
        <f>'Business travel, commute, home'!T42</f>
        <v/>
      </c>
      <c r="AB208" s="432" t="str">
        <f>'Business travel, commute, home'!U42</f>
        <v/>
      </c>
      <c r="AC208" s="432"/>
      <c r="AE208" s="432">
        <f t="shared" si="4"/>
        <v>0</v>
      </c>
      <c r="AF208" s="432">
        <f t="shared" si="5"/>
        <v>0</v>
      </c>
    </row>
    <row r="209" spans="2:32" x14ac:dyDescent="0.35">
      <c r="B209" s="432" t="e">
        <f>"2024"&amp;MATCH(Totals!D209,OrgType,0)&amp;"_"&amp;MATCH(Totals!E209,Organisations,0)&amp;"_"&amp;LEFT(Totals!F209,1)&amp;"_"&amp;LEFT(G209,1)&amp;"_"&amp;COUNTIF($G$3:G209,G209)</f>
        <v>#N/A</v>
      </c>
      <c r="C209" s="432">
        <v>2024</v>
      </c>
      <c r="D209" s="432">
        <f>Introduction!$D$7</f>
        <v>0</v>
      </c>
      <c r="E209" s="432">
        <f>Introduction!$D$8</f>
        <v>0</v>
      </c>
      <c r="F209" s="432" t="s">
        <v>1108</v>
      </c>
      <c r="G209" s="432" t="s">
        <v>71</v>
      </c>
      <c r="H209" s="433"/>
      <c r="I209" s="432">
        <f>'Business travel, commute, home'!B43</f>
        <v>0</v>
      </c>
      <c r="J209" s="432">
        <f>'Business travel, commute, home'!C43</f>
        <v>0</v>
      </c>
      <c r="K209" s="432">
        <f>'Business travel, commute, home'!D43</f>
        <v>0</v>
      </c>
      <c r="L209" s="432">
        <f>'Business travel, commute, home'!E43</f>
        <v>0</v>
      </c>
      <c r="M209" s="432" t="str">
        <f>'Business travel, commute, home'!F43</f>
        <v/>
      </c>
      <c r="N209" s="432">
        <f>'Business travel, commute, home'!G43</f>
        <v>0</v>
      </c>
      <c r="O209" s="432">
        <f>'Business travel, commute, home'!H43</f>
        <v>0</v>
      </c>
      <c r="P209" s="432" t="str">
        <f>'Business travel, commute, home'!I43</f>
        <v/>
      </c>
      <c r="Q209" s="432" t="str">
        <f>'Business travel, commute, home'!J43</f>
        <v/>
      </c>
      <c r="R209" s="432" t="str">
        <f>'Business travel, commute, home'!K43</f>
        <v/>
      </c>
      <c r="S209" s="432" t="str">
        <f>'Business travel, commute, home'!L43</f>
        <v/>
      </c>
      <c r="T209" s="432">
        <f>'Business travel, commute, home'!M43</f>
        <v>0</v>
      </c>
      <c r="U209" s="432">
        <f>'Business travel, commute, home'!N43</f>
        <v>0</v>
      </c>
      <c r="V209" s="432" t="str">
        <f>'Business travel, commute, home'!O43</f>
        <v/>
      </c>
      <c r="W209" s="432" t="str">
        <f>'Business travel, commute, home'!P43</f>
        <v/>
      </c>
      <c r="X209" s="432" t="str">
        <f>'Business travel, commute, home'!Q43</f>
        <v/>
      </c>
      <c r="Y209" s="432" t="str">
        <f>'Business travel, commute, home'!R43</f>
        <v/>
      </c>
      <c r="Z209" s="432" t="str">
        <f>'Business travel, commute, home'!S43</f>
        <v/>
      </c>
      <c r="AA209" s="432" t="str">
        <f>'Business travel, commute, home'!T43</f>
        <v/>
      </c>
      <c r="AB209" s="432" t="str">
        <f>'Business travel, commute, home'!U43</f>
        <v/>
      </c>
      <c r="AC209" s="432"/>
      <c r="AE209" s="432">
        <f t="shared" si="4"/>
        <v>0</v>
      </c>
      <c r="AF209" s="432">
        <f t="shared" si="5"/>
        <v>0</v>
      </c>
    </row>
    <row r="210" spans="2:32" x14ac:dyDescent="0.35">
      <c r="B210" s="432" t="e">
        <f>"2024"&amp;MATCH(Totals!D210,OrgType,0)&amp;"_"&amp;MATCH(Totals!E210,Organisations,0)&amp;"_"&amp;LEFT(Totals!F210,1)&amp;"_"&amp;LEFT(G210,1)&amp;"_"&amp;COUNTIF($G$3:G210,G210)</f>
        <v>#N/A</v>
      </c>
      <c r="C210" s="432">
        <v>2024</v>
      </c>
      <c r="D210" s="432">
        <f>Introduction!$D$7</f>
        <v>0</v>
      </c>
      <c r="E210" s="432">
        <f>Introduction!$D$8</f>
        <v>0</v>
      </c>
      <c r="F210" s="432" t="s">
        <v>1108</v>
      </c>
      <c r="G210" s="432" t="s">
        <v>71</v>
      </c>
      <c r="H210" s="433"/>
      <c r="I210" s="432">
        <f>'Business travel, commute, home'!B44</f>
        <v>0</v>
      </c>
      <c r="J210" s="432">
        <f>'Business travel, commute, home'!C44</f>
        <v>0</v>
      </c>
      <c r="K210" s="432">
        <f>'Business travel, commute, home'!D44</f>
        <v>0</v>
      </c>
      <c r="L210" s="432">
        <f>'Business travel, commute, home'!E44</f>
        <v>0</v>
      </c>
      <c r="M210" s="432" t="str">
        <f>'Business travel, commute, home'!F44</f>
        <v/>
      </c>
      <c r="N210" s="432">
        <f>'Business travel, commute, home'!G44</f>
        <v>0</v>
      </c>
      <c r="O210" s="432">
        <f>'Business travel, commute, home'!H44</f>
        <v>0</v>
      </c>
      <c r="P210" s="432" t="str">
        <f>'Business travel, commute, home'!I44</f>
        <v/>
      </c>
      <c r="Q210" s="432" t="str">
        <f>'Business travel, commute, home'!J44</f>
        <v/>
      </c>
      <c r="R210" s="432" t="str">
        <f>'Business travel, commute, home'!K44</f>
        <v/>
      </c>
      <c r="S210" s="432" t="str">
        <f>'Business travel, commute, home'!L44</f>
        <v/>
      </c>
      <c r="T210" s="432">
        <f>'Business travel, commute, home'!M44</f>
        <v>0</v>
      </c>
      <c r="U210" s="432">
        <f>'Business travel, commute, home'!N44</f>
        <v>0</v>
      </c>
      <c r="V210" s="432" t="str">
        <f>'Business travel, commute, home'!O44</f>
        <v/>
      </c>
      <c r="W210" s="432" t="str">
        <f>'Business travel, commute, home'!P44</f>
        <v/>
      </c>
      <c r="X210" s="432" t="str">
        <f>'Business travel, commute, home'!Q44</f>
        <v/>
      </c>
      <c r="Y210" s="432" t="str">
        <f>'Business travel, commute, home'!R44</f>
        <v/>
      </c>
      <c r="Z210" s="432" t="str">
        <f>'Business travel, commute, home'!S44</f>
        <v/>
      </c>
      <c r="AA210" s="432" t="str">
        <f>'Business travel, commute, home'!T44</f>
        <v/>
      </c>
      <c r="AB210" s="432" t="str">
        <f>'Business travel, commute, home'!U44</f>
        <v/>
      </c>
      <c r="AC210" s="432"/>
      <c r="AE210" s="432">
        <f t="shared" si="4"/>
        <v>0</v>
      </c>
      <c r="AF210" s="432">
        <f t="shared" si="5"/>
        <v>0</v>
      </c>
    </row>
    <row r="211" spans="2:32" x14ac:dyDescent="0.35">
      <c r="B211" s="432" t="e">
        <f>"2024"&amp;MATCH(Totals!D211,OrgType,0)&amp;"_"&amp;MATCH(Totals!E211,Organisations,0)&amp;"_"&amp;LEFT(Totals!F211,1)&amp;"_"&amp;LEFT(G211,1)&amp;"_"&amp;COUNTIF($G$3:G211,G211)</f>
        <v>#N/A</v>
      </c>
      <c r="C211" s="432">
        <v>2024</v>
      </c>
      <c r="D211" s="432">
        <f>Introduction!$D$7</f>
        <v>0</v>
      </c>
      <c r="E211" s="432">
        <f>Introduction!$D$8</f>
        <v>0</v>
      </c>
      <c r="F211" s="432" t="s">
        <v>1108</v>
      </c>
      <c r="G211" s="432" t="s">
        <v>71</v>
      </c>
      <c r="H211" s="433"/>
      <c r="I211" s="432">
        <f>'Business travel, commute, home'!B45</f>
        <v>0</v>
      </c>
      <c r="J211" s="432">
        <f>'Business travel, commute, home'!C45</f>
        <v>0</v>
      </c>
      <c r="K211" s="432">
        <f>'Business travel, commute, home'!D45</f>
        <v>0</v>
      </c>
      <c r="L211" s="432">
        <f>'Business travel, commute, home'!E45</f>
        <v>0</v>
      </c>
      <c r="M211" s="432" t="str">
        <f>'Business travel, commute, home'!F45</f>
        <v/>
      </c>
      <c r="N211" s="432">
        <f>'Business travel, commute, home'!G45</f>
        <v>0</v>
      </c>
      <c r="O211" s="432">
        <f>'Business travel, commute, home'!H45</f>
        <v>0</v>
      </c>
      <c r="P211" s="432" t="str">
        <f>'Business travel, commute, home'!I45</f>
        <v/>
      </c>
      <c r="Q211" s="432" t="str">
        <f>'Business travel, commute, home'!J45</f>
        <v/>
      </c>
      <c r="R211" s="432" t="str">
        <f>'Business travel, commute, home'!K45</f>
        <v/>
      </c>
      <c r="S211" s="432" t="str">
        <f>'Business travel, commute, home'!L45</f>
        <v/>
      </c>
      <c r="T211" s="432">
        <f>'Business travel, commute, home'!M45</f>
        <v>0</v>
      </c>
      <c r="U211" s="432">
        <f>'Business travel, commute, home'!N45</f>
        <v>0</v>
      </c>
      <c r="V211" s="432" t="str">
        <f>'Business travel, commute, home'!O45</f>
        <v/>
      </c>
      <c r="W211" s="432" t="str">
        <f>'Business travel, commute, home'!P45</f>
        <v/>
      </c>
      <c r="X211" s="432" t="str">
        <f>'Business travel, commute, home'!Q45</f>
        <v/>
      </c>
      <c r="Y211" s="432" t="str">
        <f>'Business travel, commute, home'!R45</f>
        <v/>
      </c>
      <c r="Z211" s="432" t="str">
        <f>'Business travel, commute, home'!S45</f>
        <v/>
      </c>
      <c r="AA211" s="432" t="str">
        <f>'Business travel, commute, home'!T45</f>
        <v/>
      </c>
      <c r="AB211" s="432" t="str">
        <f>'Business travel, commute, home'!U45</f>
        <v/>
      </c>
      <c r="AC211" s="432"/>
      <c r="AE211" s="432">
        <f t="shared" si="4"/>
        <v>0</v>
      </c>
      <c r="AF211" s="432">
        <f t="shared" si="5"/>
        <v>0</v>
      </c>
    </row>
    <row r="212" spans="2:32" x14ac:dyDescent="0.35">
      <c r="B212" s="432" t="e">
        <f>"2024"&amp;MATCH(Totals!D212,OrgType,0)&amp;"_"&amp;MATCH(Totals!E212,Organisations,0)&amp;"_"&amp;LEFT(Totals!F212,1)&amp;"_"&amp;LEFT(G212,1)&amp;"_"&amp;COUNTIF($G$3:G212,G212)</f>
        <v>#N/A</v>
      </c>
      <c r="C212" s="432">
        <v>2024</v>
      </c>
      <c r="D212" s="432">
        <f>Introduction!$D$7</f>
        <v>0</v>
      </c>
      <c r="E212" s="432">
        <f>Introduction!$D$8</f>
        <v>0</v>
      </c>
      <c r="F212" s="432" t="s">
        <v>1108</v>
      </c>
      <c r="G212" s="432" t="s">
        <v>71</v>
      </c>
      <c r="H212" s="433"/>
      <c r="I212" s="432">
        <f>'Business travel, commute, home'!B46</f>
        <v>0</v>
      </c>
      <c r="J212" s="432">
        <f>'Business travel, commute, home'!C46</f>
        <v>0</v>
      </c>
      <c r="K212" s="432">
        <f>'Business travel, commute, home'!D46</f>
        <v>0</v>
      </c>
      <c r="L212" s="432">
        <f>'Business travel, commute, home'!E46</f>
        <v>0</v>
      </c>
      <c r="M212" s="432" t="str">
        <f>'Business travel, commute, home'!F46</f>
        <v/>
      </c>
      <c r="N212" s="432">
        <f>'Business travel, commute, home'!G46</f>
        <v>0</v>
      </c>
      <c r="O212" s="432">
        <f>'Business travel, commute, home'!H46</f>
        <v>0</v>
      </c>
      <c r="P212" s="432" t="str">
        <f>'Business travel, commute, home'!I46</f>
        <v/>
      </c>
      <c r="Q212" s="432" t="str">
        <f>'Business travel, commute, home'!J46</f>
        <v/>
      </c>
      <c r="R212" s="432" t="str">
        <f>'Business travel, commute, home'!K46</f>
        <v/>
      </c>
      <c r="S212" s="432" t="str">
        <f>'Business travel, commute, home'!L46</f>
        <v/>
      </c>
      <c r="T212" s="432">
        <f>'Business travel, commute, home'!M46</f>
        <v>0</v>
      </c>
      <c r="U212" s="432">
        <f>'Business travel, commute, home'!N46</f>
        <v>0</v>
      </c>
      <c r="V212" s="432" t="str">
        <f>'Business travel, commute, home'!O46</f>
        <v/>
      </c>
      <c r="W212" s="432" t="str">
        <f>'Business travel, commute, home'!P46</f>
        <v/>
      </c>
      <c r="X212" s="432" t="str">
        <f>'Business travel, commute, home'!Q46</f>
        <v/>
      </c>
      <c r="Y212" s="432" t="str">
        <f>'Business travel, commute, home'!R46</f>
        <v/>
      </c>
      <c r="Z212" s="432" t="str">
        <f>'Business travel, commute, home'!S46</f>
        <v/>
      </c>
      <c r="AA212" s="432" t="str">
        <f>'Business travel, commute, home'!T46</f>
        <v/>
      </c>
      <c r="AB212" s="432" t="str">
        <f>'Business travel, commute, home'!U46</f>
        <v/>
      </c>
      <c r="AC212" s="432"/>
      <c r="AE212" s="432">
        <f t="shared" si="4"/>
        <v>0</v>
      </c>
      <c r="AF212" s="432">
        <f t="shared" si="5"/>
        <v>0</v>
      </c>
    </row>
    <row r="213" spans="2:32" x14ac:dyDescent="0.35">
      <c r="B213" s="432" t="e">
        <f>"2024"&amp;MATCH(Totals!D213,OrgType,0)&amp;"_"&amp;MATCH(Totals!E213,Organisations,0)&amp;"_"&amp;LEFT(Totals!F213,1)&amp;"_"&amp;LEFT(G213,1)&amp;"_"&amp;COUNTIF($G$3:G213,G213)</f>
        <v>#N/A</v>
      </c>
      <c r="C213" s="432">
        <v>2024</v>
      </c>
      <c r="D213" s="432">
        <f>Introduction!$D$7</f>
        <v>0</v>
      </c>
      <c r="E213" s="432">
        <f>Introduction!$D$8</f>
        <v>0</v>
      </c>
      <c r="F213" s="432" t="s">
        <v>1108</v>
      </c>
      <c r="G213" s="432" t="s">
        <v>71</v>
      </c>
      <c r="H213" s="433"/>
      <c r="I213" s="432">
        <f>'Business travel, commute, home'!B47</f>
        <v>0</v>
      </c>
      <c r="J213" s="432">
        <f>'Business travel, commute, home'!C47</f>
        <v>0</v>
      </c>
      <c r="K213" s="432">
        <f>'Business travel, commute, home'!D47</f>
        <v>0</v>
      </c>
      <c r="L213" s="432">
        <f>'Business travel, commute, home'!E47</f>
        <v>0</v>
      </c>
      <c r="M213" s="432" t="str">
        <f>'Business travel, commute, home'!F47</f>
        <v/>
      </c>
      <c r="N213" s="432">
        <f>'Business travel, commute, home'!G47</f>
        <v>0</v>
      </c>
      <c r="O213" s="432">
        <f>'Business travel, commute, home'!H47</f>
        <v>0</v>
      </c>
      <c r="P213" s="432" t="str">
        <f>'Business travel, commute, home'!I47</f>
        <v/>
      </c>
      <c r="Q213" s="432" t="str">
        <f>'Business travel, commute, home'!J47</f>
        <v/>
      </c>
      <c r="R213" s="432" t="str">
        <f>'Business travel, commute, home'!K47</f>
        <v/>
      </c>
      <c r="S213" s="432" t="str">
        <f>'Business travel, commute, home'!L47</f>
        <v/>
      </c>
      <c r="T213" s="432">
        <f>'Business travel, commute, home'!M47</f>
        <v>0</v>
      </c>
      <c r="U213" s="432">
        <f>'Business travel, commute, home'!N47</f>
        <v>0</v>
      </c>
      <c r="V213" s="432" t="str">
        <f>'Business travel, commute, home'!O47</f>
        <v/>
      </c>
      <c r="W213" s="432" t="str">
        <f>'Business travel, commute, home'!P47</f>
        <v/>
      </c>
      <c r="X213" s="432" t="str">
        <f>'Business travel, commute, home'!Q47</f>
        <v/>
      </c>
      <c r="Y213" s="432" t="str">
        <f>'Business travel, commute, home'!R47</f>
        <v/>
      </c>
      <c r="Z213" s="432" t="str">
        <f>'Business travel, commute, home'!S47</f>
        <v/>
      </c>
      <c r="AA213" s="432" t="str">
        <f>'Business travel, commute, home'!T47</f>
        <v/>
      </c>
      <c r="AB213" s="432" t="str">
        <f>'Business travel, commute, home'!U47</f>
        <v/>
      </c>
      <c r="AC213" s="432"/>
      <c r="AE213" s="432">
        <f t="shared" si="4"/>
        <v>0</v>
      </c>
      <c r="AF213" s="432">
        <f t="shared" si="5"/>
        <v>0</v>
      </c>
    </row>
    <row r="214" spans="2:32" x14ac:dyDescent="0.35">
      <c r="B214" s="432" t="e">
        <f>"2024"&amp;MATCH(Totals!D214,OrgType,0)&amp;"_"&amp;MATCH(Totals!E214,Organisations,0)&amp;"_"&amp;LEFT(Totals!F214,1)&amp;"_"&amp;LEFT(G214,1)&amp;"_"&amp;COUNTIF($G$3:G214,G214)</f>
        <v>#N/A</v>
      </c>
      <c r="C214" s="432">
        <v>2024</v>
      </c>
      <c r="D214" s="432">
        <f>Introduction!$D$7</f>
        <v>0</v>
      </c>
      <c r="E214" s="432">
        <f>Introduction!$D$8</f>
        <v>0</v>
      </c>
      <c r="F214" s="432" t="s">
        <v>1108</v>
      </c>
      <c r="G214" s="432" t="s">
        <v>71</v>
      </c>
      <c r="H214" s="433"/>
      <c r="I214" s="432">
        <f>'Business travel, commute, home'!B48</f>
        <v>0</v>
      </c>
      <c r="J214" s="432">
        <f>'Business travel, commute, home'!C48</f>
        <v>0</v>
      </c>
      <c r="K214" s="432">
        <f>'Business travel, commute, home'!D48</f>
        <v>0</v>
      </c>
      <c r="L214" s="432">
        <f>'Business travel, commute, home'!E48</f>
        <v>0</v>
      </c>
      <c r="M214" s="432" t="str">
        <f>'Business travel, commute, home'!F48</f>
        <v/>
      </c>
      <c r="N214" s="432">
        <f>'Business travel, commute, home'!G48</f>
        <v>0</v>
      </c>
      <c r="O214" s="432">
        <f>'Business travel, commute, home'!H48</f>
        <v>0</v>
      </c>
      <c r="P214" s="432" t="str">
        <f>'Business travel, commute, home'!I48</f>
        <v/>
      </c>
      <c r="Q214" s="432" t="str">
        <f>'Business travel, commute, home'!J48</f>
        <v/>
      </c>
      <c r="R214" s="432" t="str">
        <f>'Business travel, commute, home'!K48</f>
        <v/>
      </c>
      <c r="S214" s="432" t="str">
        <f>'Business travel, commute, home'!L48</f>
        <v/>
      </c>
      <c r="T214" s="432">
        <f>'Business travel, commute, home'!M48</f>
        <v>0</v>
      </c>
      <c r="U214" s="432">
        <f>'Business travel, commute, home'!N48</f>
        <v>0</v>
      </c>
      <c r="V214" s="432" t="str">
        <f>'Business travel, commute, home'!O48</f>
        <v/>
      </c>
      <c r="W214" s="432" t="str">
        <f>'Business travel, commute, home'!P48</f>
        <v/>
      </c>
      <c r="X214" s="432" t="str">
        <f>'Business travel, commute, home'!Q48</f>
        <v/>
      </c>
      <c r="Y214" s="432" t="str">
        <f>'Business travel, commute, home'!R48</f>
        <v/>
      </c>
      <c r="Z214" s="432" t="str">
        <f>'Business travel, commute, home'!S48</f>
        <v/>
      </c>
      <c r="AA214" s="432" t="str">
        <f>'Business travel, commute, home'!T48</f>
        <v/>
      </c>
      <c r="AB214" s="432" t="str">
        <f>'Business travel, commute, home'!U48</f>
        <v/>
      </c>
      <c r="AC214" s="432"/>
      <c r="AE214" s="432">
        <f t="shared" ref="AE214:AE277" si="10">IF(AND(R214="",N214&lt;&gt;0),1,0)</f>
        <v>0</v>
      </c>
      <c r="AF214" s="432">
        <f t="shared" ref="AF214:AF277" si="11">IF(AND(S214="",N214&lt;&gt;0),1,0)</f>
        <v>0</v>
      </c>
    </row>
    <row r="215" spans="2:32" x14ac:dyDescent="0.35">
      <c r="B215" s="432" t="e">
        <f>"2024"&amp;MATCH(Totals!D215,OrgType,0)&amp;"_"&amp;MATCH(Totals!E215,Organisations,0)&amp;"_"&amp;LEFT(Totals!F215,1)&amp;"_"&amp;LEFT(G215,1)&amp;"_"&amp;COUNTIF($G$3:G215,G215)</f>
        <v>#N/A</v>
      </c>
      <c r="C215" s="432">
        <v>2024</v>
      </c>
      <c r="D215" s="432">
        <f>Introduction!$D$7</f>
        <v>0</v>
      </c>
      <c r="E215" s="432">
        <f>Introduction!$D$8</f>
        <v>0</v>
      </c>
      <c r="F215" s="432" t="s">
        <v>1108</v>
      </c>
      <c r="G215" s="432" t="s">
        <v>71</v>
      </c>
      <c r="H215" s="433"/>
      <c r="I215" s="432">
        <f>'Business travel, commute, home'!B49</f>
        <v>0</v>
      </c>
      <c r="J215" s="432">
        <f>'Business travel, commute, home'!C49</f>
        <v>0</v>
      </c>
      <c r="K215" s="432">
        <f>'Business travel, commute, home'!D49</f>
        <v>0</v>
      </c>
      <c r="L215" s="432">
        <f>'Business travel, commute, home'!E49</f>
        <v>0</v>
      </c>
      <c r="M215" s="432" t="str">
        <f>'Business travel, commute, home'!F49</f>
        <v/>
      </c>
      <c r="N215" s="432">
        <f>'Business travel, commute, home'!G49</f>
        <v>0</v>
      </c>
      <c r="O215" s="432">
        <f>'Business travel, commute, home'!H49</f>
        <v>0</v>
      </c>
      <c r="P215" s="432" t="str">
        <f>'Business travel, commute, home'!I49</f>
        <v/>
      </c>
      <c r="Q215" s="432" t="str">
        <f>'Business travel, commute, home'!J49</f>
        <v/>
      </c>
      <c r="R215" s="432" t="str">
        <f>'Business travel, commute, home'!K49</f>
        <v/>
      </c>
      <c r="S215" s="432" t="str">
        <f>'Business travel, commute, home'!L49</f>
        <v/>
      </c>
      <c r="T215" s="432">
        <f>'Business travel, commute, home'!M49</f>
        <v>0</v>
      </c>
      <c r="U215" s="432">
        <f>'Business travel, commute, home'!N49</f>
        <v>0</v>
      </c>
      <c r="V215" s="432" t="str">
        <f>'Business travel, commute, home'!O49</f>
        <v/>
      </c>
      <c r="W215" s="432" t="str">
        <f>'Business travel, commute, home'!P49</f>
        <v/>
      </c>
      <c r="X215" s="432" t="str">
        <f>'Business travel, commute, home'!Q49</f>
        <v/>
      </c>
      <c r="Y215" s="432" t="str">
        <f>'Business travel, commute, home'!R49</f>
        <v/>
      </c>
      <c r="Z215" s="432" t="str">
        <f>'Business travel, commute, home'!S49</f>
        <v/>
      </c>
      <c r="AA215" s="432" t="str">
        <f>'Business travel, commute, home'!T49</f>
        <v/>
      </c>
      <c r="AB215" s="432" t="str">
        <f>'Business travel, commute, home'!U49</f>
        <v/>
      </c>
      <c r="AC215" s="432"/>
      <c r="AE215" s="432">
        <f t="shared" si="10"/>
        <v>0</v>
      </c>
      <c r="AF215" s="432">
        <f t="shared" si="11"/>
        <v>0</v>
      </c>
    </row>
    <row r="216" spans="2:32" x14ac:dyDescent="0.35">
      <c r="B216" s="432" t="e">
        <f>"2024"&amp;MATCH(Totals!D216,OrgType,0)&amp;"_"&amp;MATCH(Totals!E216,Organisations,0)&amp;"_"&amp;LEFT(Totals!F216,1)&amp;"_"&amp;LEFT(G216,1)&amp;"_"&amp;COUNTIF($G$3:G216,G216)</f>
        <v>#N/A</v>
      </c>
      <c r="C216" s="432">
        <v>2024</v>
      </c>
      <c r="D216" s="432">
        <f>Introduction!$D$7</f>
        <v>0</v>
      </c>
      <c r="E216" s="432">
        <f>Introduction!$D$8</f>
        <v>0</v>
      </c>
      <c r="F216" s="432" t="s">
        <v>1108</v>
      </c>
      <c r="G216" s="432" t="s">
        <v>71</v>
      </c>
      <c r="H216" s="433"/>
      <c r="I216" s="432">
        <f>'Business travel, commute, home'!B50</f>
        <v>0</v>
      </c>
      <c r="J216" s="432">
        <f>'Business travel, commute, home'!C50</f>
        <v>0</v>
      </c>
      <c r="K216" s="432">
        <f>'Business travel, commute, home'!D50</f>
        <v>0</v>
      </c>
      <c r="L216" s="432">
        <f>'Business travel, commute, home'!E50</f>
        <v>0</v>
      </c>
      <c r="M216" s="432" t="str">
        <f>'Business travel, commute, home'!F50</f>
        <v/>
      </c>
      <c r="N216" s="432">
        <f>'Business travel, commute, home'!G50</f>
        <v>0</v>
      </c>
      <c r="O216" s="432">
        <f>'Business travel, commute, home'!H50</f>
        <v>0</v>
      </c>
      <c r="P216" s="432" t="str">
        <f>'Business travel, commute, home'!I50</f>
        <v/>
      </c>
      <c r="Q216" s="432" t="str">
        <f>'Business travel, commute, home'!J50</f>
        <v/>
      </c>
      <c r="R216" s="432" t="str">
        <f>'Business travel, commute, home'!K50</f>
        <v/>
      </c>
      <c r="S216" s="432" t="str">
        <f>'Business travel, commute, home'!L50</f>
        <v/>
      </c>
      <c r="T216" s="432">
        <f>'Business travel, commute, home'!M50</f>
        <v>0</v>
      </c>
      <c r="U216" s="432">
        <f>'Business travel, commute, home'!N50</f>
        <v>0</v>
      </c>
      <c r="V216" s="432" t="str">
        <f>'Business travel, commute, home'!O50</f>
        <v/>
      </c>
      <c r="W216" s="432" t="str">
        <f>'Business travel, commute, home'!P50</f>
        <v/>
      </c>
      <c r="X216" s="432" t="str">
        <f>'Business travel, commute, home'!Q50</f>
        <v/>
      </c>
      <c r="Y216" s="432" t="str">
        <f>'Business travel, commute, home'!R50</f>
        <v/>
      </c>
      <c r="Z216" s="432" t="str">
        <f>'Business travel, commute, home'!S50</f>
        <v/>
      </c>
      <c r="AA216" s="432" t="str">
        <f>'Business travel, commute, home'!T50</f>
        <v/>
      </c>
      <c r="AB216" s="432" t="str">
        <f>'Business travel, commute, home'!U50</f>
        <v/>
      </c>
      <c r="AC216" s="432"/>
      <c r="AE216" s="432">
        <f t="shared" si="10"/>
        <v>0</v>
      </c>
      <c r="AF216" s="432">
        <f t="shared" si="11"/>
        <v>0</v>
      </c>
    </row>
    <row r="217" spans="2:32" x14ac:dyDescent="0.35">
      <c r="B217" s="432" t="e">
        <f>"2024"&amp;MATCH(Totals!D217,OrgType,0)&amp;"_"&amp;MATCH(Totals!E217,Organisations,0)&amp;"_"&amp;LEFT(Totals!F217,1)&amp;"_"&amp;LEFT(G217,1)&amp;"_"&amp;COUNTIF($G$3:G217,G217)</f>
        <v>#N/A</v>
      </c>
      <c r="C217" s="432">
        <v>2024</v>
      </c>
      <c r="D217" s="432">
        <f>Introduction!$D$7</f>
        <v>0</v>
      </c>
      <c r="E217" s="432">
        <f>Introduction!$D$8</f>
        <v>0</v>
      </c>
      <c r="F217" s="432" t="s">
        <v>1108</v>
      </c>
      <c r="G217" s="432" t="s">
        <v>71</v>
      </c>
      <c r="H217" s="433"/>
      <c r="I217" s="432">
        <f>'Business travel, commute, home'!B51</f>
        <v>0</v>
      </c>
      <c r="J217" s="432">
        <f>'Business travel, commute, home'!C51</f>
        <v>0</v>
      </c>
      <c r="K217" s="432">
        <f>'Business travel, commute, home'!D51</f>
        <v>0</v>
      </c>
      <c r="L217" s="432">
        <f>'Business travel, commute, home'!E51</f>
        <v>0</v>
      </c>
      <c r="M217" s="432" t="str">
        <f>'Business travel, commute, home'!F51</f>
        <v/>
      </c>
      <c r="N217" s="432">
        <f>'Business travel, commute, home'!G51</f>
        <v>0</v>
      </c>
      <c r="O217" s="432">
        <f>'Business travel, commute, home'!H51</f>
        <v>0</v>
      </c>
      <c r="P217" s="432" t="str">
        <f>'Business travel, commute, home'!I51</f>
        <v/>
      </c>
      <c r="Q217" s="432" t="str">
        <f>'Business travel, commute, home'!J51</f>
        <v/>
      </c>
      <c r="R217" s="432" t="str">
        <f>'Business travel, commute, home'!K51</f>
        <v/>
      </c>
      <c r="S217" s="432" t="str">
        <f>'Business travel, commute, home'!L51</f>
        <v/>
      </c>
      <c r="T217" s="432">
        <f>'Business travel, commute, home'!M51</f>
        <v>0</v>
      </c>
      <c r="U217" s="432">
        <f>'Business travel, commute, home'!N51</f>
        <v>0</v>
      </c>
      <c r="V217" s="432" t="str">
        <f>'Business travel, commute, home'!O51</f>
        <v/>
      </c>
      <c r="W217" s="432" t="str">
        <f>'Business travel, commute, home'!P51</f>
        <v/>
      </c>
      <c r="X217" s="432" t="str">
        <f>'Business travel, commute, home'!Q51</f>
        <v/>
      </c>
      <c r="Y217" s="432" t="str">
        <f>'Business travel, commute, home'!R51</f>
        <v/>
      </c>
      <c r="Z217" s="432" t="str">
        <f>'Business travel, commute, home'!S51</f>
        <v/>
      </c>
      <c r="AA217" s="432" t="str">
        <f>'Business travel, commute, home'!T51</f>
        <v/>
      </c>
      <c r="AB217" s="432" t="str">
        <f>'Business travel, commute, home'!U51</f>
        <v/>
      </c>
      <c r="AC217" s="432"/>
      <c r="AE217" s="432">
        <f t="shared" si="10"/>
        <v>0</v>
      </c>
      <c r="AF217" s="432">
        <f t="shared" si="11"/>
        <v>0</v>
      </c>
    </row>
    <row r="218" spans="2:32" x14ac:dyDescent="0.35">
      <c r="B218" s="432" t="e">
        <f>"2024"&amp;MATCH(Totals!D218,OrgType,0)&amp;"_"&amp;MATCH(Totals!E218,Organisations,0)&amp;"_"&amp;LEFT(Totals!F218,1)&amp;"_"&amp;LEFT(G218,1)&amp;"_"&amp;COUNTIF($G$3:G218,G218)</f>
        <v>#N/A</v>
      </c>
      <c r="C218" s="432">
        <v>2024</v>
      </c>
      <c r="D218" s="432">
        <f>Introduction!$D$7</f>
        <v>0</v>
      </c>
      <c r="E218" s="432">
        <f>Introduction!$D$8</f>
        <v>0</v>
      </c>
      <c r="F218" s="432" t="s">
        <v>1108</v>
      </c>
      <c r="G218" s="432" t="s">
        <v>71</v>
      </c>
      <c r="H218" s="433"/>
      <c r="I218" s="432">
        <f>'Business travel, commute, home'!B52</f>
        <v>0</v>
      </c>
      <c r="J218" s="432">
        <f>'Business travel, commute, home'!C52</f>
        <v>0</v>
      </c>
      <c r="K218" s="432">
        <f>'Business travel, commute, home'!D52</f>
        <v>0</v>
      </c>
      <c r="L218" s="432">
        <f>'Business travel, commute, home'!E52</f>
        <v>0</v>
      </c>
      <c r="M218" s="432" t="str">
        <f>'Business travel, commute, home'!F52</f>
        <v/>
      </c>
      <c r="N218" s="432">
        <f>'Business travel, commute, home'!G52</f>
        <v>0</v>
      </c>
      <c r="O218" s="432">
        <f>'Business travel, commute, home'!H52</f>
        <v>0</v>
      </c>
      <c r="P218" s="432" t="str">
        <f>'Business travel, commute, home'!I52</f>
        <v/>
      </c>
      <c r="Q218" s="432" t="str">
        <f>'Business travel, commute, home'!J52</f>
        <v/>
      </c>
      <c r="R218" s="432" t="str">
        <f>'Business travel, commute, home'!K52</f>
        <v/>
      </c>
      <c r="S218" s="432" t="str">
        <f>'Business travel, commute, home'!L52</f>
        <v/>
      </c>
      <c r="T218" s="432">
        <f>'Business travel, commute, home'!M52</f>
        <v>0</v>
      </c>
      <c r="U218" s="432">
        <f>'Business travel, commute, home'!N52</f>
        <v>0</v>
      </c>
      <c r="V218" s="432" t="str">
        <f>'Business travel, commute, home'!O52</f>
        <v/>
      </c>
      <c r="W218" s="432" t="str">
        <f>'Business travel, commute, home'!P52</f>
        <v/>
      </c>
      <c r="X218" s="432" t="str">
        <f>'Business travel, commute, home'!Q52</f>
        <v/>
      </c>
      <c r="Y218" s="432" t="str">
        <f>'Business travel, commute, home'!R52</f>
        <v/>
      </c>
      <c r="Z218" s="432" t="str">
        <f>'Business travel, commute, home'!S52</f>
        <v/>
      </c>
      <c r="AA218" s="432" t="str">
        <f>'Business travel, commute, home'!T52</f>
        <v/>
      </c>
      <c r="AB218" s="432" t="str">
        <f>'Business travel, commute, home'!U52</f>
        <v/>
      </c>
      <c r="AC218" s="432"/>
      <c r="AE218" s="432">
        <f t="shared" si="10"/>
        <v>0</v>
      </c>
      <c r="AF218" s="432">
        <f t="shared" si="11"/>
        <v>0</v>
      </c>
    </row>
    <row r="219" spans="2:32" x14ac:dyDescent="0.35">
      <c r="B219" s="432" t="e">
        <f>"2024"&amp;MATCH(Totals!D219,OrgType,0)&amp;"_"&amp;MATCH(Totals!E219,Organisations,0)&amp;"_"&amp;LEFT(Totals!F219,1)&amp;"_"&amp;LEFT(G219,1)&amp;"_"&amp;COUNTIF($G$3:G219,G219)</f>
        <v>#N/A</v>
      </c>
      <c r="C219" s="432">
        <v>2024</v>
      </c>
      <c r="D219" s="432">
        <f>Introduction!$D$7</f>
        <v>0</v>
      </c>
      <c r="E219" s="432">
        <f>Introduction!$D$8</f>
        <v>0</v>
      </c>
      <c r="F219" s="432" t="s">
        <v>1108</v>
      </c>
      <c r="G219" s="432" t="s">
        <v>71</v>
      </c>
      <c r="H219" s="433"/>
      <c r="I219" s="432">
        <f>'Business travel, commute, home'!B53</f>
        <v>0</v>
      </c>
      <c r="J219" s="432">
        <f>'Business travel, commute, home'!C53</f>
        <v>0</v>
      </c>
      <c r="K219" s="432">
        <f>'Business travel, commute, home'!D53</f>
        <v>0</v>
      </c>
      <c r="L219" s="432">
        <f>'Business travel, commute, home'!E53</f>
        <v>0</v>
      </c>
      <c r="M219" s="432" t="str">
        <f>'Business travel, commute, home'!F53</f>
        <v/>
      </c>
      <c r="N219" s="432">
        <f>'Business travel, commute, home'!G53</f>
        <v>0</v>
      </c>
      <c r="O219" s="432">
        <f>'Business travel, commute, home'!H53</f>
        <v>0</v>
      </c>
      <c r="P219" s="432" t="str">
        <f>'Business travel, commute, home'!I53</f>
        <v/>
      </c>
      <c r="Q219" s="432" t="str">
        <f>'Business travel, commute, home'!J53</f>
        <v/>
      </c>
      <c r="R219" s="432" t="str">
        <f>'Business travel, commute, home'!K53</f>
        <v/>
      </c>
      <c r="S219" s="432" t="str">
        <f>'Business travel, commute, home'!L53</f>
        <v/>
      </c>
      <c r="T219" s="432">
        <f>'Business travel, commute, home'!M53</f>
        <v>0</v>
      </c>
      <c r="U219" s="432">
        <f>'Business travel, commute, home'!N53</f>
        <v>0</v>
      </c>
      <c r="V219" s="432" t="str">
        <f>'Business travel, commute, home'!O53</f>
        <v/>
      </c>
      <c r="W219" s="432" t="str">
        <f>'Business travel, commute, home'!P53</f>
        <v/>
      </c>
      <c r="X219" s="432" t="str">
        <f>'Business travel, commute, home'!Q53</f>
        <v/>
      </c>
      <c r="Y219" s="432" t="str">
        <f>'Business travel, commute, home'!R53</f>
        <v/>
      </c>
      <c r="Z219" s="432" t="str">
        <f>'Business travel, commute, home'!S53</f>
        <v/>
      </c>
      <c r="AA219" s="432" t="str">
        <f>'Business travel, commute, home'!T53</f>
        <v/>
      </c>
      <c r="AB219" s="432" t="str">
        <f>'Business travel, commute, home'!U53</f>
        <v/>
      </c>
      <c r="AC219" s="432"/>
      <c r="AE219" s="432">
        <f t="shared" si="10"/>
        <v>0</v>
      </c>
      <c r="AF219" s="432">
        <f t="shared" si="11"/>
        <v>0</v>
      </c>
    </row>
    <row r="220" spans="2:32" x14ac:dyDescent="0.35">
      <c r="B220" s="432" t="e">
        <f>"2024"&amp;MATCH(Totals!D220,OrgType,0)&amp;"_"&amp;MATCH(Totals!E220,Organisations,0)&amp;"_"&amp;LEFT(Totals!F220,1)&amp;"_"&amp;LEFT(G220,1)&amp;"_"&amp;COUNTIF($G$3:G220,G220)</f>
        <v>#N/A</v>
      </c>
      <c r="C220" s="432">
        <v>2024</v>
      </c>
      <c r="D220" s="432">
        <f>Introduction!$D$7</f>
        <v>0</v>
      </c>
      <c r="E220" s="432">
        <f>Introduction!$D$8</f>
        <v>0</v>
      </c>
      <c r="F220" s="432" t="s">
        <v>1108</v>
      </c>
      <c r="G220" s="432" t="s">
        <v>71</v>
      </c>
      <c r="H220" s="433"/>
      <c r="I220" s="432">
        <f>'Business travel, commute, home'!B54</f>
        <v>0</v>
      </c>
      <c r="J220" s="432">
        <f>'Business travel, commute, home'!C54</f>
        <v>0</v>
      </c>
      <c r="K220" s="432">
        <f>'Business travel, commute, home'!D54</f>
        <v>0</v>
      </c>
      <c r="L220" s="432">
        <f>'Business travel, commute, home'!E54</f>
        <v>0</v>
      </c>
      <c r="M220" s="432" t="str">
        <f>'Business travel, commute, home'!F54</f>
        <v/>
      </c>
      <c r="N220" s="432">
        <f>'Business travel, commute, home'!G54</f>
        <v>0</v>
      </c>
      <c r="O220" s="432">
        <f>'Business travel, commute, home'!H54</f>
        <v>0</v>
      </c>
      <c r="P220" s="432" t="str">
        <f>'Business travel, commute, home'!I54</f>
        <v/>
      </c>
      <c r="Q220" s="432" t="str">
        <f>'Business travel, commute, home'!J54</f>
        <v/>
      </c>
      <c r="R220" s="432" t="str">
        <f>'Business travel, commute, home'!K54</f>
        <v/>
      </c>
      <c r="S220" s="432" t="str">
        <f>'Business travel, commute, home'!L54</f>
        <v/>
      </c>
      <c r="T220" s="432">
        <f>'Business travel, commute, home'!M54</f>
        <v>0</v>
      </c>
      <c r="U220" s="432">
        <f>'Business travel, commute, home'!N54</f>
        <v>0</v>
      </c>
      <c r="V220" s="432" t="str">
        <f>'Business travel, commute, home'!O54</f>
        <v/>
      </c>
      <c r="W220" s="432" t="str">
        <f>'Business travel, commute, home'!P54</f>
        <v/>
      </c>
      <c r="X220" s="432" t="str">
        <f>'Business travel, commute, home'!Q54</f>
        <v/>
      </c>
      <c r="Y220" s="432" t="str">
        <f>'Business travel, commute, home'!R54</f>
        <v/>
      </c>
      <c r="Z220" s="432" t="str">
        <f>'Business travel, commute, home'!S54</f>
        <v/>
      </c>
      <c r="AA220" s="432" t="str">
        <f>'Business travel, commute, home'!T54</f>
        <v/>
      </c>
      <c r="AB220" s="432" t="str">
        <f>'Business travel, commute, home'!U54</f>
        <v/>
      </c>
      <c r="AC220" s="432"/>
      <c r="AE220" s="432">
        <f t="shared" si="10"/>
        <v>0</v>
      </c>
      <c r="AF220" s="432">
        <f t="shared" si="11"/>
        <v>0</v>
      </c>
    </row>
    <row r="221" spans="2:32" x14ac:dyDescent="0.35">
      <c r="B221" s="432" t="e">
        <f>"2024"&amp;MATCH(Totals!D221,OrgType,0)&amp;"_"&amp;MATCH(Totals!E221,Organisations,0)&amp;"_"&amp;LEFT(Totals!F221,1)&amp;"_"&amp;LEFT(G221,1)&amp;"_"&amp;COUNTIF($G$3:G221,G221)</f>
        <v>#N/A</v>
      </c>
      <c r="C221" s="432">
        <v>2024</v>
      </c>
      <c r="D221" s="432">
        <f>Introduction!$D$7</f>
        <v>0</v>
      </c>
      <c r="E221" s="432">
        <f>Introduction!$D$8</f>
        <v>0</v>
      </c>
      <c r="F221" s="432" t="s">
        <v>1108</v>
      </c>
      <c r="G221" s="432" t="s">
        <v>71</v>
      </c>
      <c r="H221" s="433"/>
      <c r="I221" s="432">
        <f>'Business travel, commute, home'!B55</f>
        <v>0</v>
      </c>
      <c r="J221" s="432">
        <f>'Business travel, commute, home'!C55</f>
        <v>0</v>
      </c>
      <c r="K221" s="432">
        <f>'Business travel, commute, home'!D55</f>
        <v>0</v>
      </c>
      <c r="L221" s="432">
        <f>'Business travel, commute, home'!E55</f>
        <v>0</v>
      </c>
      <c r="M221" s="432" t="str">
        <f>'Business travel, commute, home'!F55</f>
        <v/>
      </c>
      <c r="N221" s="432">
        <f>'Business travel, commute, home'!G55</f>
        <v>0</v>
      </c>
      <c r="O221" s="432">
        <f>'Business travel, commute, home'!H55</f>
        <v>0</v>
      </c>
      <c r="P221" s="432" t="str">
        <f>'Business travel, commute, home'!I55</f>
        <v/>
      </c>
      <c r="Q221" s="432" t="str">
        <f>'Business travel, commute, home'!J55</f>
        <v/>
      </c>
      <c r="R221" s="432" t="str">
        <f>'Business travel, commute, home'!K55</f>
        <v/>
      </c>
      <c r="S221" s="432" t="str">
        <f>'Business travel, commute, home'!L55</f>
        <v/>
      </c>
      <c r="T221" s="432">
        <f>'Business travel, commute, home'!M55</f>
        <v>0</v>
      </c>
      <c r="U221" s="432">
        <f>'Business travel, commute, home'!N55</f>
        <v>0</v>
      </c>
      <c r="V221" s="432" t="str">
        <f>'Business travel, commute, home'!O55</f>
        <v/>
      </c>
      <c r="W221" s="432" t="str">
        <f>'Business travel, commute, home'!P55</f>
        <v/>
      </c>
      <c r="X221" s="432" t="str">
        <f>'Business travel, commute, home'!Q55</f>
        <v/>
      </c>
      <c r="Y221" s="432" t="str">
        <f>'Business travel, commute, home'!R55</f>
        <v/>
      </c>
      <c r="Z221" s="432" t="str">
        <f>'Business travel, commute, home'!S55</f>
        <v/>
      </c>
      <c r="AA221" s="432" t="str">
        <f>'Business travel, commute, home'!T55</f>
        <v/>
      </c>
      <c r="AB221" s="432" t="str">
        <f>'Business travel, commute, home'!U55</f>
        <v/>
      </c>
      <c r="AC221" s="432"/>
      <c r="AE221" s="432">
        <f t="shared" si="10"/>
        <v>0</v>
      </c>
      <c r="AF221" s="432">
        <f t="shared" si="11"/>
        <v>0</v>
      </c>
    </row>
    <row r="222" spans="2:32" x14ac:dyDescent="0.35">
      <c r="B222" s="432" t="e">
        <f>"2024"&amp;MATCH(Totals!D222,OrgType,0)&amp;"_"&amp;MATCH(Totals!E222,Organisations,0)&amp;"_"&amp;LEFT(Totals!F222,1)&amp;"_"&amp;LEFT(G222,1)&amp;"_"&amp;COUNTIF($G$3:G222,G222)</f>
        <v>#N/A</v>
      </c>
      <c r="C222" s="432">
        <v>2024</v>
      </c>
      <c r="D222" s="432">
        <f>Introduction!$D$7</f>
        <v>0</v>
      </c>
      <c r="E222" s="432">
        <f>Introduction!$D$8</f>
        <v>0</v>
      </c>
      <c r="F222" s="432" t="s">
        <v>1108</v>
      </c>
      <c r="G222" s="432" t="s">
        <v>71</v>
      </c>
      <c r="H222" s="433"/>
      <c r="I222" s="432">
        <f>'Business travel, commute, home'!B56</f>
        <v>0</v>
      </c>
      <c r="J222" s="432">
        <f>'Business travel, commute, home'!C56</f>
        <v>0</v>
      </c>
      <c r="K222" s="432">
        <f>'Business travel, commute, home'!D56</f>
        <v>0</v>
      </c>
      <c r="L222" s="432">
        <f>'Business travel, commute, home'!E56</f>
        <v>0</v>
      </c>
      <c r="M222" s="432" t="str">
        <f>'Business travel, commute, home'!F56</f>
        <v/>
      </c>
      <c r="N222" s="432">
        <f>'Business travel, commute, home'!G56</f>
        <v>0</v>
      </c>
      <c r="O222" s="432">
        <f>'Business travel, commute, home'!H56</f>
        <v>0</v>
      </c>
      <c r="P222" s="432" t="str">
        <f>'Business travel, commute, home'!I56</f>
        <v/>
      </c>
      <c r="Q222" s="432" t="str">
        <f>'Business travel, commute, home'!J56</f>
        <v/>
      </c>
      <c r="R222" s="432" t="str">
        <f>'Business travel, commute, home'!K56</f>
        <v/>
      </c>
      <c r="S222" s="432" t="str">
        <f>'Business travel, commute, home'!L56</f>
        <v/>
      </c>
      <c r="T222" s="432">
        <f>'Business travel, commute, home'!M56</f>
        <v>0</v>
      </c>
      <c r="U222" s="432">
        <f>'Business travel, commute, home'!N56</f>
        <v>0</v>
      </c>
      <c r="V222" s="432" t="str">
        <f>'Business travel, commute, home'!O56</f>
        <v/>
      </c>
      <c r="W222" s="432" t="str">
        <f>'Business travel, commute, home'!P56</f>
        <v/>
      </c>
      <c r="X222" s="432" t="str">
        <f>'Business travel, commute, home'!Q56</f>
        <v/>
      </c>
      <c r="Y222" s="432" t="str">
        <f>'Business travel, commute, home'!R56</f>
        <v/>
      </c>
      <c r="Z222" s="432" t="str">
        <f>'Business travel, commute, home'!S56</f>
        <v/>
      </c>
      <c r="AA222" s="432" t="str">
        <f>'Business travel, commute, home'!T56</f>
        <v/>
      </c>
      <c r="AB222" s="432" t="str">
        <f>'Business travel, commute, home'!U56</f>
        <v/>
      </c>
      <c r="AC222" s="432"/>
      <c r="AE222" s="432">
        <f t="shared" si="10"/>
        <v>0</v>
      </c>
      <c r="AF222" s="432">
        <f t="shared" si="11"/>
        <v>0</v>
      </c>
    </row>
    <row r="223" spans="2:32" x14ac:dyDescent="0.35">
      <c r="B223" s="432" t="e">
        <f>"2024"&amp;MATCH(Totals!D223,OrgType,0)&amp;"_"&amp;MATCH(Totals!E223,Organisations,0)&amp;"_"&amp;LEFT(Totals!F223,1)&amp;"_"&amp;LEFT(G223,1)&amp;"_"&amp;COUNTIF($G$3:G223,G223)</f>
        <v>#N/A</v>
      </c>
      <c r="C223" s="432">
        <v>2024</v>
      </c>
      <c r="D223" s="432">
        <f>Introduction!$D$7</f>
        <v>0</v>
      </c>
      <c r="E223" s="432">
        <f>Introduction!$D$8</f>
        <v>0</v>
      </c>
      <c r="F223" s="432" t="s">
        <v>1108</v>
      </c>
      <c r="G223" s="432" t="s">
        <v>71</v>
      </c>
      <c r="H223" s="433"/>
      <c r="I223" s="432">
        <f>'Business travel, commute, home'!B57</f>
        <v>0</v>
      </c>
      <c r="J223" s="432">
        <f>'Business travel, commute, home'!C57</f>
        <v>0</v>
      </c>
      <c r="K223" s="432">
        <f>'Business travel, commute, home'!D57</f>
        <v>0</v>
      </c>
      <c r="L223" s="432">
        <f>'Business travel, commute, home'!E57</f>
        <v>0</v>
      </c>
      <c r="M223" s="432" t="str">
        <f>'Business travel, commute, home'!F57</f>
        <v/>
      </c>
      <c r="N223" s="432">
        <f>'Business travel, commute, home'!G57</f>
        <v>0</v>
      </c>
      <c r="O223" s="432">
        <f>'Business travel, commute, home'!H57</f>
        <v>0</v>
      </c>
      <c r="P223" s="432" t="str">
        <f>'Business travel, commute, home'!I57</f>
        <v/>
      </c>
      <c r="Q223" s="432" t="str">
        <f>'Business travel, commute, home'!J57</f>
        <v/>
      </c>
      <c r="R223" s="432" t="str">
        <f>'Business travel, commute, home'!K57</f>
        <v/>
      </c>
      <c r="S223" s="432" t="str">
        <f>'Business travel, commute, home'!L57</f>
        <v/>
      </c>
      <c r="T223" s="432">
        <f>'Business travel, commute, home'!M57</f>
        <v>0</v>
      </c>
      <c r="U223" s="432">
        <f>'Business travel, commute, home'!N57</f>
        <v>0</v>
      </c>
      <c r="V223" s="432" t="str">
        <f>'Business travel, commute, home'!O57</f>
        <v/>
      </c>
      <c r="W223" s="432" t="str">
        <f>'Business travel, commute, home'!P57</f>
        <v/>
      </c>
      <c r="X223" s="432" t="str">
        <f>'Business travel, commute, home'!Q57</f>
        <v/>
      </c>
      <c r="Y223" s="432" t="str">
        <f>'Business travel, commute, home'!R57</f>
        <v/>
      </c>
      <c r="Z223" s="432" t="str">
        <f>'Business travel, commute, home'!S57</f>
        <v/>
      </c>
      <c r="AA223" s="432" t="str">
        <f>'Business travel, commute, home'!T57</f>
        <v/>
      </c>
      <c r="AB223" s="432" t="str">
        <f>'Business travel, commute, home'!U57</f>
        <v/>
      </c>
      <c r="AC223" s="432"/>
      <c r="AE223" s="432">
        <f t="shared" si="10"/>
        <v>0</v>
      </c>
      <c r="AF223" s="432">
        <f t="shared" si="11"/>
        <v>0</v>
      </c>
    </row>
    <row r="224" spans="2:32" x14ac:dyDescent="0.35">
      <c r="B224" s="432" t="e">
        <f>"2024"&amp;MATCH(Totals!D224,OrgType,0)&amp;"_"&amp;MATCH(Totals!E224,Organisations,0)&amp;"_"&amp;LEFT(Totals!F224,1)&amp;"_"&amp;LEFT(G224,1)&amp;"_"&amp;COUNTIF($G$3:G224,G224)</f>
        <v>#N/A</v>
      </c>
      <c r="C224" s="432">
        <v>2024</v>
      </c>
      <c r="D224" s="432">
        <f>Introduction!$D$7</f>
        <v>0</v>
      </c>
      <c r="E224" s="432">
        <f>Introduction!$D$8</f>
        <v>0</v>
      </c>
      <c r="F224" s="432" t="s">
        <v>1108</v>
      </c>
      <c r="G224" s="432" t="s">
        <v>71</v>
      </c>
      <c r="H224" s="433"/>
      <c r="I224" s="432">
        <f>'Business travel, commute, home'!B58</f>
        <v>0</v>
      </c>
      <c r="J224" s="432">
        <f>'Business travel, commute, home'!C58</f>
        <v>0</v>
      </c>
      <c r="K224" s="432">
        <f>'Business travel, commute, home'!D58</f>
        <v>0</v>
      </c>
      <c r="L224" s="432">
        <f>'Business travel, commute, home'!E58</f>
        <v>0</v>
      </c>
      <c r="M224" s="432" t="str">
        <f>'Business travel, commute, home'!F58</f>
        <v/>
      </c>
      <c r="N224" s="432">
        <f>'Business travel, commute, home'!G58</f>
        <v>0</v>
      </c>
      <c r="O224" s="432">
        <f>'Business travel, commute, home'!H58</f>
        <v>0</v>
      </c>
      <c r="P224" s="432" t="str">
        <f>'Business travel, commute, home'!I58</f>
        <v/>
      </c>
      <c r="Q224" s="432" t="str">
        <f>'Business travel, commute, home'!J58</f>
        <v/>
      </c>
      <c r="R224" s="432" t="str">
        <f>'Business travel, commute, home'!K58</f>
        <v/>
      </c>
      <c r="S224" s="432" t="str">
        <f>'Business travel, commute, home'!L58</f>
        <v/>
      </c>
      <c r="T224" s="432">
        <f>'Business travel, commute, home'!M58</f>
        <v>0</v>
      </c>
      <c r="U224" s="432">
        <f>'Business travel, commute, home'!N58</f>
        <v>0</v>
      </c>
      <c r="V224" s="432" t="str">
        <f>'Business travel, commute, home'!O58</f>
        <v/>
      </c>
      <c r="W224" s="432" t="str">
        <f>'Business travel, commute, home'!P58</f>
        <v/>
      </c>
      <c r="X224" s="432" t="str">
        <f>'Business travel, commute, home'!Q58</f>
        <v/>
      </c>
      <c r="Y224" s="432" t="str">
        <f>'Business travel, commute, home'!R58</f>
        <v/>
      </c>
      <c r="Z224" s="432" t="str">
        <f>'Business travel, commute, home'!S58</f>
        <v/>
      </c>
      <c r="AA224" s="432" t="str">
        <f>'Business travel, commute, home'!T58</f>
        <v/>
      </c>
      <c r="AB224" s="432" t="str">
        <f>'Business travel, commute, home'!U58</f>
        <v/>
      </c>
      <c r="AC224" s="432"/>
      <c r="AE224" s="432">
        <f t="shared" si="10"/>
        <v>0</v>
      </c>
      <c r="AF224" s="432">
        <f t="shared" si="11"/>
        <v>0</v>
      </c>
    </row>
    <row r="225" spans="2:32" x14ac:dyDescent="0.35">
      <c r="B225" s="432" t="e">
        <f>"2024"&amp;MATCH(Totals!D225,OrgType,0)&amp;"_"&amp;MATCH(Totals!E225,Organisations,0)&amp;"_"&amp;LEFT(Totals!F225,1)&amp;"_"&amp;LEFT(G225,1)&amp;"_"&amp;COUNTIF($G$3:G225,G225)</f>
        <v>#N/A</v>
      </c>
      <c r="C225" s="432">
        <v>2024</v>
      </c>
      <c r="D225" s="432">
        <f>Introduction!$D$7</f>
        <v>0</v>
      </c>
      <c r="E225" s="432">
        <f>Introduction!$D$8</f>
        <v>0</v>
      </c>
      <c r="F225" s="432" t="s">
        <v>1108</v>
      </c>
      <c r="G225" s="432" t="s">
        <v>71</v>
      </c>
      <c r="H225" s="433"/>
      <c r="I225" s="432">
        <f>'Business travel, commute, home'!B59</f>
        <v>0</v>
      </c>
      <c r="J225" s="432">
        <f>'Business travel, commute, home'!C59</f>
        <v>0</v>
      </c>
      <c r="K225" s="432">
        <f>'Business travel, commute, home'!D59</f>
        <v>0</v>
      </c>
      <c r="L225" s="432">
        <f>'Business travel, commute, home'!E59</f>
        <v>0</v>
      </c>
      <c r="M225" s="432" t="str">
        <f>'Business travel, commute, home'!F59</f>
        <v/>
      </c>
      <c r="N225" s="432">
        <f>'Business travel, commute, home'!G59</f>
        <v>0</v>
      </c>
      <c r="O225" s="432">
        <f>'Business travel, commute, home'!H59</f>
        <v>0</v>
      </c>
      <c r="P225" s="432" t="str">
        <f>'Business travel, commute, home'!I59</f>
        <v/>
      </c>
      <c r="Q225" s="432" t="str">
        <f>'Business travel, commute, home'!J59</f>
        <v/>
      </c>
      <c r="R225" s="432" t="str">
        <f>'Business travel, commute, home'!K59</f>
        <v/>
      </c>
      <c r="S225" s="432" t="str">
        <f>'Business travel, commute, home'!L59</f>
        <v/>
      </c>
      <c r="T225" s="432">
        <f>'Business travel, commute, home'!M59</f>
        <v>0</v>
      </c>
      <c r="U225" s="432">
        <f>'Business travel, commute, home'!N59</f>
        <v>0</v>
      </c>
      <c r="V225" s="432" t="str">
        <f>'Business travel, commute, home'!O59</f>
        <v/>
      </c>
      <c r="W225" s="432" t="str">
        <f>'Business travel, commute, home'!P59</f>
        <v/>
      </c>
      <c r="X225" s="432" t="str">
        <f>'Business travel, commute, home'!Q59</f>
        <v/>
      </c>
      <c r="Y225" s="432" t="str">
        <f>'Business travel, commute, home'!R59</f>
        <v/>
      </c>
      <c r="Z225" s="432" t="str">
        <f>'Business travel, commute, home'!S59</f>
        <v/>
      </c>
      <c r="AA225" s="432" t="str">
        <f>'Business travel, commute, home'!T59</f>
        <v/>
      </c>
      <c r="AB225" s="432" t="str">
        <f>'Business travel, commute, home'!U59</f>
        <v/>
      </c>
      <c r="AC225" s="432"/>
      <c r="AE225" s="432">
        <f t="shared" si="10"/>
        <v>0</v>
      </c>
      <c r="AF225" s="432">
        <f t="shared" si="11"/>
        <v>0</v>
      </c>
    </row>
    <row r="226" spans="2:32" x14ac:dyDescent="0.35">
      <c r="B226" s="432" t="e">
        <f>"2024"&amp;MATCH(Totals!D226,OrgType,0)&amp;"_"&amp;MATCH(Totals!E226,Organisations,0)&amp;"_"&amp;LEFT(Totals!F226,1)&amp;"_"&amp;LEFT(G226,1)&amp;"_"&amp;COUNTIF($G$3:G226,G226)</f>
        <v>#N/A</v>
      </c>
      <c r="C226" s="432">
        <v>2024</v>
      </c>
      <c r="D226" s="432">
        <f>Introduction!$D$7</f>
        <v>0</v>
      </c>
      <c r="E226" s="432">
        <f>Introduction!$D$8</f>
        <v>0</v>
      </c>
      <c r="F226" s="432" t="s">
        <v>1108</v>
      </c>
      <c r="G226" s="432" t="s">
        <v>71</v>
      </c>
      <c r="H226" s="433"/>
      <c r="I226" s="432">
        <f>'Business travel, commute, home'!B60</f>
        <v>0</v>
      </c>
      <c r="J226" s="432">
        <f>'Business travel, commute, home'!C60</f>
        <v>0</v>
      </c>
      <c r="K226" s="432">
        <f>'Business travel, commute, home'!D60</f>
        <v>0</v>
      </c>
      <c r="L226" s="432">
        <f>'Business travel, commute, home'!E60</f>
        <v>0</v>
      </c>
      <c r="M226" s="432" t="str">
        <f>'Business travel, commute, home'!F60</f>
        <v/>
      </c>
      <c r="N226" s="432">
        <f>'Business travel, commute, home'!G60</f>
        <v>0</v>
      </c>
      <c r="O226" s="432">
        <f>'Business travel, commute, home'!H60</f>
        <v>0</v>
      </c>
      <c r="P226" s="432" t="str">
        <f>'Business travel, commute, home'!I60</f>
        <v/>
      </c>
      <c r="Q226" s="432" t="str">
        <f>'Business travel, commute, home'!J60</f>
        <v/>
      </c>
      <c r="R226" s="432" t="str">
        <f>'Business travel, commute, home'!K60</f>
        <v/>
      </c>
      <c r="S226" s="432" t="str">
        <f>'Business travel, commute, home'!L60</f>
        <v/>
      </c>
      <c r="T226" s="432">
        <f>'Business travel, commute, home'!M60</f>
        <v>0</v>
      </c>
      <c r="U226" s="432">
        <f>'Business travel, commute, home'!N60</f>
        <v>0</v>
      </c>
      <c r="V226" s="432" t="str">
        <f>'Business travel, commute, home'!O60</f>
        <v/>
      </c>
      <c r="W226" s="432" t="str">
        <f>'Business travel, commute, home'!P60</f>
        <v/>
      </c>
      <c r="X226" s="432" t="str">
        <f>'Business travel, commute, home'!Q60</f>
        <v/>
      </c>
      <c r="Y226" s="432" t="str">
        <f>'Business travel, commute, home'!R60</f>
        <v/>
      </c>
      <c r="Z226" s="432" t="str">
        <f>'Business travel, commute, home'!S60</f>
        <v/>
      </c>
      <c r="AA226" s="432" t="str">
        <f>'Business travel, commute, home'!T60</f>
        <v/>
      </c>
      <c r="AB226" s="432" t="str">
        <f>'Business travel, commute, home'!U60</f>
        <v/>
      </c>
      <c r="AC226" s="432"/>
      <c r="AE226" s="432">
        <f t="shared" si="10"/>
        <v>0</v>
      </c>
      <c r="AF226" s="432">
        <f t="shared" si="11"/>
        <v>0</v>
      </c>
    </row>
    <row r="227" spans="2:32" x14ac:dyDescent="0.35">
      <c r="B227" s="432" t="e">
        <f>"2024"&amp;MATCH(Totals!D227,OrgType,0)&amp;"_"&amp;MATCH(Totals!E227,Organisations,0)&amp;"_"&amp;LEFT(Totals!F227,1)&amp;"_"&amp;LEFT(G227,1)&amp;"_"&amp;COUNTIF($G$3:G227,G227)</f>
        <v>#N/A</v>
      </c>
      <c r="C227" s="432">
        <v>2024</v>
      </c>
      <c r="D227" s="432">
        <f>Introduction!$D$7</f>
        <v>0</v>
      </c>
      <c r="E227" s="432">
        <f>Introduction!$D$8</f>
        <v>0</v>
      </c>
      <c r="F227" s="432" t="s">
        <v>1108</v>
      </c>
      <c r="G227" s="432" t="s">
        <v>71</v>
      </c>
      <c r="H227" s="433"/>
      <c r="I227" s="432">
        <f>'Business travel, commute, home'!B61</f>
        <v>0</v>
      </c>
      <c r="J227" s="432">
        <f>'Business travel, commute, home'!C61</f>
        <v>0</v>
      </c>
      <c r="K227" s="432">
        <f>'Business travel, commute, home'!D61</f>
        <v>0</v>
      </c>
      <c r="L227" s="432">
        <f>'Business travel, commute, home'!E61</f>
        <v>0</v>
      </c>
      <c r="M227" s="432" t="str">
        <f>'Business travel, commute, home'!F61</f>
        <v/>
      </c>
      <c r="N227" s="432">
        <f>'Business travel, commute, home'!G61</f>
        <v>0</v>
      </c>
      <c r="O227" s="432">
        <f>'Business travel, commute, home'!H61</f>
        <v>0</v>
      </c>
      <c r="P227" s="432" t="str">
        <f>'Business travel, commute, home'!I61</f>
        <v/>
      </c>
      <c r="Q227" s="432" t="str">
        <f>'Business travel, commute, home'!J61</f>
        <v/>
      </c>
      <c r="R227" s="432" t="str">
        <f>'Business travel, commute, home'!K61</f>
        <v/>
      </c>
      <c r="S227" s="432" t="str">
        <f>'Business travel, commute, home'!L61</f>
        <v/>
      </c>
      <c r="T227" s="432">
        <f>'Business travel, commute, home'!M61</f>
        <v>0</v>
      </c>
      <c r="U227" s="432">
        <f>'Business travel, commute, home'!N61</f>
        <v>0</v>
      </c>
      <c r="V227" s="432" t="str">
        <f>'Business travel, commute, home'!O61</f>
        <v/>
      </c>
      <c r="W227" s="432" t="str">
        <f>'Business travel, commute, home'!P61</f>
        <v/>
      </c>
      <c r="X227" s="432" t="str">
        <f>'Business travel, commute, home'!Q61</f>
        <v/>
      </c>
      <c r="Y227" s="432" t="str">
        <f>'Business travel, commute, home'!R61</f>
        <v/>
      </c>
      <c r="Z227" s="432" t="str">
        <f>'Business travel, commute, home'!S61</f>
        <v/>
      </c>
      <c r="AA227" s="432" t="str">
        <f>'Business travel, commute, home'!T61</f>
        <v/>
      </c>
      <c r="AB227" s="432" t="str">
        <f>'Business travel, commute, home'!U61</f>
        <v/>
      </c>
      <c r="AC227" s="432"/>
      <c r="AE227" s="432">
        <f t="shared" si="10"/>
        <v>0</v>
      </c>
      <c r="AF227" s="432">
        <f t="shared" si="11"/>
        <v>0</v>
      </c>
    </row>
    <row r="228" spans="2:32" x14ac:dyDescent="0.35">
      <c r="B228" s="432" t="e">
        <f>"2024"&amp;MATCH(Totals!D228,OrgType,0)&amp;"_"&amp;MATCH(Totals!E228,Organisations,0)&amp;"_"&amp;LEFT(Totals!F228,1)&amp;"_"&amp;LEFT(G228,1)&amp;"_"&amp;COUNTIF($G$3:G228,G228)</f>
        <v>#N/A</v>
      </c>
      <c r="C228" s="432">
        <v>2024</v>
      </c>
      <c r="D228" s="432">
        <f>Introduction!$D$7</f>
        <v>0</v>
      </c>
      <c r="E228" s="432">
        <f>Introduction!$D$8</f>
        <v>0</v>
      </c>
      <c r="F228" s="432" t="s">
        <v>1108</v>
      </c>
      <c r="G228" s="432" t="s">
        <v>72</v>
      </c>
      <c r="H228" s="433"/>
      <c r="I228" s="432">
        <f>'Business travel, commute, home'!B65</f>
        <v>0</v>
      </c>
      <c r="J228" s="432">
        <f>'Business travel, commute, home'!C65</f>
        <v>0</v>
      </c>
      <c r="K228" s="432">
        <f>'Business travel, commute, home'!D65</f>
        <v>0</v>
      </c>
      <c r="L228" s="432">
        <f>'Business travel, commute, home'!E65</f>
        <v>0</v>
      </c>
      <c r="M228" s="432" t="str">
        <f>'Business travel, commute, home'!F65</f>
        <v/>
      </c>
      <c r="N228" s="432">
        <f>'Business travel, commute, home'!G65</f>
        <v>0</v>
      </c>
      <c r="O228" s="432" t="str">
        <f>'Business travel, commute, home'!H65</f>
        <v/>
      </c>
      <c r="P228" s="432" t="str">
        <f>'Business travel, commute, home'!I65</f>
        <v/>
      </c>
      <c r="Q228" s="432" t="str">
        <f>'Business travel, commute, home'!J65</f>
        <v/>
      </c>
      <c r="R228" s="432" t="str">
        <f>'Business travel, commute, home'!K65</f>
        <v/>
      </c>
      <c r="S228" s="432" t="str">
        <f>'Business travel, commute, home'!L65</f>
        <v/>
      </c>
      <c r="T228" s="432">
        <f>'Business travel, commute, home'!M65</f>
        <v>0</v>
      </c>
      <c r="U228" s="432">
        <f>'Business travel, commute, home'!N65</f>
        <v>0</v>
      </c>
      <c r="V228" s="432" t="str">
        <f>'Business travel, commute, home'!O65</f>
        <v/>
      </c>
      <c r="W228" s="432" t="str">
        <f>'Business travel, commute, home'!P65</f>
        <v/>
      </c>
      <c r="X228" s="432" t="str">
        <f>'Business travel, commute, home'!Q65</f>
        <v/>
      </c>
      <c r="Y228" s="432" t="str">
        <f>'Business travel, commute, home'!R65</f>
        <v/>
      </c>
      <c r="Z228" s="432" t="str">
        <f>'Business travel, commute, home'!S65</f>
        <v/>
      </c>
      <c r="AA228" s="432" t="str">
        <f>'Business travel, commute, home'!T65</f>
        <v/>
      </c>
      <c r="AB228" s="432" t="str">
        <f>'Business travel, commute, home'!U65</f>
        <v/>
      </c>
      <c r="AC228" s="432" t="str">
        <f>'Business travel, commute, home'!V65</f>
        <v/>
      </c>
      <c r="AE228" s="432">
        <f t="shared" si="10"/>
        <v>0</v>
      </c>
      <c r="AF228" s="432">
        <f t="shared" si="11"/>
        <v>0</v>
      </c>
    </row>
    <row r="229" spans="2:32" x14ac:dyDescent="0.35">
      <c r="B229" s="432" t="e">
        <f>"2024"&amp;MATCH(Totals!D229,OrgType,0)&amp;"_"&amp;MATCH(Totals!E229,Organisations,0)&amp;"_"&amp;LEFT(Totals!F229,1)&amp;"_"&amp;LEFT(G229,1)&amp;"_"&amp;COUNTIF($G$3:G229,G229)</f>
        <v>#N/A</v>
      </c>
      <c r="C229" s="432">
        <v>2024</v>
      </c>
      <c r="D229" s="432">
        <f>Introduction!$D$7</f>
        <v>0</v>
      </c>
      <c r="E229" s="432">
        <f>Introduction!$D$8</f>
        <v>0</v>
      </c>
      <c r="F229" s="432" t="s">
        <v>1108</v>
      </c>
      <c r="G229" s="432" t="s">
        <v>72</v>
      </c>
      <c r="H229" s="433"/>
      <c r="I229" s="432">
        <f>'Business travel, commute, home'!B66</f>
        <v>0</v>
      </c>
      <c r="J229" s="432">
        <f>'Business travel, commute, home'!C66</f>
        <v>0</v>
      </c>
      <c r="K229" s="432">
        <f>'Business travel, commute, home'!D66</f>
        <v>0</v>
      </c>
      <c r="L229" s="432">
        <f>'Business travel, commute, home'!E66</f>
        <v>0</v>
      </c>
      <c r="M229" s="432" t="str">
        <f>'Business travel, commute, home'!F66</f>
        <v/>
      </c>
      <c r="N229" s="432">
        <f>'Business travel, commute, home'!G66</f>
        <v>0</v>
      </c>
      <c r="O229" s="432" t="str">
        <f>'Business travel, commute, home'!H66</f>
        <v/>
      </c>
      <c r="P229" s="432" t="str">
        <f>'Business travel, commute, home'!I66</f>
        <v/>
      </c>
      <c r="Q229" s="432" t="str">
        <f>'Business travel, commute, home'!J66</f>
        <v/>
      </c>
      <c r="R229" s="432" t="str">
        <f>'Business travel, commute, home'!K66</f>
        <v/>
      </c>
      <c r="S229" s="432" t="str">
        <f>'Business travel, commute, home'!L66</f>
        <v/>
      </c>
      <c r="T229" s="432">
        <f>'Business travel, commute, home'!M66</f>
        <v>0</v>
      </c>
      <c r="U229" s="432">
        <f>'Business travel, commute, home'!N66</f>
        <v>0</v>
      </c>
      <c r="V229" s="432" t="str">
        <f>'Business travel, commute, home'!O66</f>
        <v/>
      </c>
      <c r="W229" s="432" t="str">
        <f>'Business travel, commute, home'!P66</f>
        <v/>
      </c>
      <c r="X229" s="432" t="str">
        <f>'Business travel, commute, home'!Q66</f>
        <v/>
      </c>
      <c r="Y229" s="432" t="str">
        <f>'Business travel, commute, home'!R66</f>
        <v/>
      </c>
      <c r="Z229" s="432" t="str">
        <f>'Business travel, commute, home'!S66</f>
        <v/>
      </c>
      <c r="AA229" s="432" t="str">
        <f>'Business travel, commute, home'!T66</f>
        <v/>
      </c>
      <c r="AB229" s="432" t="str">
        <f>'Business travel, commute, home'!U66</f>
        <v/>
      </c>
      <c r="AC229" s="432" t="str">
        <f>'Business travel, commute, home'!V66</f>
        <v/>
      </c>
      <c r="AE229" s="432">
        <f t="shared" si="10"/>
        <v>0</v>
      </c>
      <c r="AF229" s="432">
        <f t="shared" si="11"/>
        <v>0</v>
      </c>
    </row>
    <row r="230" spans="2:32" x14ac:dyDescent="0.35">
      <c r="B230" s="432" t="e">
        <f>"2024"&amp;MATCH(Totals!D230,OrgType,0)&amp;"_"&amp;MATCH(Totals!E230,Organisations,0)&amp;"_"&amp;LEFT(Totals!F230,1)&amp;"_"&amp;LEFT(G230,1)&amp;"_"&amp;COUNTIF($G$3:G230,G230)</f>
        <v>#N/A</v>
      </c>
      <c r="C230" s="432">
        <v>2024</v>
      </c>
      <c r="D230" s="432">
        <f>Introduction!$D$7</f>
        <v>0</v>
      </c>
      <c r="E230" s="432">
        <f>Introduction!$D$8</f>
        <v>0</v>
      </c>
      <c r="F230" s="432" t="s">
        <v>1108</v>
      </c>
      <c r="G230" s="432" t="s">
        <v>72</v>
      </c>
      <c r="H230" s="433"/>
      <c r="I230" s="432">
        <f>'Business travel, commute, home'!B67</f>
        <v>0</v>
      </c>
      <c r="J230" s="432">
        <f>'Business travel, commute, home'!C67</f>
        <v>0</v>
      </c>
      <c r="K230" s="432">
        <f>'Business travel, commute, home'!D67</f>
        <v>0</v>
      </c>
      <c r="L230" s="432">
        <f>'Business travel, commute, home'!E67</f>
        <v>0</v>
      </c>
      <c r="M230" s="432" t="str">
        <f>'Business travel, commute, home'!F67</f>
        <v/>
      </c>
      <c r="N230" s="432">
        <f>'Business travel, commute, home'!G67</f>
        <v>0</v>
      </c>
      <c r="O230" s="432" t="str">
        <f>'Business travel, commute, home'!H67</f>
        <v/>
      </c>
      <c r="P230" s="432" t="str">
        <f>'Business travel, commute, home'!I67</f>
        <v/>
      </c>
      <c r="Q230" s="432" t="str">
        <f>'Business travel, commute, home'!J67</f>
        <v/>
      </c>
      <c r="R230" s="432" t="str">
        <f>'Business travel, commute, home'!K67</f>
        <v/>
      </c>
      <c r="S230" s="432" t="str">
        <f>'Business travel, commute, home'!L67</f>
        <v/>
      </c>
      <c r="T230" s="432">
        <f>'Business travel, commute, home'!M67</f>
        <v>0</v>
      </c>
      <c r="U230" s="432">
        <f>'Business travel, commute, home'!N67</f>
        <v>0</v>
      </c>
      <c r="V230" s="432" t="str">
        <f>'Business travel, commute, home'!O67</f>
        <v/>
      </c>
      <c r="W230" s="432" t="str">
        <f>'Business travel, commute, home'!P67</f>
        <v/>
      </c>
      <c r="X230" s="432" t="str">
        <f>'Business travel, commute, home'!Q67</f>
        <v/>
      </c>
      <c r="Y230" s="432" t="str">
        <f>'Business travel, commute, home'!R67</f>
        <v/>
      </c>
      <c r="Z230" s="432" t="str">
        <f>'Business travel, commute, home'!S67</f>
        <v/>
      </c>
      <c r="AA230" s="432" t="str">
        <f>'Business travel, commute, home'!T67</f>
        <v/>
      </c>
      <c r="AB230" s="432" t="str">
        <f>'Business travel, commute, home'!U67</f>
        <v/>
      </c>
      <c r="AC230" s="432" t="str">
        <f>'Business travel, commute, home'!V67</f>
        <v/>
      </c>
      <c r="AE230" s="432">
        <f t="shared" si="10"/>
        <v>0</v>
      </c>
      <c r="AF230" s="432">
        <f t="shared" si="11"/>
        <v>0</v>
      </c>
    </row>
    <row r="231" spans="2:32" x14ac:dyDescent="0.35">
      <c r="B231" s="432" t="e">
        <f>"2024"&amp;MATCH(Totals!D231,OrgType,0)&amp;"_"&amp;MATCH(Totals!E231,Organisations,0)&amp;"_"&amp;LEFT(Totals!F231,1)&amp;"_"&amp;LEFT(G231,1)&amp;"_"&amp;COUNTIF($G$3:G231,G231)</f>
        <v>#N/A</v>
      </c>
      <c r="C231" s="432">
        <v>2024</v>
      </c>
      <c r="D231" s="432">
        <f>Introduction!$D$7</f>
        <v>0</v>
      </c>
      <c r="E231" s="432">
        <f>Introduction!$D$8</f>
        <v>0</v>
      </c>
      <c r="F231" s="432" t="s">
        <v>1108</v>
      </c>
      <c r="G231" s="432" t="s">
        <v>72</v>
      </c>
      <c r="H231" s="433"/>
      <c r="I231" s="432">
        <f>'Business travel, commute, home'!B68</f>
        <v>0</v>
      </c>
      <c r="J231" s="432">
        <f>'Business travel, commute, home'!C68</f>
        <v>0</v>
      </c>
      <c r="K231" s="432">
        <f>'Business travel, commute, home'!D68</f>
        <v>0</v>
      </c>
      <c r="L231" s="432">
        <f>'Business travel, commute, home'!E68</f>
        <v>0</v>
      </c>
      <c r="M231" s="432" t="str">
        <f>'Business travel, commute, home'!F68</f>
        <v/>
      </c>
      <c r="N231" s="432">
        <f>'Business travel, commute, home'!G68</f>
        <v>0</v>
      </c>
      <c r="O231" s="432" t="str">
        <f>'Business travel, commute, home'!H68</f>
        <v/>
      </c>
      <c r="P231" s="432" t="str">
        <f>'Business travel, commute, home'!I68</f>
        <v/>
      </c>
      <c r="Q231" s="432" t="str">
        <f>'Business travel, commute, home'!J68</f>
        <v/>
      </c>
      <c r="R231" s="432" t="str">
        <f>'Business travel, commute, home'!K68</f>
        <v/>
      </c>
      <c r="S231" s="432" t="str">
        <f>'Business travel, commute, home'!L68</f>
        <v/>
      </c>
      <c r="T231" s="432">
        <f>'Business travel, commute, home'!M68</f>
        <v>0</v>
      </c>
      <c r="U231" s="432">
        <f>'Business travel, commute, home'!N68</f>
        <v>0</v>
      </c>
      <c r="V231" s="432" t="str">
        <f>'Business travel, commute, home'!O68</f>
        <v/>
      </c>
      <c r="W231" s="432" t="str">
        <f>'Business travel, commute, home'!P68</f>
        <v/>
      </c>
      <c r="X231" s="432" t="str">
        <f>'Business travel, commute, home'!Q68</f>
        <v/>
      </c>
      <c r="Y231" s="432" t="str">
        <f>'Business travel, commute, home'!R68</f>
        <v/>
      </c>
      <c r="Z231" s="432" t="str">
        <f>'Business travel, commute, home'!S68</f>
        <v/>
      </c>
      <c r="AA231" s="432" t="str">
        <f>'Business travel, commute, home'!T68</f>
        <v/>
      </c>
      <c r="AB231" s="432" t="str">
        <f>'Business travel, commute, home'!U68</f>
        <v/>
      </c>
      <c r="AC231" s="432" t="str">
        <f>'Business travel, commute, home'!V68</f>
        <v/>
      </c>
      <c r="AE231" s="432">
        <f t="shared" si="10"/>
        <v>0</v>
      </c>
      <c r="AF231" s="432">
        <f t="shared" si="11"/>
        <v>0</v>
      </c>
    </row>
    <row r="232" spans="2:32" x14ac:dyDescent="0.35">
      <c r="B232" s="432" t="e">
        <f>"2024"&amp;MATCH(Totals!D232,OrgType,0)&amp;"_"&amp;MATCH(Totals!E232,Organisations,0)&amp;"_"&amp;LEFT(Totals!F232,1)&amp;"_"&amp;LEFT(G232,1)&amp;"_"&amp;COUNTIF($G$3:G232,G232)</f>
        <v>#N/A</v>
      </c>
      <c r="C232" s="432">
        <v>2024</v>
      </c>
      <c r="D232" s="432">
        <f>Introduction!$D$7</f>
        <v>0</v>
      </c>
      <c r="E232" s="432">
        <f>Introduction!$D$8</f>
        <v>0</v>
      </c>
      <c r="F232" s="432" t="s">
        <v>1108</v>
      </c>
      <c r="G232" s="432" t="s">
        <v>72</v>
      </c>
      <c r="H232" s="433"/>
      <c r="I232" s="432">
        <f>'Business travel, commute, home'!B69</f>
        <v>0</v>
      </c>
      <c r="J232" s="432">
        <f>'Business travel, commute, home'!C69</f>
        <v>0</v>
      </c>
      <c r="K232" s="432">
        <f>'Business travel, commute, home'!D69</f>
        <v>0</v>
      </c>
      <c r="L232" s="432">
        <f>'Business travel, commute, home'!E69</f>
        <v>0</v>
      </c>
      <c r="M232" s="432" t="str">
        <f>'Business travel, commute, home'!F69</f>
        <v/>
      </c>
      <c r="N232" s="432">
        <f>'Business travel, commute, home'!G69</f>
        <v>0</v>
      </c>
      <c r="O232" s="432" t="str">
        <f>'Business travel, commute, home'!H69</f>
        <v/>
      </c>
      <c r="P232" s="432" t="str">
        <f>'Business travel, commute, home'!I69</f>
        <v/>
      </c>
      <c r="Q232" s="432" t="str">
        <f>'Business travel, commute, home'!J69</f>
        <v/>
      </c>
      <c r="R232" s="432" t="str">
        <f>'Business travel, commute, home'!K69</f>
        <v/>
      </c>
      <c r="S232" s="432" t="str">
        <f>'Business travel, commute, home'!L69</f>
        <v/>
      </c>
      <c r="T232" s="432">
        <f>'Business travel, commute, home'!M69</f>
        <v>0</v>
      </c>
      <c r="U232" s="432">
        <f>'Business travel, commute, home'!N69</f>
        <v>0</v>
      </c>
      <c r="V232" s="432" t="str">
        <f>'Business travel, commute, home'!O69</f>
        <v/>
      </c>
      <c r="W232" s="432" t="str">
        <f>'Business travel, commute, home'!P69</f>
        <v/>
      </c>
      <c r="X232" s="432" t="str">
        <f>'Business travel, commute, home'!Q69</f>
        <v/>
      </c>
      <c r="Y232" s="432" t="str">
        <f>'Business travel, commute, home'!R69</f>
        <v/>
      </c>
      <c r="Z232" s="432" t="str">
        <f>'Business travel, commute, home'!S69</f>
        <v/>
      </c>
      <c r="AA232" s="432" t="str">
        <f>'Business travel, commute, home'!T69</f>
        <v/>
      </c>
      <c r="AB232" s="432" t="str">
        <f>'Business travel, commute, home'!U69</f>
        <v/>
      </c>
      <c r="AC232" s="432" t="str">
        <f>'Business travel, commute, home'!V69</f>
        <v/>
      </c>
      <c r="AE232" s="432">
        <f t="shared" si="10"/>
        <v>0</v>
      </c>
      <c r="AF232" s="432">
        <f t="shared" si="11"/>
        <v>0</v>
      </c>
    </row>
    <row r="233" spans="2:32" x14ac:dyDescent="0.35">
      <c r="B233" s="432" t="e">
        <f>"2024"&amp;MATCH(Totals!D233,OrgType,0)&amp;"_"&amp;MATCH(Totals!E233,Organisations,0)&amp;"_"&amp;LEFT(Totals!F233,1)&amp;"_"&amp;LEFT(G233,1)&amp;"_"&amp;COUNTIF($G$3:G233,G233)</f>
        <v>#N/A</v>
      </c>
      <c r="C233" s="432">
        <v>2024</v>
      </c>
      <c r="D233" s="432">
        <f>Introduction!$D$7</f>
        <v>0</v>
      </c>
      <c r="E233" s="432">
        <f>Introduction!$D$8</f>
        <v>0</v>
      </c>
      <c r="F233" s="432" t="s">
        <v>1108</v>
      </c>
      <c r="G233" s="432" t="s">
        <v>72</v>
      </c>
      <c r="H233" s="433"/>
      <c r="I233" s="432">
        <f>'Business travel, commute, home'!B70</f>
        <v>0</v>
      </c>
      <c r="J233" s="432">
        <f>'Business travel, commute, home'!C70</f>
        <v>0</v>
      </c>
      <c r="K233" s="432">
        <f>'Business travel, commute, home'!D70</f>
        <v>0</v>
      </c>
      <c r="L233" s="432">
        <f>'Business travel, commute, home'!E70</f>
        <v>0</v>
      </c>
      <c r="M233" s="432" t="str">
        <f>'Business travel, commute, home'!F70</f>
        <v/>
      </c>
      <c r="N233" s="432">
        <f>'Business travel, commute, home'!G70</f>
        <v>0</v>
      </c>
      <c r="O233" s="432" t="str">
        <f>'Business travel, commute, home'!H70</f>
        <v/>
      </c>
      <c r="P233" s="432" t="str">
        <f>'Business travel, commute, home'!I70</f>
        <v/>
      </c>
      <c r="Q233" s="432" t="str">
        <f>'Business travel, commute, home'!J70</f>
        <v/>
      </c>
      <c r="R233" s="432" t="str">
        <f>'Business travel, commute, home'!K70</f>
        <v/>
      </c>
      <c r="S233" s="432" t="str">
        <f>'Business travel, commute, home'!L70</f>
        <v/>
      </c>
      <c r="T233" s="432">
        <f>'Business travel, commute, home'!M70</f>
        <v>0</v>
      </c>
      <c r="U233" s="432">
        <f>'Business travel, commute, home'!N70</f>
        <v>0</v>
      </c>
      <c r="V233" s="432" t="str">
        <f>'Business travel, commute, home'!O70</f>
        <v/>
      </c>
      <c r="W233" s="432" t="str">
        <f>'Business travel, commute, home'!P70</f>
        <v/>
      </c>
      <c r="X233" s="432" t="str">
        <f>'Business travel, commute, home'!Q70</f>
        <v/>
      </c>
      <c r="Y233" s="432" t="str">
        <f>'Business travel, commute, home'!R70</f>
        <v/>
      </c>
      <c r="Z233" s="432" t="str">
        <f>'Business travel, commute, home'!S70</f>
        <v/>
      </c>
      <c r="AA233" s="432" t="str">
        <f>'Business travel, commute, home'!T70</f>
        <v/>
      </c>
      <c r="AB233" s="432" t="str">
        <f>'Business travel, commute, home'!U70</f>
        <v/>
      </c>
      <c r="AC233" s="432" t="str">
        <f>'Business travel, commute, home'!V70</f>
        <v/>
      </c>
      <c r="AE233" s="432">
        <f t="shared" si="10"/>
        <v>0</v>
      </c>
      <c r="AF233" s="432">
        <f t="shared" si="11"/>
        <v>0</v>
      </c>
    </row>
    <row r="234" spans="2:32" x14ac:dyDescent="0.35">
      <c r="B234" s="432" t="e">
        <f>"2024"&amp;MATCH(Totals!D234,OrgType,0)&amp;"_"&amp;MATCH(Totals!E234,Organisations,0)&amp;"_"&amp;LEFT(Totals!F234,1)&amp;"_"&amp;LEFT(G234,1)&amp;"_"&amp;COUNTIF($G$3:G234,G234)</f>
        <v>#N/A</v>
      </c>
      <c r="C234" s="432">
        <v>2024</v>
      </c>
      <c r="D234" s="432">
        <f>Introduction!$D$7</f>
        <v>0</v>
      </c>
      <c r="E234" s="432">
        <f>Introduction!$D$8</f>
        <v>0</v>
      </c>
      <c r="F234" s="432" t="s">
        <v>1108</v>
      </c>
      <c r="G234" s="432" t="s">
        <v>72</v>
      </c>
      <c r="H234" s="433"/>
      <c r="I234" s="432">
        <f>'Business travel, commute, home'!B71</f>
        <v>0</v>
      </c>
      <c r="J234" s="432">
        <f>'Business travel, commute, home'!C71</f>
        <v>0</v>
      </c>
      <c r="K234" s="432">
        <f>'Business travel, commute, home'!D71</f>
        <v>0</v>
      </c>
      <c r="L234" s="432">
        <f>'Business travel, commute, home'!E71</f>
        <v>0</v>
      </c>
      <c r="M234" s="432" t="str">
        <f>'Business travel, commute, home'!F71</f>
        <v/>
      </c>
      <c r="N234" s="432">
        <f>'Business travel, commute, home'!G71</f>
        <v>0</v>
      </c>
      <c r="O234" s="432" t="str">
        <f>'Business travel, commute, home'!H71</f>
        <v/>
      </c>
      <c r="P234" s="432" t="str">
        <f>'Business travel, commute, home'!I71</f>
        <v/>
      </c>
      <c r="Q234" s="432" t="str">
        <f>'Business travel, commute, home'!J71</f>
        <v/>
      </c>
      <c r="R234" s="432" t="str">
        <f>'Business travel, commute, home'!K71</f>
        <v/>
      </c>
      <c r="S234" s="432" t="str">
        <f>'Business travel, commute, home'!L71</f>
        <v/>
      </c>
      <c r="T234" s="432">
        <f>'Business travel, commute, home'!M71</f>
        <v>0</v>
      </c>
      <c r="U234" s="432">
        <f>'Business travel, commute, home'!N71</f>
        <v>0</v>
      </c>
      <c r="V234" s="432" t="str">
        <f>'Business travel, commute, home'!O71</f>
        <v/>
      </c>
      <c r="W234" s="432" t="str">
        <f>'Business travel, commute, home'!P71</f>
        <v/>
      </c>
      <c r="X234" s="432" t="str">
        <f>'Business travel, commute, home'!Q71</f>
        <v/>
      </c>
      <c r="Y234" s="432" t="str">
        <f>'Business travel, commute, home'!R71</f>
        <v/>
      </c>
      <c r="Z234" s="432" t="str">
        <f>'Business travel, commute, home'!S71</f>
        <v/>
      </c>
      <c r="AA234" s="432" t="str">
        <f>'Business travel, commute, home'!T71</f>
        <v/>
      </c>
      <c r="AB234" s="432" t="str">
        <f>'Business travel, commute, home'!U71</f>
        <v/>
      </c>
      <c r="AC234" s="432" t="str">
        <f>'Business travel, commute, home'!V71</f>
        <v/>
      </c>
      <c r="AE234" s="432">
        <f t="shared" si="10"/>
        <v>0</v>
      </c>
      <c r="AF234" s="432">
        <f t="shared" si="11"/>
        <v>0</v>
      </c>
    </row>
    <row r="235" spans="2:32" x14ac:dyDescent="0.35">
      <c r="B235" s="432" t="e">
        <f>"2024"&amp;MATCH(Totals!D235,OrgType,0)&amp;"_"&amp;MATCH(Totals!E235,Organisations,0)&amp;"_"&amp;LEFT(Totals!F235,1)&amp;"_"&amp;LEFT(G235,1)&amp;"_"&amp;COUNTIF($G$3:G235,G235)</f>
        <v>#N/A</v>
      </c>
      <c r="C235" s="432">
        <v>2024</v>
      </c>
      <c r="D235" s="432">
        <f>Introduction!$D$7</f>
        <v>0</v>
      </c>
      <c r="E235" s="432">
        <f>Introduction!$D$8</f>
        <v>0</v>
      </c>
      <c r="F235" s="432" t="s">
        <v>1108</v>
      </c>
      <c r="G235" s="432" t="s">
        <v>72</v>
      </c>
      <c r="H235" s="433"/>
      <c r="I235" s="432">
        <f>'Business travel, commute, home'!B72</f>
        <v>0</v>
      </c>
      <c r="J235" s="432">
        <f>'Business travel, commute, home'!C72</f>
        <v>0</v>
      </c>
      <c r="K235" s="432">
        <f>'Business travel, commute, home'!D72</f>
        <v>0</v>
      </c>
      <c r="L235" s="432">
        <f>'Business travel, commute, home'!E72</f>
        <v>0</v>
      </c>
      <c r="M235" s="432" t="str">
        <f>'Business travel, commute, home'!F72</f>
        <v/>
      </c>
      <c r="N235" s="432">
        <f>'Business travel, commute, home'!G72</f>
        <v>0</v>
      </c>
      <c r="O235" s="432" t="str">
        <f>'Business travel, commute, home'!H72</f>
        <v/>
      </c>
      <c r="P235" s="432" t="str">
        <f>'Business travel, commute, home'!I72</f>
        <v/>
      </c>
      <c r="Q235" s="432" t="str">
        <f>'Business travel, commute, home'!J72</f>
        <v/>
      </c>
      <c r="R235" s="432" t="str">
        <f>'Business travel, commute, home'!K72</f>
        <v/>
      </c>
      <c r="S235" s="432" t="str">
        <f>'Business travel, commute, home'!L72</f>
        <v/>
      </c>
      <c r="T235" s="432">
        <f>'Business travel, commute, home'!M72</f>
        <v>0</v>
      </c>
      <c r="U235" s="432">
        <f>'Business travel, commute, home'!N72</f>
        <v>0</v>
      </c>
      <c r="V235" s="432" t="str">
        <f>'Business travel, commute, home'!O72</f>
        <v/>
      </c>
      <c r="W235" s="432" t="str">
        <f>'Business travel, commute, home'!P72</f>
        <v/>
      </c>
      <c r="X235" s="432" t="str">
        <f>'Business travel, commute, home'!Q72</f>
        <v/>
      </c>
      <c r="Y235" s="432" t="str">
        <f>'Business travel, commute, home'!R72</f>
        <v/>
      </c>
      <c r="Z235" s="432" t="str">
        <f>'Business travel, commute, home'!S72</f>
        <v/>
      </c>
      <c r="AA235" s="432" t="str">
        <f>'Business travel, commute, home'!T72</f>
        <v/>
      </c>
      <c r="AB235" s="432" t="str">
        <f>'Business travel, commute, home'!U72</f>
        <v/>
      </c>
      <c r="AC235" s="432" t="str">
        <f>'Business travel, commute, home'!V72</f>
        <v/>
      </c>
      <c r="AE235" s="432">
        <f t="shared" si="10"/>
        <v>0</v>
      </c>
      <c r="AF235" s="432">
        <f t="shared" si="11"/>
        <v>0</v>
      </c>
    </row>
    <row r="236" spans="2:32" x14ac:dyDescent="0.35">
      <c r="B236" s="432" t="e">
        <f>"2024"&amp;MATCH(Totals!D236,OrgType,0)&amp;"_"&amp;MATCH(Totals!E236,Organisations,0)&amp;"_"&amp;LEFT(Totals!F236,1)&amp;"_"&amp;LEFT(G236,1)&amp;"_"&amp;COUNTIF($G$3:G236,G236)</f>
        <v>#N/A</v>
      </c>
      <c r="C236" s="432">
        <v>2024</v>
      </c>
      <c r="D236" s="432">
        <f>Introduction!$D$7</f>
        <v>0</v>
      </c>
      <c r="E236" s="432">
        <f>Introduction!$D$8</f>
        <v>0</v>
      </c>
      <c r="F236" s="432" t="s">
        <v>1108</v>
      </c>
      <c r="G236" s="432" t="s">
        <v>72</v>
      </c>
      <c r="H236" s="433"/>
      <c r="I236" s="432">
        <f>'Business travel, commute, home'!B73</f>
        <v>0</v>
      </c>
      <c r="J236" s="432">
        <f>'Business travel, commute, home'!C73</f>
        <v>0</v>
      </c>
      <c r="K236" s="432">
        <f>'Business travel, commute, home'!D73</f>
        <v>0</v>
      </c>
      <c r="L236" s="432">
        <f>'Business travel, commute, home'!E73</f>
        <v>0</v>
      </c>
      <c r="M236" s="432" t="str">
        <f>'Business travel, commute, home'!F73</f>
        <v/>
      </c>
      <c r="N236" s="432">
        <f>'Business travel, commute, home'!G73</f>
        <v>0</v>
      </c>
      <c r="O236" s="432" t="str">
        <f>'Business travel, commute, home'!H73</f>
        <v/>
      </c>
      <c r="P236" s="432" t="str">
        <f>'Business travel, commute, home'!I73</f>
        <v/>
      </c>
      <c r="Q236" s="432" t="str">
        <f>'Business travel, commute, home'!J73</f>
        <v/>
      </c>
      <c r="R236" s="432" t="str">
        <f>'Business travel, commute, home'!K73</f>
        <v/>
      </c>
      <c r="S236" s="432" t="str">
        <f>'Business travel, commute, home'!L73</f>
        <v/>
      </c>
      <c r="T236" s="432">
        <f>'Business travel, commute, home'!M73</f>
        <v>0</v>
      </c>
      <c r="U236" s="432">
        <f>'Business travel, commute, home'!N73</f>
        <v>0</v>
      </c>
      <c r="V236" s="432" t="str">
        <f>'Business travel, commute, home'!O73</f>
        <v/>
      </c>
      <c r="W236" s="432" t="str">
        <f>'Business travel, commute, home'!P73</f>
        <v/>
      </c>
      <c r="X236" s="432" t="str">
        <f>'Business travel, commute, home'!Q73</f>
        <v/>
      </c>
      <c r="Y236" s="432" t="str">
        <f>'Business travel, commute, home'!R73</f>
        <v/>
      </c>
      <c r="Z236" s="432" t="str">
        <f>'Business travel, commute, home'!S73</f>
        <v/>
      </c>
      <c r="AA236" s="432" t="str">
        <f>'Business travel, commute, home'!T73</f>
        <v/>
      </c>
      <c r="AB236" s="432" t="str">
        <f>'Business travel, commute, home'!U73</f>
        <v/>
      </c>
      <c r="AC236" s="432" t="str">
        <f>'Business travel, commute, home'!V73</f>
        <v/>
      </c>
      <c r="AE236" s="432">
        <f t="shared" si="10"/>
        <v>0</v>
      </c>
      <c r="AF236" s="432">
        <f t="shared" si="11"/>
        <v>0</v>
      </c>
    </row>
    <row r="237" spans="2:32" x14ac:dyDescent="0.35">
      <c r="B237" s="432" t="e">
        <f>"2024"&amp;MATCH(Totals!D237,OrgType,0)&amp;"_"&amp;MATCH(Totals!E237,Organisations,0)&amp;"_"&amp;LEFT(Totals!F237,1)&amp;"_"&amp;LEFT(G237,1)&amp;"_"&amp;COUNTIF($G$3:G237,G237)</f>
        <v>#N/A</v>
      </c>
      <c r="C237" s="432">
        <v>2024</v>
      </c>
      <c r="D237" s="432">
        <f>Introduction!$D$7</f>
        <v>0</v>
      </c>
      <c r="E237" s="432">
        <f>Introduction!$D$8</f>
        <v>0</v>
      </c>
      <c r="F237" s="432" t="s">
        <v>1108</v>
      </c>
      <c r="G237" s="432" t="s">
        <v>72</v>
      </c>
      <c r="H237" s="433"/>
      <c r="I237" s="432">
        <f>'Business travel, commute, home'!B74</f>
        <v>0</v>
      </c>
      <c r="J237" s="432">
        <f>'Business travel, commute, home'!C74</f>
        <v>0</v>
      </c>
      <c r="K237" s="432">
        <f>'Business travel, commute, home'!D74</f>
        <v>0</v>
      </c>
      <c r="L237" s="432">
        <f>'Business travel, commute, home'!E74</f>
        <v>0</v>
      </c>
      <c r="M237" s="432" t="str">
        <f>'Business travel, commute, home'!F74</f>
        <v/>
      </c>
      <c r="N237" s="432">
        <f>'Business travel, commute, home'!G74</f>
        <v>0</v>
      </c>
      <c r="O237" s="432" t="str">
        <f>'Business travel, commute, home'!H74</f>
        <v/>
      </c>
      <c r="P237" s="432" t="str">
        <f>'Business travel, commute, home'!I74</f>
        <v/>
      </c>
      <c r="Q237" s="432" t="str">
        <f>'Business travel, commute, home'!J74</f>
        <v/>
      </c>
      <c r="R237" s="432" t="str">
        <f>'Business travel, commute, home'!K74</f>
        <v/>
      </c>
      <c r="S237" s="432" t="str">
        <f>'Business travel, commute, home'!L74</f>
        <v/>
      </c>
      <c r="T237" s="432">
        <f>'Business travel, commute, home'!M74</f>
        <v>0</v>
      </c>
      <c r="U237" s="432">
        <f>'Business travel, commute, home'!N74</f>
        <v>0</v>
      </c>
      <c r="V237" s="432" t="str">
        <f>'Business travel, commute, home'!O74</f>
        <v/>
      </c>
      <c r="W237" s="432" t="str">
        <f>'Business travel, commute, home'!P74</f>
        <v/>
      </c>
      <c r="X237" s="432" t="str">
        <f>'Business travel, commute, home'!Q74</f>
        <v/>
      </c>
      <c r="Y237" s="432" t="str">
        <f>'Business travel, commute, home'!R74</f>
        <v/>
      </c>
      <c r="Z237" s="432" t="str">
        <f>'Business travel, commute, home'!S74</f>
        <v/>
      </c>
      <c r="AA237" s="432" t="str">
        <f>'Business travel, commute, home'!T74</f>
        <v/>
      </c>
      <c r="AB237" s="432" t="str">
        <f>'Business travel, commute, home'!U74</f>
        <v/>
      </c>
      <c r="AC237" s="432" t="str">
        <f>'Business travel, commute, home'!V74</f>
        <v/>
      </c>
      <c r="AE237" s="432">
        <f t="shared" si="10"/>
        <v>0</v>
      </c>
      <c r="AF237" s="432">
        <f t="shared" si="11"/>
        <v>0</v>
      </c>
    </row>
    <row r="238" spans="2:32" x14ac:dyDescent="0.35">
      <c r="B238" s="432" t="e">
        <f>"2024"&amp;MATCH(Totals!D238,OrgType,0)&amp;"_"&amp;MATCH(Totals!E238,Organisations,0)&amp;"_"&amp;LEFT(Totals!F238,1)&amp;"_"&amp;LEFT(G238,1)&amp;"_"&amp;COUNTIF($G$3:G238,G238)</f>
        <v>#N/A</v>
      </c>
      <c r="C238" s="432">
        <v>2024</v>
      </c>
      <c r="D238" s="432">
        <f>Introduction!$D$7</f>
        <v>0</v>
      </c>
      <c r="E238" s="432">
        <f>Introduction!$D$8</f>
        <v>0</v>
      </c>
      <c r="F238" s="432" t="s">
        <v>1093</v>
      </c>
      <c r="G238" s="432" t="s">
        <v>1093</v>
      </c>
      <c r="H238" s="433"/>
      <c r="I238" s="432" t="str">
        <f>'Medical gases (NHS only)'!B7</f>
        <v>Medical gas</v>
      </c>
      <c r="J238" s="432">
        <f>'Medical gases (NHS only)'!C7</f>
        <v>0</v>
      </c>
      <c r="K238" s="432">
        <f>'Medical gases (NHS only)'!D7</f>
        <v>0</v>
      </c>
      <c r="L238" s="432">
        <f>'Medical gases (NHS only)'!E7</f>
        <v>0</v>
      </c>
      <c r="M238" s="432" t="str">
        <f>'Medical gases (NHS only)'!F7</f>
        <v/>
      </c>
      <c r="N238" s="432">
        <f>'Medical gases (NHS only)'!G7</f>
        <v>0</v>
      </c>
      <c r="O238" s="432">
        <f>'Medical gases (NHS only)'!H7</f>
        <v>0</v>
      </c>
      <c r="P238" s="432" t="str">
        <f>'Medical gases (NHS only)'!I7</f>
        <v/>
      </c>
      <c r="Q238" s="432" t="str">
        <f>'Medical gases (NHS only)'!J7</f>
        <v>Litres</v>
      </c>
      <c r="R238" s="432" t="str">
        <f>'Medical gases (NHS only)'!K7</f>
        <v/>
      </c>
      <c r="S238" s="432" t="str">
        <f>'Medical gases (NHS only)'!L7</f>
        <v/>
      </c>
      <c r="T238" s="432">
        <f>'Medical gases (NHS only)'!M7</f>
        <v>0</v>
      </c>
      <c r="U238" s="432">
        <f>'Medical gases (NHS only)'!N7</f>
        <v>0</v>
      </c>
      <c r="V238" s="432" t="str">
        <f>'Medical gases (NHS only)'!O7</f>
        <v/>
      </c>
      <c r="W238" s="432">
        <f>'Medical gases (NHS only)'!P7</f>
        <v>0</v>
      </c>
      <c r="X238" s="432">
        <f>'Medical gases (NHS only)'!Q7</f>
        <v>0</v>
      </c>
      <c r="Y238" s="432">
        <f>'Medical gases (NHS only)'!R7</f>
        <v>0</v>
      </c>
      <c r="Z238" s="432">
        <f>'Medical gases (NHS only)'!S7</f>
        <v>0</v>
      </c>
      <c r="AA238" s="432" t="str">
        <f>'Medical gases (NHS only)'!T7</f>
        <v/>
      </c>
      <c r="AB238" s="432" t="str">
        <f>'Medical gases (NHS only)'!U7</f>
        <v/>
      </c>
      <c r="AC238" s="432">
        <f>'Medical gases (NHS only)'!V7</f>
        <v>0</v>
      </c>
      <c r="AE238" s="432">
        <f t="shared" si="10"/>
        <v>0</v>
      </c>
      <c r="AF238" s="432">
        <f t="shared" si="11"/>
        <v>0</v>
      </c>
    </row>
    <row r="239" spans="2:32" x14ac:dyDescent="0.35">
      <c r="B239" s="432" t="e">
        <f>"2024"&amp;MATCH(Totals!D239,OrgType,0)&amp;"_"&amp;MATCH(Totals!E239,Organisations,0)&amp;"_"&amp;LEFT(Totals!F239,1)&amp;"_"&amp;LEFT(G239,1)&amp;"_"&amp;COUNTIF($G$3:G239,G239)</f>
        <v>#N/A</v>
      </c>
      <c r="C239" s="432">
        <v>2024</v>
      </c>
      <c r="D239" s="432">
        <f>Introduction!$D$7</f>
        <v>0</v>
      </c>
      <c r="E239" s="432">
        <f>Introduction!$D$8</f>
        <v>0</v>
      </c>
      <c r="F239" s="432" t="s">
        <v>1093</v>
      </c>
      <c r="G239" s="432" t="s">
        <v>1093</v>
      </c>
      <c r="H239" s="433"/>
      <c r="I239" s="432" t="str">
        <f>'Medical gases (NHS only)'!B8</f>
        <v>Medical gas</v>
      </c>
      <c r="J239" s="432">
        <f>'Medical gases (NHS only)'!C8</f>
        <v>0</v>
      </c>
      <c r="K239" s="432">
        <f>'Medical gases (NHS only)'!D8</f>
        <v>0</v>
      </c>
      <c r="L239" s="432">
        <f>'Medical gases (NHS only)'!E8</f>
        <v>0</v>
      </c>
      <c r="M239" s="432" t="str">
        <f>'Medical gases (NHS only)'!F8</f>
        <v/>
      </c>
      <c r="N239" s="432">
        <f>'Medical gases (NHS only)'!G8</f>
        <v>0</v>
      </c>
      <c r="O239" s="432">
        <f>'Medical gases (NHS only)'!H8</f>
        <v>0</v>
      </c>
      <c r="P239" s="432" t="str">
        <f>'Medical gases (NHS only)'!I8</f>
        <v/>
      </c>
      <c r="Q239" s="432" t="str">
        <f>'Medical gases (NHS only)'!J8</f>
        <v>Litres</v>
      </c>
      <c r="R239" s="432" t="str">
        <f>'Medical gases (NHS only)'!K8</f>
        <v/>
      </c>
      <c r="S239" s="432" t="str">
        <f>'Medical gases (NHS only)'!L8</f>
        <v/>
      </c>
      <c r="T239" s="432">
        <f>'Medical gases (NHS only)'!M8</f>
        <v>0</v>
      </c>
      <c r="U239" s="432">
        <f>'Medical gases (NHS only)'!N8</f>
        <v>0</v>
      </c>
      <c r="V239" s="432" t="str">
        <f>'Medical gases (NHS only)'!O8</f>
        <v/>
      </c>
      <c r="W239" s="432">
        <f>'Medical gases (NHS only)'!P8</f>
        <v>0</v>
      </c>
      <c r="X239" s="432">
        <f>'Medical gases (NHS only)'!Q8</f>
        <v>0</v>
      </c>
      <c r="Y239" s="432">
        <f>'Medical gases (NHS only)'!R8</f>
        <v>0</v>
      </c>
      <c r="Z239" s="432">
        <f>'Medical gases (NHS only)'!S8</f>
        <v>0</v>
      </c>
      <c r="AA239" s="432" t="str">
        <f>'Medical gases (NHS only)'!T8</f>
        <v/>
      </c>
      <c r="AB239" s="432" t="str">
        <f>'Medical gases (NHS only)'!U8</f>
        <v/>
      </c>
      <c r="AC239" s="432">
        <f>'Medical gases (NHS only)'!V8</f>
        <v>0</v>
      </c>
      <c r="AE239" s="432">
        <f t="shared" si="10"/>
        <v>0</v>
      </c>
      <c r="AF239" s="432">
        <f t="shared" si="11"/>
        <v>0</v>
      </c>
    </row>
    <row r="240" spans="2:32" x14ac:dyDescent="0.35">
      <c r="B240" s="432" t="e">
        <f>"2024"&amp;MATCH(Totals!D240,OrgType,0)&amp;"_"&amp;MATCH(Totals!E240,Organisations,0)&amp;"_"&amp;LEFT(Totals!F240,1)&amp;"_"&amp;LEFT(G240,1)&amp;"_"&amp;COUNTIF($G$3:G240,G240)</f>
        <v>#N/A</v>
      </c>
      <c r="C240" s="432">
        <v>2024</v>
      </c>
      <c r="D240" s="432">
        <f>Introduction!$D$7</f>
        <v>0</v>
      </c>
      <c r="E240" s="432">
        <f>Introduction!$D$8</f>
        <v>0</v>
      </c>
      <c r="F240" s="432" t="s">
        <v>1093</v>
      </c>
      <c r="G240" s="432" t="s">
        <v>1093</v>
      </c>
      <c r="H240" s="433"/>
      <c r="I240" s="432" t="str">
        <f>'Medical gases (NHS only)'!B9</f>
        <v>Medical gas</v>
      </c>
      <c r="J240" s="432">
        <f>'Medical gases (NHS only)'!C9</f>
        <v>0</v>
      </c>
      <c r="K240" s="432">
        <f>'Medical gases (NHS only)'!D9</f>
        <v>0</v>
      </c>
      <c r="L240" s="432">
        <f>'Medical gases (NHS only)'!E9</f>
        <v>0</v>
      </c>
      <c r="M240" s="432" t="str">
        <f>'Medical gases (NHS only)'!F9</f>
        <v/>
      </c>
      <c r="N240" s="432">
        <f>'Medical gases (NHS only)'!G9</f>
        <v>0</v>
      </c>
      <c r="O240" s="432">
        <f>'Medical gases (NHS only)'!H9</f>
        <v>0</v>
      </c>
      <c r="P240" s="432" t="str">
        <f>'Medical gases (NHS only)'!I9</f>
        <v/>
      </c>
      <c r="Q240" s="432" t="str">
        <f>'Medical gases (NHS only)'!J9</f>
        <v>Litres</v>
      </c>
      <c r="R240" s="432" t="str">
        <f>'Medical gases (NHS only)'!K9</f>
        <v/>
      </c>
      <c r="S240" s="432" t="str">
        <f>'Medical gases (NHS only)'!L9</f>
        <v/>
      </c>
      <c r="T240" s="432">
        <f>'Medical gases (NHS only)'!M9</f>
        <v>0</v>
      </c>
      <c r="U240" s="432">
        <f>'Medical gases (NHS only)'!N9</f>
        <v>0</v>
      </c>
      <c r="V240" s="432" t="str">
        <f>'Medical gases (NHS only)'!O9</f>
        <v/>
      </c>
      <c r="W240" s="432">
        <f>'Medical gases (NHS only)'!P9</f>
        <v>0</v>
      </c>
      <c r="X240" s="432">
        <f>'Medical gases (NHS only)'!Q9</f>
        <v>0</v>
      </c>
      <c r="Y240" s="432">
        <f>'Medical gases (NHS only)'!R9</f>
        <v>0</v>
      </c>
      <c r="Z240" s="432">
        <f>'Medical gases (NHS only)'!S9</f>
        <v>0</v>
      </c>
      <c r="AA240" s="432" t="str">
        <f>'Medical gases (NHS only)'!T9</f>
        <v/>
      </c>
      <c r="AB240" s="432" t="str">
        <f>'Medical gases (NHS only)'!U9</f>
        <v/>
      </c>
      <c r="AC240" s="432">
        <f>'Medical gases (NHS only)'!V9</f>
        <v>0</v>
      </c>
      <c r="AE240" s="432">
        <f t="shared" si="10"/>
        <v>0</v>
      </c>
      <c r="AF240" s="432">
        <f t="shared" si="11"/>
        <v>0</v>
      </c>
    </row>
    <row r="241" spans="2:32" x14ac:dyDescent="0.35">
      <c r="B241" s="432" t="e">
        <f>"2024"&amp;MATCH(Totals!D241,OrgType,0)&amp;"_"&amp;MATCH(Totals!E241,Organisations,0)&amp;"_"&amp;LEFT(Totals!F241,1)&amp;"_"&amp;LEFT(G241,1)&amp;"_"&amp;COUNTIF($G$3:G241,G241)</f>
        <v>#N/A</v>
      </c>
      <c r="C241" s="432">
        <v>2024</v>
      </c>
      <c r="D241" s="432">
        <f>Introduction!$D$7</f>
        <v>0</v>
      </c>
      <c r="E241" s="432">
        <f>Introduction!$D$8</f>
        <v>0</v>
      </c>
      <c r="F241" s="432" t="s">
        <v>1093</v>
      </c>
      <c r="G241" s="432" t="s">
        <v>1093</v>
      </c>
      <c r="H241" s="433"/>
      <c r="I241" s="432" t="str">
        <f>'Medical gases (NHS only)'!B10</f>
        <v>Medical gas</v>
      </c>
      <c r="J241" s="432">
        <f>'Medical gases (NHS only)'!C10</f>
        <v>0</v>
      </c>
      <c r="K241" s="432">
        <f>'Medical gases (NHS only)'!D10</f>
        <v>0</v>
      </c>
      <c r="L241" s="432">
        <f>'Medical gases (NHS only)'!E10</f>
        <v>0</v>
      </c>
      <c r="M241" s="432" t="str">
        <f>'Medical gases (NHS only)'!F10</f>
        <v/>
      </c>
      <c r="N241" s="432">
        <f>'Medical gases (NHS only)'!G10</f>
        <v>0</v>
      </c>
      <c r="O241" s="432">
        <f>'Medical gases (NHS only)'!H10</f>
        <v>0</v>
      </c>
      <c r="P241" s="432" t="str">
        <f>'Medical gases (NHS only)'!I10</f>
        <v/>
      </c>
      <c r="Q241" s="432" t="str">
        <f>'Medical gases (NHS only)'!J10</f>
        <v>Litres</v>
      </c>
      <c r="R241" s="432" t="str">
        <f>'Medical gases (NHS only)'!K10</f>
        <v/>
      </c>
      <c r="S241" s="432" t="str">
        <f>'Medical gases (NHS only)'!L10</f>
        <v/>
      </c>
      <c r="T241" s="432">
        <f>'Medical gases (NHS only)'!M10</f>
        <v>0</v>
      </c>
      <c r="U241" s="432">
        <f>'Medical gases (NHS only)'!N10</f>
        <v>0</v>
      </c>
      <c r="V241" s="432" t="str">
        <f>'Medical gases (NHS only)'!O10</f>
        <v/>
      </c>
      <c r="W241" s="432">
        <f>'Medical gases (NHS only)'!P10</f>
        <v>0</v>
      </c>
      <c r="X241" s="432">
        <f>'Medical gases (NHS only)'!Q10</f>
        <v>0</v>
      </c>
      <c r="Y241" s="432">
        <f>'Medical gases (NHS only)'!R10</f>
        <v>0</v>
      </c>
      <c r="Z241" s="432">
        <f>'Medical gases (NHS only)'!S10</f>
        <v>0</v>
      </c>
      <c r="AA241" s="432" t="str">
        <f>'Medical gases (NHS only)'!T10</f>
        <v/>
      </c>
      <c r="AB241" s="432" t="str">
        <f>'Medical gases (NHS only)'!U10</f>
        <v/>
      </c>
      <c r="AC241" s="432">
        <f>'Medical gases (NHS only)'!V10</f>
        <v>0</v>
      </c>
      <c r="AE241" s="432">
        <f t="shared" si="10"/>
        <v>0</v>
      </c>
      <c r="AF241" s="432">
        <f t="shared" si="11"/>
        <v>0</v>
      </c>
    </row>
    <row r="242" spans="2:32" x14ac:dyDescent="0.35">
      <c r="B242" s="432" t="e">
        <f>"2024"&amp;MATCH(Totals!D242,OrgType,0)&amp;"_"&amp;MATCH(Totals!E242,Organisations,0)&amp;"_"&amp;LEFT(Totals!F242,1)&amp;"_"&amp;LEFT(G242,1)&amp;"_"&amp;COUNTIF($G$3:G242,G242)</f>
        <v>#N/A</v>
      </c>
      <c r="C242" s="432">
        <v>2024</v>
      </c>
      <c r="D242" s="432">
        <f>Introduction!$D$7</f>
        <v>0</v>
      </c>
      <c r="E242" s="432">
        <f>Introduction!$D$8</f>
        <v>0</v>
      </c>
      <c r="F242" s="432" t="s">
        <v>1093</v>
      </c>
      <c r="G242" s="432" t="s">
        <v>1093</v>
      </c>
      <c r="H242" s="433"/>
      <c r="I242" s="432" t="str">
        <f>'Medical gases (NHS only)'!B11</f>
        <v>Medical gas</v>
      </c>
      <c r="J242" s="432">
        <f>'Medical gases (NHS only)'!C11</f>
        <v>0</v>
      </c>
      <c r="K242" s="432">
        <f>'Medical gases (NHS only)'!D11</f>
        <v>0</v>
      </c>
      <c r="L242" s="432">
        <f>'Medical gases (NHS only)'!E11</f>
        <v>0</v>
      </c>
      <c r="M242" s="432" t="str">
        <f>'Medical gases (NHS only)'!F11</f>
        <v/>
      </c>
      <c r="N242" s="432">
        <f>'Medical gases (NHS only)'!G11</f>
        <v>0</v>
      </c>
      <c r="O242" s="432">
        <f>'Medical gases (NHS only)'!H11</f>
        <v>0</v>
      </c>
      <c r="P242" s="432" t="str">
        <f>'Medical gases (NHS only)'!I11</f>
        <v/>
      </c>
      <c r="Q242" s="432" t="str">
        <f>'Medical gases (NHS only)'!J11</f>
        <v>Litres</v>
      </c>
      <c r="R242" s="432" t="str">
        <f>'Medical gases (NHS only)'!K11</f>
        <v/>
      </c>
      <c r="S242" s="432" t="str">
        <f>'Medical gases (NHS only)'!L11</f>
        <v/>
      </c>
      <c r="T242" s="432">
        <f>'Medical gases (NHS only)'!M11</f>
        <v>0</v>
      </c>
      <c r="U242" s="432">
        <f>'Medical gases (NHS only)'!N11</f>
        <v>0</v>
      </c>
      <c r="V242" s="432" t="str">
        <f>'Medical gases (NHS only)'!O11</f>
        <v/>
      </c>
      <c r="W242" s="432">
        <f>'Medical gases (NHS only)'!P11</f>
        <v>0</v>
      </c>
      <c r="X242" s="432">
        <f>'Medical gases (NHS only)'!Q11</f>
        <v>0</v>
      </c>
      <c r="Y242" s="432">
        <f>'Medical gases (NHS only)'!R11</f>
        <v>0</v>
      </c>
      <c r="Z242" s="432">
        <f>'Medical gases (NHS only)'!S11</f>
        <v>0</v>
      </c>
      <c r="AA242" s="432" t="str">
        <f>'Medical gases (NHS only)'!T11</f>
        <v/>
      </c>
      <c r="AB242" s="432" t="str">
        <f>'Medical gases (NHS only)'!U11</f>
        <v/>
      </c>
      <c r="AC242" s="432">
        <f>'Medical gases (NHS only)'!V11</f>
        <v>0</v>
      </c>
      <c r="AE242" s="432">
        <f t="shared" si="10"/>
        <v>0</v>
      </c>
      <c r="AF242" s="432">
        <f t="shared" si="11"/>
        <v>0</v>
      </c>
    </row>
    <row r="243" spans="2:32" x14ac:dyDescent="0.35">
      <c r="B243" s="432" t="e">
        <f>"2024"&amp;MATCH(Totals!D243,OrgType,0)&amp;"_"&amp;MATCH(Totals!E243,Organisations,0)&amp;"_"&amp;LEFT(Totals!F243,1)&amp;"_"&amp;LEFT(G243,1)&amp;"_"&amp;COUNTIF($G$3:G243,G243)</f>
        <v>#N/A</v>
      </c>
      <c r="C243" s="432">
        <v>2024</v>
      </c>
      <c r="D243" s="432">
        <f>Introduction!$D$7</f>
        <v>0</v>
      </c>
      <c r="E243" s="432">
        <f>Introduction!$D$8</f>
        <v>0</v>
      </c>
      <c r="F243" s="432" t="s">
        <v>1093</v>
      </c>
      <c r="G243" s="432" t="s">
        <v>1093</v>
      </c>
      <c r="H243" s="433"/>
      <c r="I243" s="432" t="str">
        <f>'Medical gases (NHS only)'!B12</f>
        <v>Medical gas</v>
      </c>
      <c r="J243" s="432">
        <f>'Medical gases (NHS only)'!C12</f>
        <v>0</v>
      </c>
      <c r="K243" s="432">
        <f>'Medical gases (NHS only)'!D12</f>
        <v>0</v>
      </c>
      <c r="L243" s="432">
        <f>'Medical gases (NHS only)'!E12</f>
        <v>0</v>
      </c>
      <c r="M243" s="432" t="str">
        <f>'Medical gases (NHS only)'!F12</f>
        <v/>
      </c>
      <c r="N243" s="432">
        <f>'Medical gases (NHS only)'!G12</f>
        <v>0</v>
      </c>
      <c r="O243" s="432">
        <f>'Medical gases (NHS only)'!H12</f>
        <v>0</v>
      </c>
      <c r="P243" s="432" t="str">
        <f>'Medical gases (NHS only)'!I12</f>
        <v/>
      </c>
      <c r="Q243" s="432" t="str">
        <f>'Medical gases (NHS only)'!J12</f>
        <v>Litres</v>
      </c>
      <c r="R243" s="432" t="str">
        <f>'Medical gases (NHS only)'!K12</f>
        <v/>
      </c>
      <c r="S243" s="432" t="str">
        <f>'Medical gases (NHS only)'!L12</f>
        <v/>
      </c>
      <c r="T243" s="432">
        <f>'Medical gases (NHS only)'!M12</f>
        <v>0</v>
      </c>
      <c r="U243" s="432">
        <f>'Medical gases (NHS only)'!N12</f>
        <v>0</v>
      </c>
      <c r="V243" s="432" t="str">
        <f>'Medical gases (NHS only)'!O12</f>
        <v/>
      </c>
      <c r="W243" s="432">
        <f>'Medical gases (NHS only)'!P12</f>
        <v>0</v>
      </c>
      <c r="X243" s="432">
        <f>'Medical gases (NHS only)'!Q12</f>
        <v>0</v>
      </c>
      <c r="Y243" s="432">
        <f>'Medical gases (NHS only)'!R12</f>
        <v>0</v>
      </c>
      <c r="Z243" s="432">
        <f>'Medical gases (NHS only)'!S12</f>
        <v>0</v>
      </c>
      <c r="AA243" s="432" t="str">
        <f>'Medical gases (NHS only)'!T12</f>
        <v/>
      </c>
      <c r="AB243" s="432" t="str">
        <f>'Medical gases (NHS only)'!U12</f>
        <v/>
      </c>
      <c r="AC243" s="432">
        <f>'Medical gases (NHS only)'!V12</f>
        <v>0</v>
      </c>
      <c r="AE243" s="432">
        <f t="shared" si="10"/>
        <v>0</v>
      </c>
      <c r="AF243" s="432">
        <f t="shared" si="11"/>
        <v>0</v>
      </c>
    </row>
    <row r="244" spans="2:32" x14ac:dyDescent="0.35">
      <c r="B244" s="432" t="e">
        <f>"2024"&amp;MATCH(Totals!D244,OrgType,0)&amp;"_"&amp;MATCH(Totals!E244,Organisations,0)&amp;"_"&amp;LEFT(Totals!F244,1)&amp;"_"&amp;LEFT(G244,1)&amp;"_"&amp;COUNTIF($G$3:G244,G244)</f>
        <v>#N/A</v>
      </c>
      <c r="C244" s="432">
        <v>2024</v>
      </c>
      <c r="D244" s="432">
        <f>Introduction!$D$7</f>
        <v>0</v>
      </c>
      <c r="E244" s="432">
        <f>Introduction!$D$8</f>
        <v>0</v>
      </c>
      <c r="F244" s="432" t="s">
        <v>1093</v>
      </c>
      <c r="G244" s="432" t="s">
        <v>1093</v>
      </c>
      <c r="H244" s="433"/>
      <c r="I244" s="432" t="str">
        <f>'Medical gases (NHS only)'!B13</f>
        <v>Medical gas</v>
      </c>
      <c r="J244" s="432">
        <f>'Medical gases (NHS only)'!C13</f>
        <v>0</v>
      </c>
      <c r="K244" s="432">
        <f>'Medical gases (NHS only)'!D13</f>
        <v>0</v>
      </c>
      <c r="L244" s="432">
        <f>'Medical gases (NHS only)'!E13</f>
        <v>0</v>
      </c>
      <c r="M244" s="432" t="str">
        <f>'Medical gases (NHS only)'!F13</f>
        <v/>
      </c>
      <c r="N244" s="432">
        <f>'Medical gases (NHS only)'!G13</f>
        <v>0</v>
      </c>
      <c r="O244" s="432">
        <f>'Medical gases (NHS only)'!H13</f>
        <v>0</v>
      </c>
      <c r="P244" s="432" t="str">
        <f>'Medical gases (NHS only)'!I13</f>
        <v/>
      </c>
      <c r="Q244" s="432" t="str">
        <f>'Medical gases (NHS only)'!J13</f>
        <v>Litres</v>
      </c>
      <c r="R244" s="432" t="str">
        <f>'Medical gases (NHS only)'!K13</f>
        <v/>
      </c>
      <c r="S244" s="432" t="str">
        <f>'Medical gases (NHS only)'!L13</f>
        <v/>
      </c>
      <c r="T244" s="432">
        <f>'Medical gases (NHS only)'!M13</f>
        <v>0</v>
      </c>
      <c r="U244" s="432">
        <f>'Medical gases (NHS only)'!N13</f>
        <v>0</v>
      </c>
      <c r="V244" s="432" t="str">
        <f>'Medical gases (NHS only)'!O13</f>
        <v/>
      </c>
      <c r="W244" s="432">
        <f>'Medical gases (NHS only)'!P13</f>
        <v>0</v>
      </c>
      <c r="X244" s="432">
        <f>'Medical gases (NHS only)'!Q13</f>
        <v>0</v>
      </c>
      <c r="Y244" s="432">
        <f>'Medical gases (NHS only)'!R13</f>
        <v>0</v>
      </c>
      <c r="Z244" s="432">
        <f>'Medical gases (NHS only)'!S13</f>
        <v>0</v>
      </c>
      <c r="AA244" s="432" t="str">
        <f>'Medical gases (NHS only)'!T13</f>
        <v/>
      </c>
      <c r="AB244" s="432" t="str">
        <f>'Medical gases (NHS only)'!U13</f>
        <v/>
      </c>
      <c r="AC244" s="432">
        <f>'Medical gases (NHS only)'!V13</f>
        <v>0</v>
      </c>
      <c r="AE244" s="432">
        <f t="shared" si="10"/>
        <v>0</v>
      </c>
      <c r="AF244" s="432">
        <f t="shared" si="11"/>
        <v>0</v>
      </c>
    </row>
    <row r="245" spans="2:32" x14ac:dyDescent="0.35">
      <c r="B245" s="432" t="e">
        <f>"2024"&amp;MATCH(Totals!D245,OrgType,0)&amp;"_"&amp;MATCH(Totals!E245,Organisations,0)&amp;"_"&amp;LEFT(Totals!F245,1)&amp;"_"&amp;LEFT(G245,1)&amp;"_"&amp;COUNTIF($G$3:G245,G245)</f>
        <v>#N/A</v>
      </c>
      <c r="C245" s="432">
        <v>2024</v>
      </c>
      <c r="D245" s="432">
        <f>Introduction!$D$7</f>
        <v>0</v>
      </c>
      <c r="E245" s="432">
        <f>Introduction!$D$8</f>
        <v>0</v>
      </c>
      <c r="F245" s="432" t="s">
        <v>1093</v>
      </c>
      <c r="G245" s="432" t="s">
        <v>1093</v>
      </c>
      <c r="H245" s="433"/>
      <c r="I245" s="432" t="str">
        <f>'Medical gases (NHS only)'!B14</f>
        <v>Medical gas</v>
      </c>
      <c r="J245" s="432">
        <f>'Medical gases (NHS only)'!C14</f>
        <v>0</v>
      </c>
      <c r="K245" s="432">
        <f>'Medical gases (NHS only)'!D14</f>
        <v>0</v>
      </c>
      <c r="L245" s="432">
        <f>'Medical gases (NHS only)'!E14</f>
        <v>0</v>
      </c>
      <c r="M245" s="432" t="str">
        <f>'Medical gases (NHS only)'!F14</f>
        <v/>
      </c>
      <c r="N245" s="432">
        <f>'Medical gases (NHS only)'!G14</f>
        <v>0</v>
      </c>
      <c r="O245" s="432">
        <f>'Medical gases (NHS only)'!H14</f>
        <v>0</v>
      </c>
      <c r="P245" s="432" t="str">
        <f>'Medical gases (NHS only)'!I14</f>
        <v/>
      </c>
      <c r="Q245" s="432" t="str">
        <f>'Medical gases (NHS only)'!J14</f>
        <v>Litres</v>
      </c>
      <c r="R245" s="432" t="str">
        <f>'Medical gases (NHS only)'!K14</f>
        <v/>
      </c>
      <c r="S245" s="432" t="str">
        <f>'Medical gases (NHS only)'!L14</f>
        <v/>
      </c>
      <c r="T245" s="432">
        <f>'Medical gases (NHS only)'!M14</f>
        <v>0</v>
      </c>
      <c r="U245" s="432">
        <f>'Medical gases (NHS only)'!N14</f>
        <v>0</v>
      </c>
      <c r="V245" s="432" t="str">
        <f>'Medical gases (NHS only)'!O14</f>
        <v/>
      </c>
      <c r="W245" s="432">
        <f>'Medical gases (NHS only)'!P14</f>
        <v>0</v>
      </c>
      <c r="X245" s="432">
        <f>'Medical gases (NHS only)'!Q14</f>
        <v>0</v>
      </c>
      <c r="Y245" s="432">
        <f>'Medical gases (NHS only)'!R14</f>
        <v>0</v>
      </c>
      <c r="Z245" s="432">
        <f>'Medical gases (NHS only)'!S14</f>
        <v>0</v>
      </c>
      <c r="AA245" s="432" t="str">
        <f>'Medical gases (NHS only)'!T14</f>
        <v/>
      </c>
      <c r="AB245" s="432" t="str">
        <f>'Medical gases (NHS only)'!U14</f>
        <v/>
      </c>
      <c r="AC245" s="432">
        <f>'Medical gases (NHS only)'!V14</f>
        <v>0</v>
      </c>
      <c r="AE245" s="432">
        <f t="shared" si="10"/>
        <v>0</v>
      </c>
      <c r="AF245" s="432">
        <f t="shared" si="11"/>
        <v>0</v>
      </c>
    </row>
    <row r="246" spans="2:32" x14ac:dyDescent="0.35">
      <c r="B246" s="432" t="e">
        <f>"2024"&amp;MATCH(Totals!D246,OrgType,0)&amp;"_"&amp;MATCH(Totals!E246,Organisations,0)&amp;"_"&amp;LEFT(Totals!F246,1)&amp;"_"&amp;LEFT(G246,1)&amp;"_"&amp;COUNTIF($G$3:G246,G246)</f>
        <v>#N/A</v>
      </c>
      <c r="C246" s="432">
        <v>2024</v>
      </c>
      <c r="D246" s="432">
        <f>Introduction!$D$7</f>
        <v>0</v>
      </c>
      <c r="E246" s="432">
        <f>Introduction!$D$8</f>
        <v>0</v>
      </c>
      <c r="F246" s="432" t="s">
        <v>1093</v>
      </c>
      <c r="G246" s="432" t="s">
        <v>1093</v>
      </c>
      <c r="H246" s="433"/>
      <c r="I246" s="432" t="str">
        <f>'Medical gases (NHS only)'!B15</f>
        <v>Medical gas</v>
      </c>
      <c r="J246" s="432">
        <f>'Medical gases (NHS only)'!C15</f>
        <v>0</v>
      </c>
      <c r="K246" s="432">
        <f>'Medical gases (NHS only)'!D15</f>
        <v>0</v>
      </c>
      <c r="L246" s="432">
        <f>'Medical gases (NHS only)'!E15</f>
        <v>0</v>
      </c>
      <c r="M246" s="432" t="str">
        <f>'Medical gases (NHS only)'!F15</f>
        <v/>
      </c>
      <c r="N246" s="432">
        <f>'Medical gases (NHS only)'!G15</f>
        <v>0</v>
      </c>
      <c r="O246" s="432">
        <f>'Medical gases (NHS only)'!H15</f>
        <v>0</v>
      </c>
      <c r="P246" s="432" t="str">
        <f>'Medical gases (NHS only)'!I15</f>
        <v/>
      </c>
      <c r="Q246" s="432" t="str">
        <f>'Medical gases (NHS only)'!J15</f>
        <v>Litres</v>
      </c>
      <c r="R246" s="432" t="str">
        <f>'Medical gases (NHS only)'!K15</f>
        <v/>
      </c>
      <c r="S246" s="432" t="str">
        <f>'Medical gases (NHS only)'!L15</f>
        <v/>
      </c>
      <c r="T246" s="432">
        <f>'Medical gases (NHS only)'!M15</f>
        <v>0</v>
      </c>
      <c r="U246" s="432">
        <f>'Medical gases (NHS only)'!N15</f>
        <v>0</v>
      </c>
      <c r="V246" s="432" t="str">
        <f>'Medical gases (NHS only)'!O15</f>
        <v/>
      </c>
      <c r="W246" s="432">
        <f>'Medical gases (NHS only)'!P15</f>
        <v>0</v>
      </c>
      <c r="X246" s="432">
        <f>'Medical gases (NHS only)'!Q15</f>
        <v>0</v>
      </c>
      <c r="Y246" s="432">
        <f>'Medical gases (NHS only)'!R15</f>
        <v>0</v>
      </c>
      <c r="Z246" s="432">
        <f>'Medical gases (NHS only)'!S15</f>
        <v>0</v>
      </c>
      <c r="AA246" s="432" t="str">
        <f>'Medical gases (NHS only)'!T15</f>
        <v/>
      </c>
      <c r="AB246" s="432" t="str">
        <f>'Medical gases (NHS only)'!U15</f>
        <v/>
      </c>
      <c r="AC246" s="432">
        <f>'Medical gases (NHS only)'!V15</f>
        <v>0</v>
      </c>
      <c r="AE246" s="432">
        <f t="shared" si="10"/>
        <v>0</v>
      </c>
      <c r="AF246" s="432">
        <f t="shared" si="11"/>
        <v>0</v>
      </c>
    </row>
    <row r="247" spans="2:32" x14ac:dyDescent="0.35">
      <c r="B247" s="432" t="e">
        <f>"2024"&amp;MATCH(Totals!D247,OrgType,0)&amp;"_"&amp;MATCH(Totals!E247,Organisations,0)&amp;"_"&amp;LEFT(Totals!F247,1)&amp;"_"&amp;LEFT(G247,1)&amp;"_"&amp;COUNTIF($G$3:G247,G247)</f>
        <v>#N/A</v>
      </c>
      <c r="C247" s="432">
        <v>2024</v>
      </c>
      <c r="D247" s="432">
        <f>Introduction!$D$7</f>
        <v>0</v>
      </c>
      <c r="E247" s="432">
        <f>Introduction!$D$8</f>
        <v>0</v>
      </c>
      <c r="F247" s="432" t="s">
        <v>1093</v>
      </c>
      <c r="G247" s="432" t="s">
        <v>1093</v>
      </c>
      <c r="H247" s="433"/>
      <c r="I247" s="432" t="str">
        <f>'Medical gases (NHS only)'!B16</f>
        <v>Medical gas</v>
      </c>
      <c r="J247" s="432">
        <f>'Medical gases (NHS only)'!C16</f>
        <v>0</v>
      </c>
      <c r="K247" s="432">
        <f>'Medical gases (NHS only)'!D16</f>
        <v>0</v>
      </c>
      <c r="L247" s="432">
        <f>'Medical gases (NHS only)'!E16</f>
        <v>0</v>
      </c>
      <c r="M247" s="432" t="str">
        <f>'Medical gases (NHS only)'!F16</f>
        <v/>
      </c>
      <c r="N247" s="432">
        <f>'Medical gases (NHS only)'!G16</f>
        <v>0</v>
      </c>
      <c r="O247" s="432">
        <f>'Medical gases (NHS only)'!H16</f>
        <v>0</v>
      </c>
      <c r="P247" s="432" t="str">
        <f>'Medical gases (NHS only)'!I16</f>
        <v/>
      </c>
      <c r="Q247" s="432" t="str">
        <f>'Medical gases (NHS only)'!J16</f>
        <v>Litres</v>
      </c>
      <c r="R247" s="432" t="str">
        <f>'Medical gases (NHS only)'!K16</f>
        <v/>
      </c>
      <c r="S247" s="432" t="str">
        <f>'Medical gases (NHS only)'!L16</f>
        <v/>
      </c>
      <c r="T247" s="432">
        <f>'Medical gases (NHS only)'!M16</f>
        <v>0</v>
      </c>
      <c r="U247" s="432">
        <f>'Medical gases (NHS only)'!N16</f>
        <v>0</v>
      </c>
      <c r="V247" s="432" t="str">
        <f>'Medical gases (NHS only)'!O16</f>
        <v/>
      </c>
      <c r="W247" s="432">
        <f>'Medical gases (NHS only)'!P16</f>
        <v>0</v>
      </c>
      <c r="X247" s="432">
        <f>'Medical gases (NHS only)'!Q16</f>
        <v>0</v>
      </c>
      <c r="Y247" s="432">
        <f>'Medical gases (NHS only)'!R16</f>
        <v>0</v>
      </c>
      <c r="Z247" s="432">
        <f>'Medical gases (NHS only)'!S16</f>
        <v>0</v>
      </c>
      <c r="AA247" s="432" t="str">
        <f>'Medical gases (NHS only)'!T16</f>
        <v/>
      </c>
      <c r="AB247" s="432" t="str">
        <f>'Medical gases (NHS only)'!U16</f>
        <v/>
      </c>
      <c r="AC247" s="432">
        <f>'Medical gases (NHS only)'!V16</f>
        <v>0</v>
      </c>
      <c r="AE247" s="432">
        <f t="shared" si="10"/>
        <v>0</v>
      </c>
      <c r="AF247" s="432">
        <f t="shared" si="11"/>
        <v>0</v>
      </c>
    </row>
    <row r="248" spans="2:32" x14ac:dyDescent="0.35">
      <c r="B248" s="432" t="e">
        <f>"2024"&amp;MATCH(Totals!D248,OrgType,0)&amp;"_"&amp;MATCH(Totals!E248,Organisations,0)&amp;"_"&amp;LEFT(Totals!F248,1)&amp;"_"&amp;LEFT(G248,1)&amp;"_"&amp;COUNTIF($G$3:G248,G248)</f>
        <v>#N/A</v>
      </c>
      <c r="C248" s="432">
        <v>2024</v>
      </c>
      <c r="D248" s="432">
        <f>Introduction!$D$7</f>
        <v>0</v>
      </c>
      <c r="E248" s="432">
        <f>Introduction!$D$8</f>
        <v>0</v>
      </c>
      <c r="F248" s="432" t="s">
        <v>1093</v>
      </c>
      <c r="G248" s="432" t="s">
        <v>1093</v>
      </c>
      <c r="H248" s="433"/>
      <c r="I248" s="432" t="str">
        <f>'Medical gases (NHS only)'!B17</f>
        <v>Medical gas</v>
      </c>
      <c r="J248" s="432">
        <f>'Medical gases (NHS only)'!C17</f>
        <v>0</v>
      </c>
      <c r="K248" s="432">
        <f>'Medical gases (NHS only)'!D17</f>
        <v>0</v>
      </c>
      <c r="L248" s="432">
        <f>'Medical gases (NHS only)'!E17</f>
        <v>0</v>
      </c>
      <c r="M248" s="432" t="str">
        <f>'Medical gases (NHS only)'!F17</f>
        <v/>
      </c>
      <c r="N248" s="432">
        <f>'Medical gases (NHS only)'!G17</f>
        <v>0</v>
      </c>
      <c r="O248" s="432">
        <f>'Medical gases (NHS only)'!H17</f>
        <v>0</v>
      </c>
      <c r="P248" s="432" t="str">
        <f>'Medical gases (NHS only)'!I17</f>
        <v/>
      </c>
      <c r="Q248" s="432" t="str">
        <f>'Medical gases (NHS only)'!J17</f>
        <v>Litres</v>
      </c>
      <c r="R248" s="432" t="str">
        <f>'Medical gases (NHS only)'!K17</f>
        <v/>
      </c>
      <c r="S248" s="432" t="str">
        <f>'Medical gases (NHS only)'!L17</f>
        <v/>
      </c>
      <c r="T248" s="432">
        <f>'Medical gases (NHS only)'!M17</f>
        <v>0</v>
      </c>
      <c r="U248" s="432">
        <f>'Medical gases (NHS only)'!N17</f>
        <v>0</v>
      </c>
      <c r="V248" s="432" t="str">
        <f>'Medical gases (NHS only)'!O17</f>
        <v/>
      </c>
      <c r="W248" s="432">
        <f>'Medical gases (NHS only)'!P17</f>
        <v>0</v>
      </c>
      <c r="X248" s="432">
        <f>'Medical gases (NHS only)'!Q17</f>
        <v>0</v>
      </c>
      <c r="Y248" s="432">
        <f>'Medical gases (NHS only)'!R17</f>
        <v>0</v>
      </c>
      <c r="Z248" s="432">
        <f>'Medical gases (NHS only)'!S17</f>
        <v>0</v>
      </c>
      <c r="AA248" s="432" t="str">
        <f>'Medical gases (NHS only)'!T17</f>
        <v/>
      </c>
      <c r="AB248" s="432" t="str">
        <f>'Medical gases (NHS only)'!U17</f>
        <v/>
      </c>
      <c r="AC248" s="432">
        <f>'Medical gases (NHS only)'!V17</f>
        <v>0</v>
      </c>
      <c r="AE248" s="432">
        <f t="shared" si="10"/>
        <v>0</v>
      </c>
      <c r="AF248" s="432">
        <f t="shared" si="11"/>
        <v>0</v>
      </c>
    </row>
    <row r="249" spans="2:32" x14ac:dyDescent="0.35">
      <c r="B249" s="432" t="e">
        <f>"2024"&amp;MATCH(Totals!D249,OrgType,0)&amp;"_"&amp;MATCH(Totals!E249,Organisations,0)&amp;"_"&amp;LEFT(Totals!F249,1)&amp;"_"&amp;LEFT(G249,1)&amp;"_"&amp;COUNTIF($G$3:G249,G249)</f>
        <v>#N/A</v>
      </c>
      <c r="C249" s="432">
        <v>2024</v>
      </c>
      <c r="D249" s="432">
        <f>Introduction!$D$7</f>
        <v>0</v>
      </c>
      <c r="E249" s="432">
        <f>Introduction!$D$8</f>
        <v>0</v>
      </c>
      <c r="F249" s="432" t="s">
        <v>1093</v>
      </c>
      <c r="G249" s="432" t="s">
        <v>1093</v>
      </c>
      <c r="H249" s="433"/>
      <c r="I249" s="432" t="str">
        <f>'Medical gases (NHS only)'!B18</f>
        <v>Medical gas</v>
      </c>
      <c r="J249" s="432">
        <f>'Medical gases (NHS only)'!C18</f>
        <v>0</v>
      </c>
      <c r="K249" s="432">
        <f>'Medical gases (NHS only)'!D18</f>
        <v>0</v>
      </c>
      <c r="L249" s="432">
        <f>'Medical gases (NHS only)'!E18</f>
        <v>0</v>
      </c>
      <c r="M249" s="432" t="str">
        <f>'Medical gases (NHS only)'!F18</f>
        <v/>
      </c>
      <c r="N249" s="432">
        <f>'Medical gases (NHS only)'!G18</f>
        <v>0</v>
      </c>
      <c r="O249" s="432">
        <f>'Medical gases (NHS only)'!H18</f>
        <v>0</v>
      </c>
      <c r="P249" s="432" t="str">
        <f>'Medical gases (NHS only)'!I18</f>
        <v/>
      </c>
      <c r="Q249" s="432" t="str">
        <f>'Medical gases (NHS only)'!J18</f>
        <v>Litres</v>
      </c>
      <c r="R249" s="432" t="str">
        <f>'Medical gases (NHS only)'!K18</f>
        <v/>
      </c>
      <c r="S249" s="432" t="str">
        <f>'Medical gases (NHS only)'!L18</f>
        <v/>
      </c>
      <c r="T249" s="432">
        <f>'Medical gases (NHS only)'!M18</f>
        <v>0</v>
      </c>
      <c r="U249" s="432">
        <f>'Medical gases (NHS only)'!N18</f>
        <v>0</v>
      </c>
      <c r="V249" s="432" t="str">
        <f>'Medical gases (NHS only)'!O18</f>
        <v/>
      </c>
      <c r="W249" s="432">
        <f>'Medical gases (NHS only)'!P18</f>
        <v>0</v>
      </c>
      <c r="X249" s="432">
        <f>'Medical gases (NHS only)'!Q18</f>
        <v>0</v>
      </c>
      <c r="Y249" s="432">
        <f>'Medical gases (NHS only)'!R18</f>
        <v>0</v>
      </c>
      <c r="Z249" s="432">
        <f>'Medical gases (NHS only)'!S18</f>
        <v>0</v>
      </c>
      <c r="AA249" s="432" t="str">
        <f>'Medical gases (NHS only)'!T18</f>
        <v/>
      </c>
      <c r="AB249" s="432" t="str">
        <f>'Medical gases (NHS only)'!U18</f>
        <v/>
      </c>
      <c r="AC249" s="432">
        <f>'Medical gases (NHS only)'!V18</f>
        <v>0</v>
      </c>
      <c r="AE249" s="432">
        <f t="shared" si="10"/>
        <v>0</v>
      </c>
      <c r="AF249" s="432">
        <f t="shared" si="11"/>
        <v>0</v>
      </c>
    </row>
    <row r="250" spans="2:32" x14ac:dyDescent="0.35">
      <c r="B250" s="432" t="e">
        <f>"2024"&amp;MATCH(Totals!D250,OrgType,0)&amp;"_"&amp;MATCH(Totals!E250,Organisations,0)&amp;"_"&amp;LEFT(Totals!F250,1)&amp;"_"&amp;LEFT(G250,1)&amp;"_"&amp;COUNTIF($G$3:G250,G250)</f>
        <v>#N/A</v>
      </c>
      <c r="C250" s="432">
        <v>2024</v>
      </c>
      <c r="D250" s="432">
        <f>Introduction!$D$7</f>
        <v>0</v>
      </c>
      <c r="E250" s="432">
        <f>Introduction!$D$8</f>
        <v>0</v>
      </c>
      <c r="F250" s="432" t="s">
        <v>1093</v>
      </c>
      <c r="G250" s="432" t="s">
        <v>1093</v>
      </c>
      <c r="H250" s="433"/>
      <c r="I250" s="432" t="str">
        <f>'Medical gases (NHS only)'!B19</f>
        <v>Medical gas</v>
      </c>
      <c r="J250" s="432">
        <f>'Medical gases (NHS only)'!C19</f>
        <v>0</v>
      </c>
      <c r="K250" s="432">
        <f>'Medical gases (NHS only)'!D19</f>
        <v>0</v>
      </c>
      <c r="L250" s="432">
        <f>'Medical gases (NHS only)'!E19</f>
        <v>0</v>
      </c>
      <c r="M250" s="432" t="str">
        <f>'Medical gases (NHS only)'!F19</f>
        <v/>
      </c>
      <c r="N250" s="432">
        <f>'Medical gases (NHS only)'!G19</f>
        <v>0</v>
      </c>
      <c r="O250" s="432">
        <f>'Medical gases (NHS only)'!H19</f>
        <v>0</v>
      </c>
      <c r="P250" s="432" t="str">
        <f>'Medical gases (NHS only)'!I19</f>
        <v/>
      </c>
      <c r="Q250" s="432" t="str">
        <f>'Medical gases (NHS only)'!J19</f>
        <v>Litres</v>
      </c>
      <c r="R250" s="432" t="str">
        <f>'Medical gases (NHS only)'!K19</f>
        <v/>
      </c>
      <c r="S250" s="432" t="str">
        <f>'Medical gases (NHS only)'!L19</f>
        <v/>
      </c>
      <c r="T250" s="432">
        <f>'Medical gases (NHS only)'!M19</f>
        <v>0</v>
      </c>
      <c r="U250" s="432">
        <f>'Medical gases (NHS only)'!N19</f>
        <v>0</v>
      </c>
      <c r="V250" s="432" t="str">
        <f>'Medical gases (NHS only)'!O19</f>
        <v/>
      </c>
      <c r="W250" s="432">
        <f>'Medical gases (NHS only)'!P19</f>
        <v>0</v>
      </c>
      <c r="X250" s="432">
        <f>'Medical gases (NHS only)'!Q19</f>
        <v>0</v>
      </c>
      <c r="Y250" s="432">
        <f>'Medical gases (NHS only)'!R19</f>
        <v>0</v>
      </c>
      <c r="Z250" s="432">
        <f>'Medical gases (NHS only)'!S19</f>
        <v>0</v>
      </c>
      <c r="AA250" s="432" t="str">
        <f>'Medical gases (NHS only)'!T19</f>
        <v/>
      </c>
      <c r="AB250" s="432" t="str">
        <f>'Medical gases (NHS only)'!U19</f>
        <v/>
      </c>
      <c r="AC250" s="432">
        <f>'Medical gases (NHS only)'!V19</f>
        <v>0</v>
      </c>
      <c r="AE250" s="432">
        <f t="shared" si="10"/>
        <v>0</v>
      </c>
      <c r="AF250" s="432">
        <f t="shared" si="11"/>
        <v>0</v>
      </c>
    </row>
    <row r="251" spans="2:32" x14ac:dyDescent="0.35">
      <c r="B251" s="432" t="e">
        <f>"2024"&amp;MATCH(Totals!D251,OrgType,0)&amp;"_"&amp;MATCH(Totals!E251,Organisations,0)&amp;"_"&amp;LEFT(Totals!F251,1)&amp;"_"&amp;LEFT(G251,1)&amp;"_"&amp;COUNTIF($G$3:G251,G251)</f>
        <v>#N/A</v>
      </c>
      <c r="C251" s="432">
        <v>2024</v>
      </c>
      <c r="D251" s="432">
        <f>Introduction!$D$7</f>
        <v>0</v>
      </c>
      <c r="E251" s="432">
        <f>Introduction!$D$8</f>
        <v>0</v>
      </c>
      <c r="F251" s="432" t="s">
        <v>1093</v>
      </c>
      <c r="G251" s="432" t="s">
        <v>1093</v>
      </c>
      <c r="H251" s="433"/>
      <c r="I251" s="432" t="str">
        <f>'Medical gases (NHS only)'!B20</f>
        <v>Medical gas</v>
      </c>
      <c r="J251" s="432">
        <f>'Medical gases (NHS only)'!C20</f>
        <v>0</v>
      </c>
      <c r="K251" s="432">
        <f>'Medical gases (NHS only)'!D20</f>
        <v>0</v>
      </c>
      <c r="L251" s="432">
        <f>'Medical gases (NHS only)'!E20</f>
        <v>0</v>
      </c>
      <c r="M251" s="432" t="str">
        <f>'Medical gases (NHS only)'!F20</f>
        <v/>
      </c>
      <c r="N251" s="432">
        <f>'Medical gases (NHS only)'!G20</f>
        <v>0</v>
      </c>
      <c r="O251" s="432">
        <f>'Medical gases (NHS only)'!H20</f>
        <v>0</v>
      </c>
      <c r="P251" s="432" t="str">
        <f>'Medical gases (NHS only)'!I20</f>
        <v/>
      </c>
      <c r="Q251" s="432" t="str">
        <f>'Medical gases (NHS only)'!J20</f>
        <v>Litres</v>
      </c>
      <c r="R251" s="432" t="str">
        <f>'Medical gases (NHS only)'!K20</f>
        <v/>
      </c>
      <c r="S251" s="432" t="str">
        <f>'Medical gases (NHS only)'!L20</f>
        <v/>
      </c>
      <c r="T251" s="432">
        <f>'Medical gases (NHS only)'!M20</f>
        <v>0</v>
      </c>
      <c r="U251" s="432">
        <f>'Medical gases (NHS only)'!N20</f>
        <v>0</v>
      </c>
      <c r="V251" s="432" t="str">
        <f>'Medical gases (NHS only)'!O20</f>
        <v/>
      </c>
      <c r="W251" s="432">
        <f>'Medical gases (NHS only)'!P20</f>
        <v>0</v>
      </c>
      <c r="X251" s="432">
        <f>'Medical gases (NHS only)'!Q20</f>
        <v>0</v>
      </c>
      <c r="Y251" s="432">
        <f>'Medical gases (NHS only)'!R20</f>
        <v>0</v>
      </c>
      <c r="Z251" s="432">
        <f>'Medical gases (NHS only)'!S20</f>
        <v>0</v>
      </c>
      <c r="AA251" s="432" t="str">
        <f>'Medical gases (NHS only)'!T20</f>
        <v/>
      </c>
      <c r="AB251" s="432" t="str">
        <f>'Medical gases (NHS only)'!U20</f>
        <v/>
      </c>
      <c r="AC251" s="432">
        <f>'Medical gases (NHS only)'!V20</f>
        <v>0</v>
      </c>
      <c r="AE251" s="432">
        <f t="shared" si="10"/>
        <v>0</v>
      </c>
      <c r="AF251" s="432">
        <f t="shared" si="11"/>
        <v>0</v>
      </c>
    </row>
    <row r="252" spans="2:32" x14ac:dyDescent="0.35">
      <c r="B252" s="432" t="e">
        <f>"2024"&amp;MATCH(Totals!D252,OrgType,0)&amp;"_"&amp;MATCH(Totals!E252,Organisations,0)&amp;"_"&amp;LEFT(Totals!F252,1)&amp;"_"&amp;LEFT(G252,1)&amp;"_"&amp;COUNTIF($G$3:G252,G252)</f>
        <v>#N/A</v>
      </c>
      <c r="C252" s="432">
        <v>2024</v>
      </c>
      <c r="D252" s="432">
        <f>Introduction!$D$7</f>
        <v>0</v>
      </c>
      <c r="E252" s="432">
        <f>Introduction!$D$8</f>
        <v>0</v>
      </c>
      <c r="F252" s="432" t="s">
        <v>1093</v>
      </c>
      <c r="G252" s="432" t="s">
        <v>1093</v>
      </c>
      <c r="H252" s="433"/>
      <c r="I252" s="432" t="str">
        <f>'Medical gases (NHS only)'!B21</f>
        <v>Medical gas</v>
      </c>
      <c r="J252" s="432">
        <f>'Medical gases (NHS only)'!C21</f>
        <v>0</v>
      </c>
      <c r="K252" s="432">
        <f>'Medical gases (NHS only)'!D21</f>
        <v>0</v>
      </c>
      <c r="L252" s="432">
        <f>'Medical gases (NHS only)'!E21</f>
        <v>0</v>
      </c>
      <c r="M252" s="432" t="str">
        <f>'Medical gases (NHS only)'!F21</f>
        <v/>
      </c>
      <c r="N252" s="432">
        <f>'Medical gases (NHS only)'!G21</f>
        <v>0</v>
      </c>
      <c r="O252" s="432">
        <f>'Medical gases (NHS only)'!H21</f>
        <v>0</v>
      </c>
      <c r="P252" s="432" t="str">
        <f>'Medical gases (NHS only)'!I21</f>
        <v/>
      </c>
      <c r="Q252" s="432" t="str">
        <f>'Medical gases (NHS only)'!J21</f>
        <v>Litres</v>
      </c>
      <c r="R252" s="432" t="str">
        <f>'Medical gases (NHS only)'!K21</f>
        <v/>
      </c>
      <c r="S252" s="432" t="str">
        <f>'Medical gases (NHS only)'!L21</f>
        <v/>
      </c>
      <c r="T252" s="432">
        <f>'Medical gases (NHS only)'!M21</f>
        <v>0</v>
      </c>
      <c r="U252" s="432">
        <f>'Medical gases (NHS only)'!N21</f>
        <v>0</v>
      </c>
      <c r="V252" s="432" t="str">
        <f>'Medical gases (NHS only)'!O21</f>
        <v/>
      </c>
      <c r="W252" s="432">
        <f>'Medical gases (NHS only)'!P21</f>
        <v>0</v>
      </c>
      <c r="X252" s="432">
        <f>'Medical gases (NHS only)'!Q21</f>
        <v>0</v>
      </c>
      <c r="Y252" s="432">
        <f>'Medical gases (NHS only)'!R21</f>
        <v>0</v>
      </c>
      <c r="Z252" s="432">
        <f>'Medical gases (NHS only)'!S21</f>
        <v>0</v>
      </c>
      <c r="AA252" s="432" t="str">
        <f>'Medical gases (NHS only)'!T21</f>
        <v/>
      </c>
      <c r="AB252" s="432" t="str">
        <f>'Medical gases (NHS only)'!U21</f>
        <v/>
      </c>
      <c r="AC252" s="432">
        <f>'Medical gases (NHS only)'!V21</f>
        <v>0</v>
      </c>
      <c r="AE252" s="432">
        <f t="shared" si="10"/>
        <v>0</v>
      </c>
      <c r="AF252" s="432">
        <f t="shared" si="11"/>
        <v>0</v>
      </c>
    </row>
    <row r="253" spans="2:32" x14ac:dyDescent="0.35">
      <c r="B253" s="432" t="e">
        <f>"2024"&amp;MATCH(Totals!D253,OrgType,0)&amp;"_"&amp;MATCH(Totals!E253,Organisations,0)&amp;"_"&amp;LEFT(Totals!F253,1)&amp;"_"&amp;LEFT(G253,1)&amp;"_"&amp;COUNTIF($G$3:G253,G253)</f>
        <v>#N/A</v>
      </c>
      <c r="C253" s="432">
        <v>2024</v>
      </c>
      <c r="D253" s="432">
        <f>Introduction!$D$7</f>
        <v>0</v>
      </c>
      <c r="E253" s="432">
        <f>Introduction!$D$8</f>
        <v>0</v>
      </c>
      <c r="F253" s="432" t="s">
        <v>1093</v>
      </c>
      <c r="G253" s="432" t="s">
        <v>1093</v>
      </c>
      <c r="H253" s="433"/>
      <c r="I253" s="432" t="str">
        <f>'Medical gases (NHS only)'!B22</f>
        <v>Medical gas</v>
      </c>
      <c r="J253" s="432">
        <f>'Medical gases (NHS only)'!C22</f>
        <v>0</v>
      </c>
      <c r="K253" s="432">
        <f>'Medical gases (NHS only)'!D22</f>
        <v>0</v>
      </c>
      <c r="L253" s="432">
        <f>'Medical gases (NHS only)'!E22</f>
        <v>0</v>
      </c>
      <c r="M253" s="432" t="str">
        <f>'Medical gases (NHS only)'!F22</f>
        <v/>
      </c>
      <c r="N253" s="432">
        <f>'Medical gases (NHS only)'!G22</f>
        <v>0</v>
      </c>
      <c r="O253" s="432">
        <f>'Medical gases (NHS only)'!H22</f>
        <v>0</v>
      </c>
      <c r="P253" s="432" t="str">
        <f>'Medical gases (NHS only)'!I22</f>
        <v/>
      </c>
      <c r="Q253" s="432" t="str">
        <f>'Medical gases (NHS only)'!J22</f>
        <v>Litres</v>
      </c>
      <c r="R253" s="432" t="str">
        <f>'Medical gases (NHS only)'!K22</f>
        <v/>
      </c>
      <c r="S253" s="432" t="str">
        <f>'Medical gases (NHS only)'!L22</f>
        <v/>
      </c>
      <c r="T253" s="432">
        <f>'Medical gases (NHS only)'!M22</f>
        <v>0</v>
      </c>
      <c r="U253" s="432">
        <f>'Medical gases (NHS only)'!N22</f>
        <v>0</v>
      </c>
      <c r="V253" s="432" t="str">
        <f>'Medical gases (NHS only)'!O22</f>
        <v/>
      </c>
      <c r="W253" s="432">
        <f>'Medical gases (NHS only)'!P22</f>
        <v>0</v>
      </c>
      <c r="X253" s="432">
        <f>'Medical gases (NHS only)'!Q22</f>
        <v>0</v>
      </c>
      <c r="Y253" s="432">
        <f>'Medical gases (NHS only)'!R22</f>
        <v>0</v>
      </c>
      <c r="Z253" s="432">
        <f>'Medical gases (NHS only)'!S22</f>
        <v>0</v>
      </c>
      <c r="AA253" s="432" t="str">
        <f>'Medical gases (NHS only)'!T22</f>
        <v/>
      </c>
      <c r="AB253" s="432" t="str">
        <f>'Medical gases (NHS only)'!U22</f>
        <v/>
      </c>
      <c r="AC253" s="432">
        <f>'Medical gases (NHS only)'!V22</f>
        <v>0</v>
      </c>
      <c r="AE253" s="432">
        <f t="shared" si="10"/>
        <v>0</v>
      </c>
      <c r="AF253" s="432">
        <f t="shared" si="11"/>
        <v>0</v>
      </c>
    </row>
    <row r="254" spans="2:32" x14ac:dyDescent="0.35">
      <c r="B254" s="432" t="e">
        <f>"2024"&amp;MATCH(Totals!D254,OrgType,0)&amp;"_"&amp;MATCH(Totals!E254,Organisations,0)&amp;"_"&amp;LEFT(Totals!F254,1)&amp;"_"&amp;LEFT(G254,1)&amp;"_"&amp;COUNTIF($G$3:G254,G254)</f>
        <v>#N/A</v>
      </c>
      <c r="C254" s="432">
        <v>2024</v>
      </c>
      <c r="D254" s="432">
        <f>Introduction!$D$7</f>
        <v>0</v>
      </c>
      <c r="E254" s="432">
        <f>Introduction!$D$8</f>
        <v>0</v>
      </c>
      <c r="F254" s="432" t="s">
        <v>1093</v>
      </c>
      <c r="G254" s="432" t="s">
        <v>1093</v>
      </c>
      <c r="H254" s="433"/>
      <c r="I254" s="432" t="str">
        <f>'Medical gases (NHS only)'!B23</f>
        <v>Medical gas</v>
      </c>
      <c r="J254" s="432">
        <f>'Medical gases (NHS only)'!C23</f>
        <v>0</v>
      </c>
      <c r="K254" s="432">
        <f>'Medical gases (NHS only)'!D23</f>
        <v>0</v>
      </c>
      <c r="L254" s="432">
        <f>'Medical gases (NHS only)'!E23</f>
        <v>0</v>
      </c>
      <c r="M254" s="432" t="str">
        <f>'Medical gases (NHS only)'!F23</f>
        <v/>
      </c>
      <c r="N254" s="432">
        <f>'Medical gases (NHS only)'!G23</f>
        <v>0</v>
      </c>
      <c r="O254" s="432">
        <f>'Medical gases (NHS only)'!H23</f>
        <v>0</v>
      </c>
      <c r="P254" s="432" t="str">
        <f>'Medical gases (NHS only)'!I23</f>
        <v/>
      </c>
      <c r="Q254" s="432" t="str">
        <f>'Medical gases (NHS only)'!J23</f>
        <v>Litres</v>
      </c>
      <c r="R254" s="432" t="str">
        <f>'Medical gases (NHS only)'!K23</f>
        <v/>
      </c>
      <c r="S254" s="432" t="str">
        <f>'Medical gases (NHS only)'!L23</f>
        <v/>
      </c>
      <c r="T254" s="432">
        <f>'Medical gases (NHS only)'!M23</f>
        <v>0</v>
      </c>
      <c r="U254" s="432">
        <f>'Medical gases (NHS only)'!N23</f>
        <v>0</v>
      </c>
      <c r="V254" s="432" t="str">
        <f>'Medical gases (NHS only)'!O23</f>
        <v/>
      </c>
      <c r="W254" s="432">
        <f>'Medical gases (NHS only)'!P23</f>
        <v>0</v>
      </c>
      <c r="X254" s="432">
        <f>'Medical gases (NHS only)'!Q23</f>
        <v>0</v>
      </c>
      <c r="Y254" s="432">
        <f>'Medical gases (NHS only)'!R23</f>
        <v>0</v>
      </c>
      <c r="Z254" s="432">
        <f>'Medical gases (NHS only)'!S23</f>
        <v>0</v>
      </c>
      <c r="AA254" s="432" t="str">
        <f>'Medical gases (NHS only)'!T23</f>
        <v/>
      </c>
      <c r="AB254" s="432" t="str">
        <f>'Medical gases (NHS only)'!U23</f>
        <v/>
      </c>
      <c r="AC254" s="432">
        <f>'Medical gases (NHS only)'!V23</f>
        <v>0</v>
      </c>
      <c r="AE254" s="432">
        <f t="shared" si="10"/>
        <v>0</v>
      </c>
      <c r="AF254" s="432">
        <f t="shared" si="11"/>
        <v>0</v>
      </c>
    </row>
    <row r="255" spans="2:32" x14ac:dyDescent="0.35">
      <c r="B255" s="432" t="e">
        <f>"2024"&amp;MATCH(Totals!D255,OrgType,0)&amp;"_"&amp;MATCH(Totals!E255,Organisations,0)&amp;"_"&amp;LEFT(Totals!F255,1)&amp;"_"&amp;LEFT(G255,1)&amp;"_"&amp;COUNTIF($G$3:G255,G255)</f>
        <v>#N/A</v>
      </c>
      <c r="C255" s="432">
        <v>2024</v>
      </c>
      <c r="D255" s="432">
        <f>Introduction!$D$7</f>
        <v>0</v>
      </c>
      <c r="E255" s="432">
        <f>Introduction!$D$8</f>
        <v>0</v>
      </c>
      <c r="F255" s="432" t="s">
        <v>558</v>
      </c>
      <c r="G255" s="432" t="s">
        <v>558</v>
      </c>
      <c r="H255" s="433"/>
      <c r="I255" s="434" t="str">
        <f>'Supply chain'!B8</f>
        <v>Agriculture, forestry and fishing</v>
      </c>
      <c r="J255" s="434" t="str">
        <f>'Supply chain'!C8</f>
        <v>01</v>
      </c>
      <c r="K255" s="434" t="str">
        <f>'Supply chain'!D8</f>
        <v xml:space="preserve">Products of agriculture, hunting and related services         </v>
      </c>
      <c r="L255" s="434" t="str">
        <f>'Supply chain'!E8</f>
        <v>Tier 1</v>
      </c>
      <c r="M255" s="434">
        <f>'Supply chain'!F8</f>
        <v>0.25</v>
      </c>
      <c r="N255" s="434">
        <f>'Supply chain'!G8</f>
        <v>0</v>
      </c>
      <c r="O255" s="434" t="str">
        <f>'Supply chain'!H8</f>
        <v>£</v>
      </c>
      <c r="P255" s="434">
        <f>'Supply chain'!I8</f>
        <v>0</v>
      </c>
      <c r="Q255" s="434" t="str">
        <f>'Supply chain'!J8</f>
        <v>£</v>
      </c>
      <c r="R255" s="434">
        <f>'Supply chain'!K8</f>
        <v>1.9737351574869011</v>
      </c>
      <c r="S255" s="434" t="str">
        <f>'Supply chain'!L8</f>
        <v/>
      </c>
      <c r="T255" s="434">
        <f>'Supply chain'!M8</f>
        <v>0</v>
      </c>
      <c r="U255" s="434">
        <f>'Supply chain'!N8</f>
        <v>0</v>
      </c>
      <c r="V255" s="434">
        <f>'Supply chain'!O8</f>
        <v>0</v>
      </c>
      <c r="W255" s="434">
        <f>'Supply chain'!P8</f>
        <v>0</v>
      </c>
      <c r="X255" s="434">
        <f>'Supply chain'!Q8</f>
        <v>0</v>
      </c>
      <c r="Y255" s="434">
        <f>'Supply chain'!R8</f>
        <v>0</v>
      </c>
      <c r="Z255" s="434">
        <f>'Supply chain'!S8</f>
        <v>0</v>
      </c>
      <c r="AA255" s="434">
        <f>'Supply chain'!T8</f>
        <v>0</v>
      </c>
      <c r="AB255" s="434">
        <f>'Supply chain'!U8</f>
        <v>0</v>
      </c>
      <c r="AC255" s="434">
        <f>'Supply chain'!V8</f>
        <v>0</v>
      </c>
      <c r="AE255" s="432">
        <f t="shared" si="10"/>
        <v>0</v>
      </c>
      <c r="AF255" s="432">
        <f t="shared" si="11"/>
        <v>0</v>
      </c>
    </row>
    <row r="256" spans="2:32" x14ac:dyDescent="0.35">
      <c r="B256" s="432" t="e">
        <f>"2024"&amp;MATCH(Totals!D256,OrgType,0)&amp;"_"&amp;MATCH(Totals!E256,Organisations,0)&amp;"_"&amp;LEFT(Totals!F256,1)&amp;"_"&amp;LEFT(G256,1)&amp;"_"&amp;COUNTIF($G$3:G256,G256)</f>
        <v>#N/A</v>
      </c>
      <c r="C256" s="432">
        <v>2024</v>
      </c>
      <c r="D256" s="432">
        <f>Introduction!$D$7</f>
        <v>0</v>
      </c>
      <c r="E256" s="432">
        <f>Introduction!$D$8</f>
        <v>0</v>
      </c>
      <c r="F256" s="432" t="s">
        <v>558</v>
      </c>
      <c r="G256" s="432" t="s">
        <v>558</v>
      </c>
      <c r="H256" s="433"/>
      <c r="I256" s="434" t="str">
        <f>'Supply chain'!B9</f>
        <v>Agriculture, forestry and fishing</v>
      </c>
      <c r="J256" s="434" t="str">
        <f>'Supply chain'!C9</f>
        <v>02</v>
      </c>
      <c r="K256" s="434" t="str">
        <f>'Supply chain'!D9</f>
        <v xml:space="preserve">Products of forestry, logging and related services         </v>
      </c>
      <c r="L256" s="434" t="str">
        <f>'Supply chain'!E9</f>
        <v>Tier 1</v>
      </c>
      <c r="M256" s="434">
        <f>'Supply chain'!F9</f>
        <v>0.25</v>
      </c>
      <c r="N256" s="434">
        <f>'Supply chain'!G9</f>
        <v>0</v>
      </c>
      <c r="O256" s="434" t="str">
        <f>'Supply chain'!H9</f>
        <v>£</v>
      </c>
      <c r="P256" s="434">
        <f>'Supply chain'!I9</f>
        <v>0</v>
      </c>
      <c r="Q256" s="434" t="str">
        <f>'Supply chain'!J9</f>
        <v>£</v>
      </c>
      <c r="R256" s="434">
        <f>'Supply chain'!K9</f>
        <v>0.27880734055191519</v>
      </c>
      <c r="S256" s="434" t="str">
        <f>'Supply chain'!L9</f>
        <v/>
      </c>
      <c r="T256" s="434">
        <f>'Supply chain'!M9</f>
        <v>0</v>
      </c>
      <c r="U256" s="434">
        <f>'Supply chain'!N9</f>
        <v>0</v>
      </c>
      <c r="V256" s="434">
        <f>'Supply chain'!O9</f>
        <v>0</v>
      </c>
      <c r="W256" s="434">
        <f>'Supply chain'!P9</f>
        <v>0</v>
      </c>
      <c r="X256" s="434">
        <f>'Supply chain'!Q9</f>
        <v>0</v>
      </c>
      <c r="Y256" s="434">
        <f>'Supply chain'!R9</f>
        <v>0</v>
      </c>
      <c r="Z256" s="434">
        <f>'Supply chain'!S9</f>
        <v>0</v>
      </c>
      <c r="AA256" s="434">
        <f>'Supply chain'!T9</f>
        <v>0</v>
      </c>
      <c r="AB256" s="434">
        <f>'Supply chain'!U9</f>
        <v>0</v>
      </c>
      <c r="AC256" s="434">
        <f>'Supply chain'!V9</f>
        <v>0</v>
      </c>
      <c r="AE256" s="432">
        <f t="shared" si="10"/>
        <v>0</v>
      </c>
      <c r="AF256" s="432">
        <f t="shared" si="11"/>
        <v>0</v>
      </c>
    </row>
    <row r="257" spans="2:32" x14ac:dyDescent="0.35">
      <c r="B257" s="432" t="e">
        <f>"2024"&amp;MATCH(Totals!D257,OrgType,0)&amp;"_"&amp;MATCH(Totals!E257,Organisations,0)&amp;"_"&amp;LEFT(Totals!F257,1)&amp;"_"&amp;LEFT(G257,1)&amp;"_"&amp;COUNTIF($G$3:G257,G257)</f>
        <v>#N/A</v>
      </c>
      <c r="C257" s="432">
        <v>2024</v>
      </c>
      <c r="D257" s="432">
        <f>Introduction!$D$7</f>
        <v>0</v>
      </c>
      <c r="E257" s="432">
        <f>Introduction!$D$8</f>
        <v>0</v>
      </c>
      <c r="F257" s="432" t="s">
        <v>558</v>
      </c>
      <c r="G257" s="432" t="s">
        <v>558</v>
      </c>
      <c r="H257" s="433"/>
      <c r="I257" s="434" t="str">
        <f>'Supply chain'!B10</f>
        <v>Agriculture, forestry and fishing</v>
      </c>
      <c r="J257" s="434" t="str">
        <f>'Supply chain'!C10</f>
        <v>03</v>
      </c>
      <c r="K257" s="434" t="str">
        <f>'Supply chain'!D10</f>
        <v xml:space="preserve">Fish and other fishing products; aquaculture products; support services to fishing     </v>
      </c>
      <c r="L257" s="434" t="str">
        <f>'Supply chain'!E10</f>
        <v>Tier 1</v>
      </c>
      <c r="M257" s="434">
        <f>'Supply chain'!F10</f>
        <v>0.25</v>
      </c>
      <c r="N257" s="434">
        <f>'Supply chain'!G10</f>
        <v>0</v>
      </c>
      <c r="O257" s="434" t="str">
        <f>'Supply chain'!H10</f>
        <v>£</v>
      </c>
      <c r="P257" s="434">
        <f>'Supply chain'!I10</f>
        <v>0</v>
      </c>
      <c r="Q257" s="434" t="str">
        <f>'Supply chain'!J10</f>
        <v>£</v>
      </c>
      <c r="R257" s="434">
        <f>'Supply chain'!K10</f>
        <v>0.52349722877589489</v>
      </c>
      <c r="S257" s="434" t="str">
        <f>'Supply chain'!L10</f>
        <v/>
      </c>
      <c r="T257" s="434">
        <f>'Supply chain'!M10</f>
        <v>0</v>
      </c>
      <c r="U257" s="434">
        <f>'Supply chain'!N10</f>
        <v>0</v>
      </c>
      <c r="V257" s="434">
        <f>'Supply chain'!O10</f>
        <v>0</v>
      </c>
      <c r="W257" s="434">
        <f>'Supply chain'!P10</f>
        <v>0</v>
      </c>
      <c r="X257" s="434">
        <f>'Supply chain'!Q10</f>
        <v>0</v>
      </c>
      <c r="Y257" s="434">
        <f>'Supply chain'!R10</f>
        <v>0</v>
      </c>
      <c r="Z257" s="434">
        <f>'Supply chain'!S10</f>
        <v>0</v>
      </c>
      <c r="AA257" s="434">
        <f>'Supply chain'!T10</f>
        <v>0</v>
      </c>
      <c r="AB257" s="434">
        <f>'Supply chain'!U10</f>
        <v>0</v>
      </c>
      <c r="AC257" s="434">
        <f>'Supply chain'!V10</f>
        <v>0</v>
      </c>
      <c r="AE257" s="432">
        <f t="shared" si="10"/>
        <v>0</v>
      </c>
      <c r="AF257" s="432">
        <f t="shared" si="11"/>
        <v>0</v>
      </c>
    </row>
    <row r="258" spans="2:32" x14ac:dyDescent="0.35">
      <c r="B258" s="432" t="e">
        <f>"2024"&amp;MATCH(Totals!D258,OrgType,0)&amp;"_"&amp;MATCH(Totals!E258,Organisations,0)&amp;"_"&amp;LEFT(Totals!F258,1)&amp;"_"&amp;LEFT(G258,1)&amp;"_"&amp;COUNTIF($G$3:G258,G258)</f>
        <v>#N/A</v>
      </c>
      <c r="C258" s="432">
        <v>2024</v>
      </c>
      <c r="D258" s="432">
        <f>Introduction!$D$7</f>
        <v>0</v>
      </c>
      <c r="E258" s="432">
        <f>Introduction!$D$8</f>
        <v>0</v>
      </c>
      <c r="F258" s="432" t="s">
        <v>558</v>
      </c>
      <c r="G258" s="432" t="s">
        <v>558</v>
      </c>
      <c r="H258" s="433"/>
      <c r="I258" s="434" t="str">
        <f>'Supply chain'!B11</f>
        <v>Mining and quarrying</v>
      </c>
      <c r="J258" s="434" t="str">
        <f>'Supply chain'!C11</f>
        <v>05</v>
      </c>
      <c r="K258" s="434" t="str">
        <f>'Supply chain'!D11</f>
        <v xml:space="preserve">Coal and lignite             </v>
      </c>
      <c r="L258" s="434" t="str">
        <f>'Supply chain'!E11</f>
        <v>Tier 1</v>
      </c>
      <c r="M258" s="434">
        <f>'Supply chain'!F11</f>
        <v>0.25</v>
      </c>
      <c r="N258" s="434">
        <f>'Supply chain'!G11</f>
        <v>0</v>
      </c>
      <c r="O258" s="434" t="str">
        <f>'Supply chain'!H11</f>
        <v>£</v>
      </c>
      <c r="P258" s="434">
        <f>'Supply chain'!I11</f>
        <v>0</v>
      </c>
      <c r="Q258" s="434" t="str">
        <f>'Supply chain'!J11</f>
        <v>£</v>
      </c>
      <c r="R258" s="434">
        <f>'Supply chain'!K11</f>
        <v>1.11679654698619</v>
      </c>
      <c r="S258" s="434" t="str">
        <f>'Supply chain'!L11</f>
        <v/>
      </c>
      <c r="T258" s="434">
        <f>'Supply chain'!M11</f>
        <v>0</v>
      </c>
      <c r="U258" s="434">
        <f>'Supply chain'!N11</f>
        <v>0</v>
      </c>
      <c r="V258" s="434">
        <f>'Supply chain'!O11</f>
        <v>0</v>
      </c>
      <c r="W258" s="434">
        <f>'Supply chain'!P11</f>
        <v>0</v>
      </c>
      <c r="X258" s="434">
        <f>'Supply chain'!Q11</f>
        <v>0</v>
      </c>
      <c r="Y258" s="434">
        <f>'Supply chain'!R11</f>
        <v>0</v>
      </c>
      <c r="Z258" s="434">
        <f>'Supply chain'!S11</f>
        <v>0</v>
      </c>
      <c r="AA258" s="434">
        <f>'Supply chain'!T11</f>
        <v>0</v>
      </c>
      <c r="AB258" s="434">
        <f>'Supply chain'!U11</f>
        <v>0</v>
      </c>
      <c r="AC258" s="434">
        <f>'Supply chain'!V11</f>
        <v>0</v>
      </c>
      <c r="AE258" s="432">
        <f t="shared" si="10"/>
        <v>0</v>
      </c>
      <c r="AF258" s="432">
        <f t="shared" si="11"/>
        <v>0</v>
      </c>
    </row>
    <row r="259" spans="2:32" x14ac:dyDescent="0.35">
      <c r="B259" s="432" t="e">
        <f>"2024"&amp;MATCH(Totals!D259,OrgType,0)&amp;"_"&amp;MATCH(Totals!E259,Organisations,0)&amp;"_"&amp;LEFT(Totals!F259,1)&amp;"_"&amp;LEFT(G259,1)&amp;"_"&amp;COUNTIF($G$3:G259,G259)</f>
        <v>#N/A</v>
      </c>
      <c r="C259" s="432">
        <v>2024</v>
      </c>
      <c r="D259" s="432">
        <f>Introduction!$D$7</f>
        <v>0</v>
      </c>
      <c r="E259" s="432">
        <f>Introduction!$D$8</f>
        <v>0</v>
      </c>
      <c r="F259" s="432" t="s">
        <v>558</v>
      </c>
      <c r="G259" s="432" t="s">
        <v>558</v>
      </c>
      <c r="H259" s="433"/>
      <c r="I259" s="434" t="str">
        <f>'Supply chain'!B12</f>
        <v>Mining and quarrying</v>
      </c>
      <c r="J259" s="434" t="str">
        <f>'Supply chain'!C12</f>
        <v>06</v>
      </c>
      <c r="K259" s="434" t="str">
        <f>'Supply chain'!D12</f>
        <v xml:space="preserve">Crude petroleum and natural gas           </v>
      </c>
      <c r="L259" s="434" t="str">
        <f>'Supply chain'!E12</f>
        <v>Tier 1</v>
      </c>
      <c r="M259" s="434">
        <f>'Supply chain'!F12</f>
        <v>0.25</v>
      </c>
      <c r="N259" s="434">
        <f>'Supply chain'!G12</f>
        <v>0</v>
      </c>
      <c r="O259" s="434" t="str">
        <f>'Supply chain'!H12</f>
        <v>£</v>
      </c>
      <c r="P259" s="434">
        <f>'Supply chain'!I12</f>
        <v>0</v>
      </c>
      <c r="Q259" s="434" t="str">
        <f>'Supply chain'!J12</f>
        <v>£</v>
      </c>
      <c r="R259" s="434">
        <f>'Supply chain'!K12</f>
        <v>0.65985316789118831</v>
      </c>
      <c r="S259" s="434" t="str">
        <f>'Supply chain'!L12</f>
        <v/>
      </c>
      <c r="T259" s="434">
        <f>'Supply chain'!M12</f>
        <v>0</v>
      </c>
      <c r="U259" s="434">
        <f>'Supply chain'!N12</f>
        <v>0</v>
      </c>
      <c r="V259" s="434">
        <f>'Supply chain'!O12</f>
        <v>0</v>
      </c>
      <c r="W259" s="434">
        <f>'Supply chain'!P12</f>
        <v>0</v>
      </c>
      <c r="X259" s="434">
        <f>'Supply chain'!Q12</f>
        <v>0</v>
      </c>
      <c r="Y259" s="434">
        <f>'Supply chain'!R12</f>
        <v>0</v>
      </c>
      <c r="Z259" s="434">
        <f>'Supply chain'!S12</f>
        <v>0</v>
      </c>
      <c r="AA259" s="434">
        <f>'Supply chain'!T12</f>
        <v>0</v>
      </c>
      <c r="AB259" s="434">
        <f>'Supply chain'!U12</f>
        <v>0</v>
      </c>
      <c r="AC259" s="434">
        <f>'Supply chain'!V12</f>
        <v>0</v>
      </c>
      <c r="AE259" s="432">
        <f t="shared" si="10"/>
        <v>0</v>
      </c>
      <c r="AF259" s="432">
        <f t="shared" si="11"/>
        <v>0</v>
      </c>
    </row>
    <row r="260" spans="2:32" x14ac:dyDescent="0.35">
      <c r="B260" s="432" t="e">
        <f>"2024"&amp;MATCH(Totals!D260,OrgType,0)&amp;"_"&amp;MATCH(Totals!E260,Organisations,0)&amp;"_"&amp;LEFT(Totals!F260,1)&amp;"_"&amp;LEFT(G260,1)&amp;"_"&amp;COUNTIF($G$3:G260,G260)</f>
        <v>#N/A</v>
      </c>
      <c r="C260" s="432">
        <v>2024</v>
      </c>
      <c r="D260" s="432">
        <f>Introduction!$D$7</f>
        <v>0</v>
      </c>
      <c r="E260" s="432">
        <f>Introduction!$D$8</f>
        <v>0</v>
      </c>
      <c r="F260" s="432" t="s">
        <v>558</v>
      </c>
      <c r="G260" s="432" t="s">
        <v>558</v>
      </c>
      <c r="H260" s="433"/>
      <c r="I260" s="434" t="str">
        <f>'Supply chain'!B13</f>
        <v>Mining and quarrying</v>
      </c>
      <c r="J260" s="434" t="str">
        <f>'Supply chain'!C13</f>
        <v>08</v>
      </c>
      <c r="K260" s="434" t="str">
        <f>'Supply chain'!D13</f>
        <v xml:space="preserve">Other mining and quarrying products           </v>
      </c>
      <c r="L260" s="434" t="str">
        <f>'Supply chain'!E13</f>
        <v>Tier 1</v>
      </c>
      <c r="M260" s="434">
        <f>'Supply chain'!F13</f>
        <v>0.25</v>
      </c>
      <c r="N260" s="434">
        <f>'Supply chain'!G13</f>
        <v>0</v>
      </c>
      <c r="O260" s="434" t="str">
        <f>'Supply chain'!H13</f>
        <v>£</v>
      </c>
      <c r="P260" s="434">
        <f>'Supply chain'!I13</f>
        <v>0</v>
      </c>
      <c r="Q260" s="434" t="str">
        <f>'Supply chain'!J13</f>
        <v>£</v>
      </c>
      <c r="R260" s="434">
        <f>'Supply chain'!K13</f>
        <v>0.53426351798099514</v>
      </c>
      <c r="S260" s="434" t="str">
        <f>'Supply chain'!L13</f>
        <v/>
      </c>
      <c r="T260" s="434">
        <f>'Supply chain'!M13</f>
        <v>0</v>
      </c>
      <c r="U260" s="434">
        <f>'Supply chain'!N13</f>
        <v>0</v>
      </c>
      <c r="V260" s="434">
        <f>'Supply chain'!O13</f>
        <v>0</v>
      </c>
      <c r="W260" s="434">
        <f>'Supply chain'!P13</f>
        <v>0</v>
      </c>
      <c r="X260" s="434">
        <f>'Supply chain'!Q13</f>
        <v>0</v>
      </c>
      <c r="Y260" s="434">
        <f>'Supply chain'!R13</f>
        <v>0</v>
      </c>
      <c r="Z260" s="434">
        <f>'Supply chain'!S13</f>
        <v>0</v>
      </c>
      <c r="AA260" s="434">
        <f>'Supply chain'!T13</f>
        <v>0</v>
      </c>
      <c r="AB260" s="434">
        <f>'Supply chain'!U13</f>
        <v>0</v>
      </c>
      <c r="AC260" s="434">
        <f>'Supply chain'!V13</f>
        <v>0</v>
      </c>
      <c r="AE260" s="432">
        <f t="shared" si="10"/>
        <v>0</v>
      </c>
      <c r="AF260" s="432">
        <f t="shared" si="11"/>
        <v>0</v>
      </c>
    </row>
    <row r="261" spans="2:32" x14ac:dyDescent="0.35">
      <c r="B261" s="432" t="e">
        <f>"2024"&amp;MATCH(Totals!D261,OrgType,0)&amp;"_"&amp;MATCH(Totals!E261,Organisations,0)&amp;"_"&amp;LEFT(Totals!F261,1)&amp;"_"&amp;LEFT(G261,1)&amp;"_"&amp;COUNTIF($G$3:G261,G261)</f>
        <v>#N/A</v>
      </c>
      <c r="C261" s="432">
        <v>2024</v>
      </c>
      <c r="D261" s="432">
        <f>Introduction!$D$7</f>
        <v>0</v>
      </c>
      <c r="E261" s="432">
        <f>Introduction!$D$8</f>
        <v>0</v>
      </c>
      <c r="F261" s="432" t="s">
        <v>558</v>
      </c>
      <c r="G261" s="432" t="s">
        <v>558</v>
      </c>
      <c r="H261" s="433"/>
      <c r="I261" s="434" t="str">
        <f>'Supply chain'!B14</f>
        <v>Mining and quarrying</v>
      </c>
      <c r="J261" s="434" t="str">
        <f>'Supply chain'!C14</f>
        <v>09</v>
      </c>
      <c r="K261" s="434" t="str">
        <f>'Supply chain'!D14</f>
        <v xml:space="preserve">Mining support services             </v>
      </c>
      <c r="L261" s="434" t="str">
        <f>'Supply chain'!E14</f>
        <v>Tier 1</v>
      </c>
      <c r="M261" s="434">
        <f>'Supply chain'!F14</f>
        <v>0.25</v>
      </c>
      <c r="N261" s="434">
        <f>'Supply chain'!G14</f>
        <v>0</v>
      </c>
      <c r="O261" s="434" t="str">
        <f>'Supply chain'!H14</f>
        <v>£</v>
      </c>
      <c r="P261" s="434">
        <f>'Supply chain'!I14</f>
        <v>0</v>
      </c>
      <c r="Q261" s="434" t="str">
        <f>'Supply chain'!J14</f>
        <v>£</v>
      </c>
      <c r="R261" s="434">
        <f>'Supply chain'!K14</f>
        <v>0.34484060195484001</v>
      </c>
      <c r="S261" s="434" t="str">
        <f>'Supply chain'!L14</f>
        <v/>
      </c>
      <c r="T261" s="434">
        <f>'Supply chain'!M14</f>
        <v>0</v>
      </c>
      <c r="U261" s="434">
        <f>'Supply chain'!N14</f>
        <v>0</v>
      </c>
      <c r="V261" s="434">
        <f>'Supply chain'!O14</f>
        <v>0</v>
      </c>
      <c r="W261" s="434">
        <f>'Supply chain'!P14</f>
        <v>0</v>
      </c>
      <c r="X261" s="434">
        <f>'Supply chain'!Q14</f>
        <v>0</v>
      </c>
      <c r="Y261" s="434">
        <f>'Supply chain'!R14</f>
        <v>0</v>
      </c>
      <c r="Z261" s="434">
        <f>'Supply chain'!S14</f>
        <v>0</v>
      </c>
      <c r="AA261" s="434">
        <f>'Supply chain'!T14</f>
        <v>0</v>
      </c>
      <c r="AB261" s="434">
        <f>'Supply chain'!U14</f>
        <v>0</v>
      </c>
      <c r="AC261" s="434">
        <f>'Supply chain'!V14</f>
        <v>0</v>
      </c>
      <c r="AE261" s="432">
        <f t="shared" si="10"/>
        <v>0</v>
      </c>
      <c r="AF261" s="432">
        <f t="shared" si="11"/>
        <v>0</v>
      </c>
    </row>
    <row r="262" spans="2:32" x14ac:dyDescent="0.35">
      <c r="B262" s="432" t="e">
        <f>"2024"&amp;MATCH(Totals!D262,OrgType,0)&amp;"_"&amp;MATCH(Totals!E262,Organisations,0)&amp;"_"&amp;LEFT(Totals!F262,1)&amp;"_"&amp;LEFT(G262,1)&amp;"_"&amp;COUNTIF($G$3:G262,G262)</f>
        <v>#N/A</v>
      </c>
      <c r="C262" s="432">
        <v>2024</v>
      </c>
      <c r="D262" s="432">
        <f>Introduction!$D$7</f>
        <v>0</v>
      </c>
      <c r="E262" s="432">
        <f>Introduction!$D$8</f>
        <v>0</v>
      </c>
      <c r="F262" s="432" t="s">
        <v>558</v>
      </c>
      <c r="G262" s="432" t="s">
        <v>558</v>
      </c>
      <c r="H262" s="433"/>
      <c r="I262" s="434" t="str">
        <f>'Supply chain'!B15</f>
        <v>Manufacturing</v>
      </c>
      <c r="J262" s="434" t="str">
        <f>'Supply chain'!C15</f>
        <v>10.1</v>
      </c>
      <c r="K262" s="434" t="str">
        <f>'Supply chain'!D15</f>
        <v xml:space="preserve">Preserved meat and meat products           </v>
      </c>
      <c r="L262" s="434" t="str">
        <f>'Supply chain'!E15</f>
        <v>Tier 1</v>
      </c>
      <c r="M262" s="434">
        <f>'Supply chain'!F15</f>
        <v>0.25</v>
      </c>
      <c r="N262" s="434">
        <f>'Supply chain'!G15</f>
        <v>0</v>
      </c>
      <c r="O262" s="434" t="str">
        <f>'Supply chain'!H15</f>
        <v>£</v>
      </c>
      <c r="P262" s="434">
        <f>'Supply chain'!I15</f>
        <v>0</v>
      </c>
      <c r="Q262" s="434" t="str">
        <f>'Supply chain'!J15</f>
        <v>£</v>
      </c>
      <c r="R262" s="434">
        <f>'Supply chain'!K15</f>
        <v>0.77223474103478451</v>
      </c>
      <c r="S262" s="434" t="str">
        <f>'Supply chain'!L15</f>
        <v/>
      </c>
      <c r="T262" s="434">
        <f>'Supply chain'!M15</f>
        <v>0</v>
      </c>
      <c r="U262" s="434">
        <f>'Supply chain'!N15</f>
        <v>0</v>
      </c>
      <c r="V262" s="434">
        <f>'Supply chain'!O15</f>
        <v>0</v>
      </c>
      <c r="W262" s="434">
        <f>'Supply chain'!P15</f>
        <v>0</v>
      </c>
      <c r="X262" s="434">
        <f>'Supply chain'!Q15</f>
        <v>0</v>
      </c>
      <c r="Y262" s="434">
        <f>'Supply chain'!R15</f>
        <v>0</v>
      </c>
      <c r="Z262" s="434">
        <f>'Supply chain'!S15</f>
        <v>0</v>
      </c>
      <c r="AA262" s="434">
        <f>'Supply chain'!T15</f>
        <v>0</v>
      </c>
      <c r="AB262" s="434">
        <f>'Supply chain'!U15</f>
        <v>0</v>
      </c>
      <c r="AC262" s="434">
        <f>'Supply chain'!V15</f>
        <v>0</v>
      </c>
      <c r="AE262" s="432">
        <f t="shared" si="10"/>
        <v>0</v>
      </c>
      <c r="AF262" s="432">
        <f t="shared" si="11"/>
        <v>0</v>
      </c>
    </row>
    <row r="263" spans="2:32" x14ac:dyDescent="0.35">
      <c r="B263" s="432" t="e">
        <f>"2024"&amp;MATCH(Totals!D263,OrgType,0)&amp;"_"&amp;MATCH(Totals!E263,Organisations,0)&amp;"_"&amp;LEFT(Totals!F263,1)&amp;"_"&amp;LEFT(G263,1)&amp;"_"&amp;COUNTIF($G$3:G263,G263)</f>
        <v>#N/A</v>
      </c>
      <c r="C263" s="432">
        <v>2024</v>
      </c>
      <c r="D263" s="432">
        <f>Introduction!$D$7</f>
        <v>0</v>
      </c>
      <c r="E263" s="432">
        <f>Introduction!$D$8</f>
        <v>0</v>
      </c>
      <c r="F263" s="432" t="s">
        <v>558</v>
      </c>
      <c r="G263" s="432" t="s">
        <v>558</v>
      </c>
      <c r="H263" s="433"/>
      <c r="I263" s="434" t="str">
        <f>'Supply chain'!B16</f>
        <v>Manufacturing</v>
      </c>
      <c r="J263" s="434" t="str">
        <f>'Supply chain'!C16</f>
        <v>10.2 -3</v>
      </c>
      <c r="K263" s="434" t="str">
        <f>'Supply chain'!D16</f>
        <v xml:space="preserve">Processed and preserved fish, crustaceans, molluscs, fruit and vegetables       </v>
      </c>
      <c r="L263" s="434" t="str">
        <f>'Supply chain'!E16</f>
        <v>Tier 1</v>
      </c>
      <c r="M263" s="434">
        <f>'Supply chain'!F16</f>
        <v>0.25</v>
      </c>
      <c r="N263" s="434">
        <f>'Supply chain'!G16</f>
        <v>0</v>
      </c>
      <c r="O263" s="434" t="str">
        <f>'Supply chain'!H16</f>
        <v>£</v>
      </c>
      <c r="P263" s="434">
        <f>'Supply chain'!I16</f>
        <v>0</v>
      </c>
      <c r="Q263" s="434" t="str">
        <f>'Supply chain'!J16</f>
        <v>£</v>
      </c>
      <c r="R263" s="434">
        <f>'Supply chain'!K16</f>
        <v>0.72054253504280763</v>
      </c>
      <c r="S263" s="434" t="str">
        <f>'Supply chain'!L16</f>
        <v/>
      </c>
      <c r="T263" s="434">
        <f>'Supply chain'!M16</f>
        <v>0</v>
      </c>
      <c r="U263" s="434">
        <f>'Supply chain'!N16</f>
        <v>0</v>
      </c>
      <c r="V263" s="434">
        <f>'Supply chain'!O16</f>
        <v>0</v>
      </c>
      <c r="W263" s="434">
        <f>'Supply chain'!P16</f>
        <v>0</v>
      </c>
      <c r="X263" s="434">
        <f>'Supply chain'!Q16</f>
        <v>0</v>
      </c>
      <c r="Y263" s="434">
        <f>'Supply chain'!R16</f>
        <v>0</v>
      </c>
      <c r="Z263" s="434">
        <f>'Supply chain'!S16</f>
        <v>0</v>
      </c>
      <c r="AA263" s="434">
        <f>'Supply chain'!T16</f>
        <v>0</v>
      </c>
      <c r="AB263" s="434">
        <f>'Supply chain'!U16</f>
        <v>0</v>
      </c>
      <c r="AC263" s="434">
        <f>'Supply chain'!V16</f>
        <v>0</v>
      </c>
      <c r="AE263" s="432">
        <f t="shared" si="10"/>
        <v>0</v>
      </c>
      <c r="AF263" s="432">
        <f t="shared" si="11"/>
        <v>0</v>
      </c>
    </row>
    <row r="264" spans="2:32" x14ac:dyDescent="0.35">
      <c r="B264" s="432" t="e">
        <f>"2024"&amp;MATCH(Totals!D264,OrgType,0)&amp;"_"&amp;MATCH(Totals!E264,Organisations,0)&amp;"_"&amp;LEFT(Totals!F264,1)&amp;"_"&amp;LEFT(G264,1)&amp;"_"&amp;COUNTIF($G$3:G264,G264)</f>
        <v>#N/A</v>
      </c>
      <c r="C264" s="432">
        <v>2024</v>
      </c>
      <c r="D264" s="432">
        <f>Introduction!$D$7</f>
        <v>0</v>
      </c>
      <c r="E264" s="432">
        <f>Introduction!$D$8</f>
        <v>0</v>
      </c>
      <c r="F264" s="432" t="s">
        <v>558</v>
      </c>
      <c r="G264" s="432" t="s">
        <v>558</v>
      </c>
      <c r="H264" s="433"/>
      <c r="I264" s="434" t="str">
        <f>'Supply chain'!B17</f>
        <v>Manufacturing</v>
      </c>
      <c r="J264" s="434" t="str">
        <f>'Supply chain'!C17</f>
        <v>10.4</v>
      </c>
      <c r="K264" s="434" t="str">
        <f>'Supply chain'!D17</f>
        <v xml:space="preserve">Vegetable and animal oils and fats          </v>
      </c>
      <c r="L264" s="434" t="str">
        <f>'Supply chain'!E17</f>
        <v>Tier 1</v>
      </c>
      <c r="M264" s="434">
        <f>'Supply chain'!F17</f>
        <v>0.25</v>
      </c>
      <c r="N264" s="434">
        <f>'Supply chain'!G17</f>
        <v>0</v>
      </c>
      <c r="O264" s="434" t="str">
        <f>'Supply chain'!H17</f>
        <v>£</v>
      </c>
      <c r="P264" s="434">
        <f>'Supply chain'!I17</f>
        <v>0</v>
      </c>
      <c r="Q264" s="434" t="str">
        <f>'Supply chain'!J17</f>
        <v>£</v>
      </c>
      <c r="R264" s="434">
        <f>'Supply chain'!K17</f>
        <v>0.97594063514473495</v>
      </c>
      <c r="S264" s="434" t="str">
        <f>'Supply chain'!L17</f>
        <v/>
      </c>
      <c r="T264" s="434">
        <f>'Supply chain'!M17</f>
        <v>0</v>
      </c>
      <c r="U264" s="434">
        <f>'Supply chain'!N17</f>
        <v>0</v>
      </c>
      <c r="V264" s="434">
        <f>'Supply chain'!O17</f>
        <v>0</v>
      </c>
      <c r="W264" s="434">
        <f>'Supply chain'!P17</f>
        <v>0</v>
      </c>
      <c r="X264" s="434">
        <f>'Supply chain'!Q17</f>
        <v>0</v>
      </c>
      <c r="Y264" s="434">
        <f>'Supply chain'!R17</f>
        <v>0</v>
      </c>
      <c r="Z264" s="434">
        <f>'Supply chain'!S17</f>
        <v>0</v>
      </c>
      <c r="AA264" s="434">
        <f>'Supply chain'!T17</f>
        <v>0</v>
      </c>
      <c r="AB264" s="434">
        <f>'Supply chain'!U17</f>
        <v>0</v>
      </c>
      <c r="AC264" s="434">
        <f>'Supply chain'!V17</f>
        <v>0</v>
      </c>
      <c r="AE264" s="432">
        <f t="shared" si="10"/>
        <v>0</v>
      </c>
      <c r="AF264" s="432">
        <f t="shared" si="11"/>
        <v>0</v>
      </c>
    </row>
    <row r="265" spans="2:32" x14ac:dyDescent="0.35">
      <c r="B265" s="432" t="e">
        <f>"2024"&amp;MATCH(Totals!D265,OrgType,0)&amp;"_"&amp;MATCH(Totals!E265,Organisations,0)&amp;"_"&amp;LEFT(Totals!F265,1)&amp;"_"&amp;LEFT(G265,1)&amp;"_"&amp;COUNTIF($G$3:G265,G265)</f>
        <v>#N/A</v>
      </c>
      <c r="C265" s="432">
        <v>2024</v>
      </c>
      <c r="D265" s="432">
        <f>Introduction!$D$7</f>
        <v>0</v>
      </c>
      <c r="E265" s="432">
        <f>Introduction!$D$8</f>
        <v>0</v>
      </c>
      <c r="F265" s="432" t="s">
        <v>558</v>
      </c>
      <c r="G265" s="432" t="s">
        <v>558</v>
      </c>
      <c r="H265" s="433"/>
      <c r="I265" s="434" t="str">
        <f>'Supply chain'!B18</f>
        <v>Manufacturing</v>
      </c>
      <c r="J265" s="434" t="str">
        <f>'Supply chain'!C18</f>
        <v>10.5</v>
      </c>
      <c r="K265" s="434" t="str">
        <f>'Supply chain'!D18</f>
        <v xml:space="preserve">Dairy products              </v>
      </c>
      <c r="L265" s="434" t="str">
        <f>'Supply chain'!E18</f>
        <v>Tier 1</v>
      </c>
      <c r="M265" s="434">
        <f>'Supply chain'!F18</f>
        <v>0.25</v>
      </c>
      <c r="N265" s="434">
        <f>'Supply chain'!G18</f>
        <v>0</v>
      </c>
      <c r="O265" s="434" t="str">
        <f>'Supply chain'!H18</f>
        <v>£</v>
      </c>
      <c r="P265" s="434">
        <f>'Supply chain'!I18</f>
        <v>0</v>
      </c>
      <c r="Q265" s="434" t="str">
        <f>'Supply chain'!J18</f>
        <v>£</v>
      </c>
      <c r="R265" s="434">
        <f>'Supply chain'!K18</f>
        <v>0.9622119924642184</v>
      </c>
      <c r="S265" s="434" t="str">
        <f>'Supply chain'!L18</f>
        <v/>
      </c>
      <c r="T265" s="434">
        <f>'Supply chain'!M18</f>
        <v>0</v>
      </c>
      <c r="U265" s="434">
        <f>'Supply chain'!N18</f>
        <v>0</v>
      </c>
      <c r="V265" s="434">
        <f>'Supply chain'!O18</f>
        <v>0</v>
      </c>
      <c r="W265" s="434">
        <f>'Supply chain'!P18</f>
        <v>0</v>
      </c>
      <c r="X265" s="434">
        <f>'Supply chain'!Q18</f>
        <v>0</v>
      </c>
      <c r="Y265" s="434">
        <f>'Supply chain'!R18</f>
        <v>0</v>
      </c>
      <c r="Z265" s="434">
        <f>'Supply chain'!S18</f>
        <v>0</v>
      </c>
      <c r="AA265" s="434">
        <f>'Supply chain'!T18</f>
        <v>0</v>
      </c>
      <c r="AB265" s="434">
        <f>'Supply chain'!U18</f>
        <v>0</v>
      </c>
      <c r="AC265" s="434">
        <f>'Supply chain'!V18</f>
        <v>0</v>
      </c>
      <c r="AE265" s="432">
        <f t="shared" si="10"/>
        <v>0</v>
      </c>
      <c r="AF265" s="432">
        <f t="shared" si="11"/>
        <v>0</v>
      </c>
    </row>
    <row r="266" spans="2:32" x14ac:dyDescent="0.35">
      <c r="B266" s="432" t="e">
        <f>"2024"&amp;MATCH(Totals!D266,OrgType,0)&amp;"_"&amp;MATCH(Totals!E266,Organisations,0)&amp;"_"&amp;LEFT(Totals!F266,1)&amp;"_"&amp;LEFT(G266,1)&amp;"_"&amp;COUNTIF($G$3:G266,G266)</f>
        <v>#N/A</v>
      </c>
      <c r="C266" s="432">
        <v>2024</v>
      </c>
      <c r="D266" s="432">
        <f>Introduction!$D$7</f>
        <v>0</v>
      </c>
      <c r="E266" s="432">
        <f>Introduction!$D$8</f>
        <v>0</v>
      </c>
      <c r="F266" s="432" t="s">
        <v>558</v>
      </c>
      <c r="G266" s="432" t="s">
        <v>558</v>
      </c>
      <c r="H266" s="433"/>
      <c r="I266" s="434" t="str">
        <f>'Supply chain'!B19</f>
        <v>Manufacturing</v>
      </c>
      <c r="J266" s="434" t="str">
        <f>'Supply chain'!C19</f>
        <v>10.6</v>
      </c>
      <c r="K266" s="434" t="str">
        <f>'Supply chain'!D19</f>
        <v xml:space="preserve">Grain mill products, starches and starch products         </v>
      </c>
      <c r="L266" s="434" t="str">
        <f>'Supply chain'!E19</f>
        <v>Tier 1</v>
      </c>
      <c r="M266" s="434">
        <f>'Supply chain'!F19</f>
        <v>0.25</v>
      </c>
      <c r="N266" s="434">
        <f>'Supply chain'!G19</f>
        <v>0</v>
      </c>
      <c r="O266" s="434" t="str">
        <f>'Supply chain'!H19</f>
        <v>£</v>
      </c>
      <c r="P266" s="434">
        <f>'Supply chain'!I19</f>
        <v>0</v>
      </c>
      <c r="Q266" s="434" t="str">
        <f>'Supply chain'!J19</f>
        <v>£</v>
      </c>
      <c r="R266" s="434">
        <f>'Supply chain'!K19</f>
        <v>0.75528336941888297</v>
      </c>
      <c r="S266" s="434" t="str">
        <f>'Supply chain'!L19</f>
        <v/>
      </c>
      <c r="T266" s="434">
        <f>'Supply chain'!M19</f>
        <v>0</v>
      </c>
      <c r="U266" s="434">
        <f>'Supply chain'!N19</f>
        <v>0</v>
      </c>
      <c r="V266" s="434">
        <f>'Supply chain'!O19</f>
        <v>0</v>
      </c>
      <c r="W266" s="434">
        <f>'Supply chain'!P19</f>
        <v>0</v>
      </c>
      <c r="X266" s="434">
        <f>'Supply chain'!Q19</f>
        <v>0</v>
      </c>
      <c r="Y266" s="434">
        <f>'Supply chain'!R19</f>
        <v>0</v>
      </c>
      <c r="Z266" s="434">
        <f>'Supply chain'!S19</f>
        <v>0</v>
      </c>
      <c r="AA266" s="434">
        <f>'Supply chain'!T19</f>
        <v>0</v>
      </c>
      <c r="AB266" s="434">
        <f>'Supply chain'!U19</f>
        <v>0</v>
      </c>
      <c r="AC266" s="434">
        <f>'Supply chain'!V19</f>
        <v>0</v>
      </c>
      <c r="AE266" s="432">
        <f t="shared" si="10"/>
        <v>0</v>
      </c>
      <c r="AF266" s="432">
        <f t="shared" si="11"/>
        <v>0</v>
      </c>
    </row>
    <row r="267" spans="2:32" x14ac:dyDescent="0.35">
      <c r="B267" s="432" t="e">
        <f>"2024"&amp;MATCH(Totals!D267,OrgType,0)&amp;"_"&amp;MATCH(Totals!E267,Organisations,0)&amp;"_"&amp;LEFT(Totals!F267,1)&amp;"_"&amp;LEFT(G267,1)&amp;"_"&amp;COUNTIF($G$3:G267,G267)</f>
        <v>#N/A</v>
      </c>
      <c r="C267" s="432">
        <v>2024</v>
      </c>
      <c r="D267" s="432">
        <f>Introduction!$D$7</f>
        <v>0</v>
      </c>
      <c r="E267" s="432">
        <f>Introduction!$D$8</f>
        <v>0</v>
      </c>
      <c r="F267" s="432" t="s">
        <v>558</v>
      </c>
      <c r="G267" s="432" t="s">
        <v>558</v>
      </c>
      <c r="H267" s="433"/>
      <c r="I267" s="434" t="str">
        <f>'Supply chain'!B20</f>
        <v>Manufacturing</v>
      </c>
      <c r="J267" s="434" t="str">
        <f>'Supply chain'!C20</f>
        <v>10.7</v>
      </c>
      <c r="K267" s="434" t="str">
        <f>'Supply chain'!D20</f>
        <v xml:space="preserve">Bakery and farinaceous products            </v>
      </c>
      <c r="L267" s="434" t="str">
        <f>'Supply chain'!E20</f>
        <v>Tier 1</v>
      </c>
      <c r="M267" s="434">
        <f>'Supply chain'!F20</f>
        <v>0.25</v>
      </c>
      <c r="N267" s="434">
        <f>'Supply chain'!G20</f>
        <v>0</v>
      </c>
      <c r="O267" s="434" t="str">
        <f>'Supply chain'!H20</f>
        <v>£</v>
      </c>
      <c r="P267" s="434">
        <f>'Supply chain'!I20</f>
        <v>0</v>
      </c>
      <c r="Q267" s="434" t="str">
        <f>'Supply chain'!J20</f>
        <v>£</v>
      </c>
      <c r="R267" s="434">
        <f>'Supply chain'!K20</f>
        <v>0.45059118435840351</v>
      </c>
      <c r="S267" s="434" t="str">
        <f>'Supply chain'!L20</f>
        <v/>
      </c>
      <c r="T267" s="434">
        <f>'Supply chain'!M20</f>
        <v>0</v>
      </c>
      <c r="U267" s="434">
        <f>'Supply chain'!N20</f>
        <v>0</v>
      </c>
      <c r="V267" s="434">
        <f>'Supply chain'!O20</f>
        <v>0</v>
      </c>
      <c r="W267" s="434">
        <f>'Supply chain'!P20</f>
        <v>0</v>
      </c>
      <c r="X267" s="434">
        <f>'Supply chain'!Q20</f>
        <v>0</v>
      </c>
      <c r="Y267" s="434">
        <f>'Supply chain'!R20</f>
        <v>0</v>
      </c>
      <c r="Z267" s="434">
        <f>'Supply chain'!S20</f>
        <v>0</v>
      </c>
      <c r="AA267" s="434">
        <f>'Supply chain'!T20</f>
        <v>0</v>
      </c>
      <c r="AB267" s="434">
        <f>'Supply chain'!U20</f>
        <v>0</v>
      </c>
      <c r="AC267" s="434">
        <f>'Supply chain'!V20</f>
        <v>0</v>
      </c>
      <c r="AE267" s="432">
        <f t="shared" si="10"/>
        <v>0</v>
      </c>
      <c r="AF267" s="432">
        <f t="shared" si="11"/>
        <v>0</v>
      </c>
    </row>
    <row r="268" spans="2:32" x14ac:dyDescent="0.35">
      <c r="B268" s="432" t="e">
        <f>"2024"&amp;MATCH(Totals!D268,OrgType,0)&amp;"_"&amp;MATCH(Totals!E268,Organisations,0)&amp;"_"&amp;LEFT(Totals!F268,1)&amp;"_"&amp;LEFT(G268,1)&amp;"_"&amp;COUNTIF($G$3:G268,G268)</f>
        <v>#N/A</v>
      </c>
      <c r="C268" s="432">
        <v>2024</v>
      </c>
      <c r="D268" s="432">
        <f>Introduction!$D$7</f>
        <v>0</v>
      </c>
      <c r="E268" s="432">
        <f>Introduction!$D$8</f>
        <v>0</v>
      </c>
      <c r="F268" s="432" t="s">
        <v>558</v>
      </c>
      <c r="G268" s="432" t="s">
        <v>558</v>
      </c>
      <c r="H268" s="433"/>
      <c r="I268" s="434" t="str">
        <f>'Supply chain'!B21</f>
        <v>Manufacturing</v>
      </c>
      <c r="J268" s="434" t="str">
        <f>'Supply chain'!C21</f>
        <v>10.8</v>
      </c>
      <c r="K268" s="434" t="str">
        <f>'Supply chain'!D21</f>
        <v xml:space="preserve">Other food products             </v>
      </c>
      <c r="L268" s="434" t="str">
        <f>'Supply chain'!E21</f>
        <v>Tier 1</v>
      </c>
      <c r="M268" s="434">
        <f>'Supply chain'!F21</f>
        <v>0.25</v>
      </c>
      <c r="N268" s="434">
        <f>'Supply chain'!G21</f>
        <v>0</v>
      </c>
      <c r="O268" s="434" t="str">
        <f>'Supply chain'!H21</f>
        <v>£</v>
      </c>
      <c r="P268" s="434">
        <f>'Supply chain'!I21</f>
        <v>0</v>
      </c>
      <c r="Q268" s="434" t="str">
        <f>'Supply chain'!J21</f>
        <v>£</v>
      </c>
      <c r="R268" s="434">
        <f>'Supply chain'!K21</f>
        <v>0.6606259935217188</v>
      </c>
      <c r="S268" s="434" t="str">
        <f>'Supply chain'!L21</f>
        <v/>
      </c>
      <c r="T268" s="434">
        <f>'Supply chain'!M21</f>
        <v>0</v>
      </c>
      <c r="U268" s="434">
        <f>'Supply chain'!N21</f>
        <v>0</v>
      </c>
      <c r="V268" s="434">
        <f>'Supply chain'!O21</f>
        <v>0</v>
      </c>
      <c r="W268" s="434">
        <f>'Supply chain'!P21</f>
        <v>0</v>
      </c>
      <c r="X268" s="434">
        <f>'Supply chain'!Q21</f>
        <v>0</v>
      </c>
      <c r="Y268" s="434">
        <f>'Supply chain'!R21</f>
        <v>0</v>
      </c>
      <c r="Z268" s="434">
        <f>'Supply chain'!S21</f>
        <v>0</v>
      </c>
      <c r="AA268" s="434">
        <f>'Supply chain'!T21</f>
        <v>0</v>
      </c>
      <c r="AB268" s="434">
        <f>'Supply chain'!U21</f>
        <v>0</v>
      </c>
      <c r="AC268" s="434">
        <f>'Supply chain'!V21</f>
        <v>0</v>
      </c>
      <c r="AE268" s="432">
        <f t="shared" si="10"/>
        <v>0</v>
      </c>
      <c r="AF268" s="432">
        <f t="shared" si="11"/>
        <v>0</v>
      </c>
    </row>
    <row r="269" spans="2:32" x14ac:dyDescent="0.35">
      <c r="B269" s="432" t="e">
        <f>"2024"&amp;MATCH(Totals!D269,OrgType,0)&amp;"_"&amp;MATCH(Totals!E269,Organisations,0)&amp;"_"&amp;LEFT(Totals!F269,1)&amp;"_"&amp;LEFT(G269,1)&amp;"_"&amp;COUNTIF($G$3:G269,G269)</f>
        <v>#N/A</v>
      </c>
      <c r="C269" s="432">
        <v>2024</v>
      </c>
      <c r="D269" s="432">
        <f>Introduction!$D$7</f>
        <v>0</v>
      </c>
      <c r="E269" s="432">
        <f>Introduction!$D$8</f>
        <v>0</v>
      </c>
      <c r="F269" s="432" t="s">
        <v>558</v>
      </c>
      <c r="G269" s="432" t="s">
        <v>558</v>
      </c>
      <c r="H269" s="433"/>
      <c r="I269" s="434" t="str">
        <f>'Supply chain'!B22</f>
        <v>Manufacturing</v>
      </c>
      <c r="J269" s="434">
        <f>'Supply chain'!C22</f>
        <v>10.9</v>
      </c>
      <c r="K269" s="434" t="str">
        <f>'Supply chain'!D22</f>
        <v xml:space="preserve">Prepared animal feeds             </v>
      </c>
      <c r="L269" s="434" t="str">
        <f>'Supply chain'!E22</f>
        <v>Tier 1</v>
      </c>
      <c r="M269" s="434">
        <f>'Supply chain'!F22</f>
        <v>0.25</v>
      </c>
      <c r="N269" s="434">
        <f>'Supply chain'!G22</f>
        <v>0</v>
      </c>
      <c r="O269" s="434" t="str">
        <f>'Supply chain'!H22</f>
        <v>£</v>
      </c>
      <c r="P269" s="434">
        <f>'Supply chain'!I22</f>
        <v>0</v>
      </c>
      <c r="Q269" s="434" t="str">
        <f>'Supply chain'!J22</f>
        <v>£</v>
      </c>
      <c r="R269" s="434">
        <f>'Supply chain'!K22</f>
        <v>0.91150729211312131</v>
      </c>
      <c r="S269" s="434" t="str">
        <f>'Supply chain'!L22</f>
        <v/>
      </c>
      <c r="T269" s="434">
        <f>'Supply chain'!M22</f>
        <v>0</v>
      </c>
      <c r="U269" s="434">
        <f>'Supply chain'!N22</f>
        <v>0</v>
      </c>
      <c r="V269" s="434">
        <f>'Supply chain'!O22</f>
        <v>0</v>
      </c>
      <c r="W269" s="434">
        <f>'Supply chain'!P22</f>
        <v>0</v>
      </c>
      <c r="X269" s="434">
        <f>'Supply chain'!Q22</f>
        <v>0</v>
      </c>
      <c r="Y269" s="434">
        <f>'Supply chain'!R22</f>
        <v>0</v>
      </c>
      <c r="Z269" s="434">
        <f>'Supply chain'!S22</f>
        <v>0</v>
      </c>
      <c r="AA269" s="434">
        <f>'Supply chain'!T22</f>
        <v>0</v>
      </c>
      <c r="AB269" s="434">
        <f>'Supply chain'!U22</f>
        <v>0</v>
      </c>
      <c r="AC269" s="434">
        <f>'Supply chain'!V22</f>
        <v>0</v>
      </c>
      <c r="AE269" s="432">
        <f t="shared" si="10"/>
        <v>0</v>
      </c>
      <c r="AF269" s="432">
        <f t="shared" si="11"/>
        <v>0</v>
      </c>
    </row>
    <row r="270" spans="2:32" x14ac:dyDescent="0.35">
      <c r="B270" s="432" t="e">
        <f>"2024"&amp;MATCH(Totals!D270,OrgType,0)&amp;"_"&amp;MATCH(Totals!E270,Organisations,0)&amp;"_"&amp;LEFT(Totals!F270,1)&amp;"_"&amp;LEFT(G270,1)&amp;"_"&amp;COUNTIF($G$3:G270,G270)</f>
        <v>#N/A</v>
      </c>
      <c r="C270" s="432">
        <v>2024</v>
      </c>
      <c r="D270" s="432">
        <f>Introduction!$D$7</f>
        <v>0</v>
      </c>
      <c r="E270" s="432">
        <f>Introduction!$D$8</f>
        <v>0</v>
      </c>
      <c r="F270" s="432" t="s">
        <v>558</v>
      </c>
      <c r="G270" s="432" t="s">
        <v>558</v>
      </c>
      <c r="H270" s="433"/>
      <c r="I270" s="434" t="str">
        <f>'Supply chain'!B23</f>
        <v>Manufacturing</v>
      </c>
      <c r="J270" s="434" t="str">
        <f>'Supply chain'!C23</f>
        <v>11.01-6</v>
      </c>
      <c r="K270" s="434" t="str">
        <f>'Supply chain'!D23</f>
        <v xml:space="preserve">Alcoholic beverages              </v>
      </c>
      <c r="L270" s="434" t="str">
        <f>'Supply chain'!E23</f>
        <v>Tier 1</v>
      </c>
      <c r="M270" s="434">
        <f>'Supply chain'!F23</f>
        <v>0.25</v>
      </c>
      <c r="N270" s="434">
        <f>'Supply chain'!G23</f>
        <v>0</v>
      </c>
      <c r="O270" s="434" t="str">
        <f>'Supply chain'!H23</f>
        <v>£</v>
      </c>
      <c r="P270" s="434">
        <f>'Supply chain'!I23</f>
        <v>0</v>
      </c>
      <c r="Q270" s="434" t="str">
        <f>'Supply chain'!J23</f>
        <v>£</v>
      </c>
      <c r="R270" s="434">
        <f>'Supply chain'!K23</f>
        <v>0.70715658239376089</v>
      </c>
      <c r="S270" s="434" t="str">
        <f>'Supply chain'!L23</f>
        <v/>
      </c>
      <c r="T270" s="434">
        <f>'Supply chain'!M23</f>
        <v>0</v>
      </c>
      <c r="U270" s="434">
        <f>'Supply chain'!N23</f>
        <v>0</v>
      </c>
      <c r="V270" s="434">
        <f>'Supply chain'!O23</f>
        <v>0</v>
      </c>
      <c r="W270" s="434">
        <f>'Supply chain'!P23</f>
        <v>0</v>
      </c>
      <c r="X270" s="434">
        <f>'Supply chain'!Q23</f>
        <v>0</v>
      </c>
      <c r="Y270" s="434">
        <f>'Supply chain'!R23</f>
        <v>0</v>
      </c>
      <c r="Z270" s="434">
        <f>'Supply chain'!S23</f>
        <v>0</v>
      </c>
      <c r="AA270" s="434">
        <f>'Supply chain'!T23</f>
        <v>0</v>
      </c>
      <c r="AB270" s="434">
        <f>'Supply chain'!U23</f>
        <v>0</v>
      </c>
      <c r="AC270" s="434">
        <f>'Supply chain'!V23</f>
        <v>0</v>
      </c>
      <c r="AE270" s="432">
        <f t="shared" si="10"/>
        <v>0</v>
      </c>
      <c r="AF270" s="432">
        <f t="shared" si="11"/>
        <v>0</v>
      </c>
    </row>
    <row r="271" spans="2:32" x14ac:dyDescent="0.35">
      <c r="B271" s="432" t="e">
        <f>"2024"&amp;MATCH(Totals!D271,OrgType,0)&amp;"_"&amp;MATCH(Totals!E271,Organisations,0)&amp;"_"&amp;LEFT(Totals!F271,1)&amp;"_"&amp;LEFT(G271,1)&amp;"_"&amp;COUNTIF($G$3:G271,G271)</f>
        <v>#N/A</v>
      </c>
      <c r="C271" s="432">
        <v>2024</v>
      </c>
      <c r="D271" s="432">
        <f>Introduction!$D$7</f>
        <v>0</v>
      </c>
      <c r="E271" s="432">
        <f>Introduction!$D$8</f>
        <v>0</v>
      </c>
      <c r="F271" s="432" t="s">
        <v>558</v>
      </c>
      <c r="G271" s="432" t="s">
        <v>558</v>
      </c>
      <c r="H271" s="433"/>
      <c r="I271" s="434" t="str">
        <f>'Supply chain'!B24</f>
        <v>Manufacturing</v>
      </c>
      <c r="J271" s="434">
        <f>'Supply chain'!C24</f>
        <v>11.07</v>
      </c>
      <c r="K271" s="434" t="str">
        <f>'Supply chain'!D24</f>
        <v xml:space="preserve">Soft drinks              </v>
      </c>
      <c r="L271" s="434" t="str">
        <f>'Supply chain'!E24</f>
        <v>Tier 1</v>
      </c>
      <c r="M271" s="434">
        <f>'Supply chain'!F24</f>
        <v>0.25</v>
      </c>
      <c r="N271" s="434">
        <f>'Supply chain'!G24</f>
        <v>0</v>
      </c>
      <c r="O271" s="434" t="str">
        <f>'Supply chain'!H24</f>
        <v>£</v>
      </c>
      <c r="P271" s="434">
        <f>'Supply chain'!I24</f>
        <v>0</v>
      </c>
      <c r="Q271" s="434" t="str">
        <f>'Supply chain'!J24</f>
        <v>£</v>
      </c>
      <c r="R271" s="434">
        <f>'Supply chain'!K24</f>
        <v>0.33206048925839682</v>
      </c>
      <c r="S271" s="434" t="str">
        <f>'Supply chain'!L24</f>
        <v/>
      </c>
      <c r="T271" s="434">
        <f>'Supply chain'!M24</f>
        <v>0</v>
      </c>
      <c r="U271" s="434">
        <f>'Supply chain'!N24</f>
        <v>0</v>
      </c>
      <c r="V271" s="434">
        <f>'Supply chain'!O24</f>
        <v>0</v>
      </c>
      <c r="W271" s="434">
        <f>'Supply chain'!P24</f>
        <v>0</v>
      </c>
      <c r="X271" s="434">
        <f>'Supply chain'!Q24</f>
        <v>0</v>
      </c>
      <c r="Y271" s="434">
        <f>'Supply chain'!R24</f>
        <v>0</v>
      </c>
      <c r="Z271" s="434">
        <f>'Supply chain'!S24</f>
        <v>0</v>
      </c>
      <c r="AA271" s="434">
        <f>'Supply chain'!T24</f>
        <v>0</v>
      </c>
      <c r="AB271" s="434">
        <f>'Supply chain'!U24</f>
        <v>0</v>
      </c>
      <c r="AC271" s="434">
        <f>'Supply chain'!V24</f>
        <v>0</v>
      </c>
      <c r="AE271" s="432">
        <f t="shared" si="10"/>
        <v>0</v>
      </c>
      <c r="AF271" s="432">
        <f t="shared" si="11"/>
        <v>0</v>
      </c>
    </row>
    <row r="272" spans="2:32" x14ac:dyDescent="0.35">
      <c r="B272" s="432" t="e">
        <f>"2024"&amp;MATCH(Totals!D272,OrgType,0)&amp;"_"&amp;MATCH(Totals!E272,Organisations,0)&amp;"_"&amp;LEFT(Totals!F272,1)&amp;"_"&amp;LEFT(G272,1)&amp;"_"&amp;COUNTIF($G$3:G272,G272)</f>
        <v>#N/A</v>
      </c>
      <c r="C272" s="432">
        <v>2024</v>
      </c>
      <c r="D272" s="432">
        <f>Introduction!$D$7</f>
        <v>0</v>
      </c>
      <c r="E272" s="432">
        <f>Introduction!$D$8</f>
        <v>0</v>
      </c>
      <c r="F272" s="432" t="s">
        <v>558</v>
      </c>
      <c r="G272" s="432" t="s">
        <v>558</v>
      </c>
      <c r="H272" s="433"/>
      <c r="I272" s="434" t="str">
        <f>'Supply chain'!B25</f>
        <v>Manufacturing</v>
      </c>
      <c r="J272" s="434">
        <f>'Supply chain'!C25</f>
        <v>12</v>
      </c>
      <c r="K272" s="434" t="str">
        <f>'Supply chain'!D25</f>
        <v xml:space="preserve">Tobacco products              </v>
      </c>
      <c r="L272" s="434" t="str">
        <f>'Supply chain'!E25</f>
        <v>Tier 1</v>
      </c>
      <c r="M272" s="434">
        <f>'Supply chain'!F25</f>
        <v>0.25</v>
      </c>
      <c r="N272" s="434">
        <f>'Supply chain'!G25</f>
        <v>0</v>
      </c>
      <c r="O272" s="434" t="str">
        <f>'Supply chain'!H25</f>
        <v>£</v>
      </c>
      <c r="P272" s="434">
        <f>'Supply chain'!I25</f>
        <v>0</v>
      </c>
      <c r="Q272" s="434" t="str">
        <f>'Supply chain'!J25</f>
        <v>£</v>
      </c>
      <c r="R272" s="434">
        <f>'Supply chain'!K25</f>
        <v>0.2026890723412039</v>
      </c>
      <c r="S272" s="434" t="str">
        <f>'Supply chain'!L25</f>
        <v/>
      </c>
      <c r="T272" s="434">
        <f>'Supply chain'!M25</f>
        <v>0</v>
      </c>
      <c r="U272" s="434">
        <f>'Supply chain'!N25</f>
        <v>0</v>
      </c>
      <c r="V272" s="434">
        <f>'Supply chain'!O25</f>
        <v>0</v>
      </c>
      <c r="W272" s="434">
        <f>'Supply chain'!P25</f>
        <v>0</v>
      </c>
      <c r="X272" s="434">
        <f>'Supply chain'!Q25</f>
        <v>0</v>
      </c>
      <c r="Y272" s="434">
        <f>'Supply chain'!R25</f>
        <v>0</v>
      </c>
      <c r="Z272" s="434">
        <f>'Supply chain'!S25</f>
        <v>0</v>
      </c>
      <c r="AA272" s="434">
        <f>'Supply chain'!T25</f>
        <v>0</v>
      </c>
      <c r="AB272" s="434">
        <f>'Supply chain'!U25</f>
        <v>0</v>
      </c>
      <c r="AC272" s="434">
        <f>'Supply chain'!V25</f>
        <v>0</v>
      </c>
      <c r="AE272" s="432">
        <f t="shared" si="10"/>
        <v>0</v>
      </c>
      <c r="AF272" s="432">
        <f t="shared" si="11"/>
        <v>0</v>
      </c>
    </row>
    <row r="273" spans="2:32" x14ac:dyDescent="0.35">
      <c r="B273" s="432" t="e">
        <f>"2024"&amp;MATCH(Totals!D273,OrgType,0)&amp;"_"&amp;MATCH(Totals!E273,Organisations,0)&amp;"_"&amp;LEFT(Totals!F273,1)&amp;"_"&amp;LEFT(G273,1)&amp;"_"&amp;COUNTIF($G$3:G273,G273)</f>
        <v>#N/A</v>
      </c>
      <c r="C273" s="432">
        <v>2024</v>
      </c>
      <c r="D273" s="432">
        <f>Introduction!$D$7</f>
        <v>0</v>
      </c>
      <c r="E273" s="432">
        <f>Introduction!$D$8</f>
        <v>0</v>
      </c>
      <c r="F273" s="432" t="s">
        <v>558</v>
      </c>
      <c r="G273" s="432" t="s">
        <v>558</v>
      </c>
      <c r="H273" s="433"/>
      <c r="I273" s="434" t="str">
        <f>'Supply chain'!B26</f>
        <v>Manufacturing</v>
      </c>
      <c r="J273" s="434">
        <f>'Supply chain'!C26</f>
        <v>13</v>
      </c>
      <c r="K273" s="434" t="str">
        <f>'Supply chain'!D26</f>
        <v xml:space="preserve">Textiles               </v>
      </c>
      <c r="L273" s="434" t="str">
        <f>'Supply chain'!E26</f>
        <v>Tier 1</v>
      </c>
      <c r="M273" s="434">
        <f>'Supply chain'!F26</f>
        <v>0.25</v>
      </c>
      <c r="N273" s="434">
        <f>'Supply chain'!G26</f>
        <v>0</v>
      </c>
      <c r="O273" s="434" t="str">
        <f>'Supply chain'!H26</f>
        <v>£</v>
      </c>
      <c r="P273" s="434">
        <f>'Supply chain'!I26</f>
        <v>0</v>
      </c>
      <c r="Q273" s="434" t="str">
        <f>'Supply chain'!J26</f>
        <v>£</v>
      </c>
      <c r="R273" s="434">
        <f>'Supply chain'!K26</f>
        <v>0.77085168361943579</v>
      </c>
      <c r="S273" s="434" t="str">
        <f>'Supply chain'!L26</f>
        <v/>
      </c>
      <c r="T273" s="434">
        <f>'Supply chain'!M26</f>
        <v>0</v>
      </c>
      <c r="U273" s="434">
        <f>'Supply chain'!N26</f>
        <v>0</v>
      </c>
      <c r="V273" s="434">
        <f>'Supply chain'!O26</f>
        <v>0</v>
      </c>
      <c r="W273" s="434">
        <f>'Supply chain'!P26</f>
        <v>0</v>
      </c>
      <c r="X273" s="434">
        <f>'Supply chain'!Q26</f>
        <v>0</v>
      </c>
      <c r="Y273" s="434">
        <f>'Supply chain'!R26</f>
        <v>0</v>
      </c>
      <c r="Z273" s="434">
        <f>'Supply chain'!S26</f>
        <v>0</v>
      </c>
      <c r="AA273" s="434">
        <f>'Supply chain'!T26</f>
        <v>0</v>
      </c>
      <c r="AB273" s="434">
        <f>'Supply chain'!U26</f>
        <v>0</v>
      </c>
      <c r="AC273" s="434">
        <f>'Supply chain'!V26</f>
        <v>0</v>
      </c>
      <c r="AE273" s="432">
        <f t="shared" si="10"/>
        <v>0</v>
      </c>
      <c r="AF273" s="432">
        <f t="shared" si="11"/>
        <v>0</v>
      </c>
    </row>
    <row r="274" spans="2:32" x14ac:dyDescent="0.35">
      <c r="B274" s="432" t="e">
        <f>"2024"&amp;MATCH(Totals!D274,OrgType,0)&amp;"_"&amp;MATCH(Totals!E274,Organisations,0)&amp;"_"&amp;LEFT(Totals!F274,1)&amp;"_"&amp;LEFT(G274,1)&amp;"_"&amp;COUNTIF($G$3:G274,G274)</f>
        <v>#N/A</v>
      </c>
      <c r="C274" s="432">
        <v>2024</v>
      </c>
      <c r="D274" s="432">
        <f>Introduction!$D$7</f>
        <v>0</v>
      </c>
      <c r="E274" s="432">
        <f>Introduction!$D$8</f>
        <v>0</v>
      </c>
      <c r="F274" s="432" t="s">
        <v>558</v>
      </c>
      <c r="G274" s="432" t="s">
        <v>558</v>
      </c>
      <c r="H274" s="433"/>
      <c r="I274" s="434" t="str">
        <f>'Supply chain'!B27</f>
        <v>Manufacturing</v>
      </c>
      <c r="J274" s="434">
        <f>'Supply chain'!C27</f>
        <v>14</v>
      </c>
      <c r="K274" s="434" t="str">
        <f>'Supply chain'!D27</f>
        <v xml:space="preserve">Wearing apparel              </v>
      </c>
      <c r="L274" s="434" t="str">
        <f>'Supply chain'!E27</f>
        <v>Tier 1</v>
      </c>
      <c r="M274" s="434">
        <f>'Supply chain'!F27</f>
        <v>0.25</v>
      </c>
      <c r="N274" s="434">
        <f>'Supply chain'!G27</f>
        <v>0</v>
      </c>
      <c r="O274" s="434" t="str">
        <f>'Supply chain'!H27</f>
        <v>£</v>
      </c>
      <c r="P274" s="434">
        <f>'Supply chain'!I27</f>
        <v>0</v>
      </c>
      <c r="Q274" s="434" t="str">
        <f>'Supply chain'!J27</f>
        <v>£</v>
      </c>
      <c r="R274" s="434">
        <f>'Supply chain'!K27</f>
        <v>0.79124467818111843</v>
      </c>
      <c r="S274" s="434" t="str">
        <f>'Supply chain'!L27</f>
        <v/>
      </c>
      <c r="T274" s="434">
        <f>'Supply chain'!M27</f>
        <v>0</v>
      </c>
      <c r="U274" s="434">
        <f>'Supply chain'!N27</f>
        <v>0</v>
      </c>
      <c r="V274" s="434">
        <f>'Supply chain'!O27</f>
        <v>0</v>
      </c>
      <c r="W274" s="434">
        <f>'Supply chain'!P27</f>
        <v>0</v>
      </c>
      <c r="X274" s="434">
        <f>'Supply chain'!Q27</f>
        <v>0</v>
      </c>
      <c r="Y274" s="434">
        <f>'Supply chain'!R27</f>
        <v>0</v>
      </c>
      <c r="Z274" s="434">
        <f>'Supply chain'!S27</f>
        <v>0</v>
      </c>
      <c r="AA274" s="434">
        <f>'Supply chain'!T27</f>
        <v>0</v>
      </c>
      <c r="AB274" s="434">
        <f>'Supply chain'!U27</f>
        <v>0</v>
      </c>
      <c r="AC274" s="434">
        <f>'Supply chain'!V27</f>
        <v>0</v>
      </c>
      <c r="AE274" s="432">
        <f t="shared" si="10"/>
        <v>0</v>
      </c>
      <c r="AF274" s="432">
        <f t="shared" si="11"/>
        <v>0</v>
      </c>
    </row>
    <row r="275" spans="2:32" x14ac:dyDescent="0.35">
      <c r="B275" s="432" t="e">
        <f>"2024"&amp;MATCH(Totals!D275,OrgType,0)&amp;"_"&amp;MATCH(Totals!E275,Organisations,0)&amp;"_"&amp;LEFT(Totals!F275,1)&amp;"_"&amp;LEFT(G275,1)&amp;"_"&amp;COUNTIF($G$3:G275,G275)</f>
        <v>#N/A</v>
      </c>
      <c r="C275" s="432">
        <v>2024</v>
      </c>
      <c r="D275" s="432">
        <f>Introduction!$D$7</f>
        <v>0</v>
      </c>
      <c r="E275" s="432">
        <f>Introduction!$D$8</f>
        <v>0</v>
      </c>
      <c r="F275" s="432" t="s">
        <v>558</v>
      </c>
      <c r="G275" s="432" t="s">
        <v>558</v>
      </c>
      <c r="H275" s="433"/>
      <c r="I275" s="434" t="str">
        <f>'Supply chain'!B28</f>
        <v>Manufacturing</v>
      </c>
      <c r="J275" s="434">
        <f>'Supply chain'!C28</f>
        <v>15</v>
      </c>
      <c r="K275" s="434" t="str">
        <f>'Supply chain'!D28</f>
        <v xml:space="preserve">Leather and related products            </v>
      </c>
      <c r="L275" s="434" t="str">
        <f>'Supply chain'!E28</f>
        <v>Tier 1</v>
      </c>
      <c r="M275" s="434">
        <f>'Supply chain'!F28</f>
        <v>0.25</v>
      </c>
      <c r="N275" s="434">
        <f>'Supply chain'!G28</f>
        <v>0</v>
      </c>
      <c r="O275" s="434" t="str">
        <f>'Supply chain'!H28</f>
        <v>£</v>
      </c>
      <c r="P275" s="434">
        <f>'Supply chain'!I28</f>
        <v>0</v>
      </c>
      <c r="Q275" s="434" t="str">
        <f>'Supply chain'!J28</f>
        <v>£</v>
      </c>
      <c r="R275" s="434">
        <f>'Supply chain'!K28</f>
        <v>0.73443478334510204</v>
      </c>
      <c r="S275" s="434" t="str">
        <f>'Supply chain'!L28</f>
        <v/>
      </c>
      <c r="T275" s="434">
        <f>'Supply chain'!M28</f>
        <v>0</v>
      </c>
      <c r="U275" s="434">
        <f>'Supply chain'!N28</f>
        <v>0</v>
      </c>
      <c r="V275" s="434">
        <f>'Supply chain'!O28</f>
        <v>0</v>
      </c>
      <c r="W275" s="434">
        <f>'Supply chain'!P28</f>
        <v>0</v>
      </c>
      <c r="X275" s="434">
        <f>'Supply chain'!Q28</f>
        <v>0</v>
      </c>
      <c r="Y275" s="434">
        <f>'Supply chain'!R28</f>
        <v>0</v>
      </c>
      <c r="Z275" s="434">
        <f>'Supply chain'!S28</f>
        <v>0</v>
      </c>
      <c r="AA275" s="434">
        <f>'Supply chain'!T28</f>
        <v>0</v>
      </c>
      <c r="AB275" s="434">
        <f>'Supply chain'!U28</f>
        <v>0</v>
      </c>
      <c r="AC275" s="434">
        <f>'Supply chain'!V28</f>
        <v>0</v>
      </c>
      <c r="AE275" s="432">
        <f t="shared" si="10"/>
        <v>0</v>
      </c>
      <c r="AF275" s="432">
        <f t="shared" si="11"/>
        <v>0</v>
      </c>
    </row>
    <row r="276" spans="2:32" x14ac:dyDescent="0.35">
      <c r="B276" s="432" t="e">
        <f>"2024"&amp;MATCH(Totals!D276,OrgType,0)&amp;"_"&amp;MATCH(Totals!E276,Organisations,0)&amp;"_"&amp;LEFT(Totals!F276,1)&amp;"_"&amp;LEFT(G276,1)&amp;"_"&amp;COUNTIF($G$3:G276,G276)</f>
        <v>#N/A</v>
      </c>
      <c r="C276" s="432">
        <v>2024</v>
      </c>
      <c r="D276" s="432">
        <f>Introduction!$D$7</f>
        <v>0</v>
      </c>
      <c r="E276" s="432">
        <f>Introduction!$D$8</f>
        <v>0</v>
      </c>
      <c r="F276" s="432" t="s">
        <v>558</v>
      </c>
      <c r="G276" s="432" t="s">
        <v>558</v>
      </c>
      <c r="H276" s="433"/>
      <c r="I276" s="434" t="str">
        <f>'Supply chain'!B29</f>
        <v>Manufacturing</v>
      </c>
      <c r="J276" s="434">
        <f>'Supply chain'!C29</f>
        <v>16</v>
      </c>
      <c r="K276" s="434" t="str">
        <f>'Supply chain'!D29</f>
        <v>Wood and of products of wood and cork, except furniture; articles of straw and plaiting materials</v>
      </c>
      <c r="L276" s="434" t="str">
        <f>'Supply chain'!E29</f>
        <v>Tier 1</v>
      </c>
      <c r="M276" s="434">
        <f>'Supply chain'!F29</f>
        <v>0.25</v>
      </c>
      <c r="N276" s="434">
        <f>'Supply chain'!G29</f>
        <v>0</v>
      </c>
      <c r="O276" s="434" t="str">
        <f>'Supply chain'!H29</f>
        <v>£</v>
      </c>
      <c r="P276" s="434">
        <f>'Supply chain'!I29</f>
        <v>0</v>
      </c>
      <c r="Q276" s="434" t="str">
        <f>'Supply chain'!J29</f>
        <v>£</v>
      </c>
      <c r="R276" s="434">
        <f>'Supply chain'!K29</f>
        <v>0.47464506998431383</v>
      </c>
      <c r="S276" s="434" t="str">
        <f>'Supply chain'!L29</f>
        <v/>
      </c>
      <c r="T276" s="434">
        <f>'Supply chain'!M29</f>
        <v>0</v>
      </c>
      <c r="U276" s="434">
        <f>'Supply chain'!N29</f>
        <v>0</v>
      </c>
      <c r="V276" s="434">
        <f>'Supply chain'!O29</f>
        <v>0</v>
      </c>
      <c r="W276" s="434">
        <f>'Supply chain'!P29</f>
        <v>0</v>
      </c>
      <c r="X276" s="434">
        <f>'Supply chain'!Q29</f>
        <v>0</v>
      </c>
      <c r="Y276" s="434">
        <f>'Supply chain'!R29</f>
        <v>0</v>
      </c>
      <c r="Z276" s="434">
        <f>'Supply chain'!S29</f>
        <v>0</v>
      </c>
      <c r="AA276" s="434">
        <f>'Supply chain'!T29</f>
        <v>0</v>
      </c>
      <c r="AB276" s="434">
        <f>'Supply chain'!U29</f>
        <v>0</v>
      </c>
      <c r="AC276" s="434">
        <f>'Supply chain'!V29</f>
        <v>0</v>
      </c>
      <c r="AE276" s="432">
        <f t="shared" si="10"/>
        <v>0</v>
      </c>
      <c r="AF276" s="432">
        <f t="shared" si="11"/>
        <v>0</v>
      </c>
    </row>
    <row r="277" spans="2:32" x14ac:dyDescent="0.35">
      <c r="B277" s="432" t="e">
        <f>"2024"&amp;MATCH(Totals!D277,OrgType,0)&amp;"_"&amp;MATCH(Totals!E277,Organisations,0)&amp;"_"&amp;LEFT(Totals!F277,1)&amp;"_"&amp;LEFT(G277,1)&amp;"_"&amp;COUNTIF($G$3:G277,G277)</f>
        <v>#N/A</v>
      </c>
      <c r="C277" s="432">
        <v>2024</v>
      </c>
      <c r="D277" s="432">
        <f>Introduction!$D$7</f>
        <v>0</v>
      </c>
      <c r="E277" s="432">
        <f>Introduction!$D$8</f>
        <v>0</v>
      </c>
      <c r="F277" s="432" t="s">
        <v>558</v>
      </c>
      <c r="G277" s="432" t="s">
        <v>558</v>
      </c>
      <c r="H277" s="433"/>
      <c r="I277" s="434" t="str">
        <f>'Supply chain'!B30</f>
        <v>Manufacturing</v>
      </c>
      <c r="J277" s="434">
        <f>'Supply chain'!C30</f>
        <v>17</v>
      </c>
      <c r="K277" s="434" t="str">
        <f>'Supply chain'!D30</f>
        <v xml:space="preserve">Paper and paper products            </v>
      </c>
      <c r="L277" s="434" t="str">
        <f>'Supply chain'!E30</f>
        <v>Tier 1</v>
      </c>
      <c r="M277" s="434">
        <f>'Supply chain'!F30</f>
        <v>0.25</v>
      </c>
      <c r="N277" s="434">
        <f>'Supply chain'!G30</f>
        <v>0</v>
      </c>
      <c r="O277" s="434" t="str">
        <f>'Supply chain'!H30</f>
        <v>£</v>
      </c>
      <c r="P277" s="434">
        <f>'Supply chain'!I30</f>
        <v>0</v>
      </c>
      <c r="Q277" s="434" t="str">
        <f>'Supply chain'!J30</f>
        <v>£</v>
      </c>
      <c r="R277" s="434">
        <f>'Supply chain'!K30</f>
        <v>0.70687696279521584</v>
      </c>
      <c r="S277" s="434" t="str">
        <f>'Supply chain'!L30</f>
        <v/>
      </c>
      <c r="T277" s="434">
        <f>'Supply chain'!M30</f>
        <v>0</v>
      </c>
      <c r="U277" s="434">
        <f>'Supply chain'!N30</f>
        <v>0</v>
      </c>
      <c r="V277" s="434">
        <f>'Supply chain'!O30</f>
        <v>0</v>
      </c>
      <c r="W277" s="434">
        <f>'Supply chain'!P30</f>
        <v>0</v>
      </c>
      <c r="X277" s="434">
        <f>'Supply chain'!Q30</f>
        <v>0</v>
      </c>
      <c r="Y277" s="434">
        <f>'Supply chain'!R30</f>
        <v>0</v>
      </c>
      <c r="Z277" s="434">
        <f>'Supply chain'!S30</f>
        <v>0</v>
      </c>
      <c r="AA277" s="434">
        <f>'Supply chain'!T30</f>
        <v>0</v>
      </c>
      <c r="AB277" s="434">
        <f>'Supply chain'!U30</f>
        <v>0</v>
      </c>
      <c r="AC277" s="434">
        <f>'Supply chain'!V30</f>
        <v>0</v>
      </c>
      <c r="AE277" s="432">
        <f t="shared" si="10"/>
        <v>0</v>
      </c>
      <c r="AF277" s="432">
        <f t="shared" si="11"/>
        <v>0</v>
      </c>
    </row>
    <row r="278" spans="2:32" x14ac:dyDescent="0.35">
      <c r="B278" s="432" t="e">
        <f>"2024"&amp;MATCH(Totals!D278,OrgType,0)&amp;"_"&amp;MATCH(Totals!E278,Organisations,0)&amp;"_"&amp;LEFT(Totals!F278,1)&amp;"_"&amp;LEFT(G278,1)&amp;"_"&amp;COUNTIF($G$3:G278,G278)</f>
        <v>#N/A</v>
      </c>
      <c r="C278" s="432">
        <v>2024</v>
      </c>
      <c r="D278" s="432">
        <f>Introduction!$D$7</f>
        <v>0</v>
      </c>
      <c r="E278" s="432">
        <f>Introduction!$D$8</f>
        <v>0</v>
      </c>
      <c r="F278" s="432" t="s">
        <v>558</v>
      </c>
      <c r="G278" s="432" t="s">
        <v>558</v>
      </c>
      <c r="H278" s="433"/>
      <c r="I278" s="434" t="str">
        <f>'Supply chain'!B31</f>
        <v>Manufacturing</v>
      </c>
      <c r="J278" s="434">
        <f>'Supply chain'!C31</f>
        <v>18</v>
      </c>
      <c r="K278" s="434" t="str">
        <f>'Supply chain'!D31</f>
        <v xml:space="preserve">Printing and recording services            </v>
      </c>
      <c r="L278" s="434" t="str">
        <f>'Supply chain'!E31</f>
        <v>Tier 1</v>
      </c>
      <c r="M278" s="434">
        <f>'Supply chain'!F31</f>
        <v>0.25</v>
      </c>
      <c r="N278" s="434">
        <f>'Supply chain'!G31</f>
        <v>0</v>
      </c>
      <c r="O278" s="434" t="str">
        <f>'Supply chain'!H31</f>
        <v>£</v>
      </c>
      <c r="P278" s="434">
        <f>'Supply chain'!I31</f>
        <v>0</v>
      </c>
      <c r="Q278" s="434" t="str">
        <f>'Supply chain'!J31</f>
        <v>£</v>
      </c>
      <c r="R278" s="434">
        <f>'Supply chain'!K31</f>
        <v>0.38173396113307168</v>
      </c>
      <c r="S278" s="434" t="str">
        <f>'Supply chain'!L31</f>
        <v/>
      </c>
      <c r="T278" s="434">
        <f>'Supply chain'!M31</f>
        <v>0</v>
      </c>
      <c r="U278" s="434">
        <f>'Supply chain'!N31</f>
        <v>0</v>
      </c>
      <c r="V278" s="434">
        <f>'Supply chain'!O31</f>
        <v>0</v>
      </c>
      <c r="W278" s="434">
        <f>'Supply chain'!P31</f>
        <v>0</v>
      </c>
      <c r="X278" s="434">
        <f>'Supply chain'!Q31</f>
        <v>0</v>
      </c>
      <c r="Y278" s="434">
        <f>'Supply chain'!R31</f>
        <v>0</v>
      </c>
      <c r="Z278" s="434">
        <f>'Supply chain'!S31</f>
        <v>0</v>
      </c>
      <c r="AA278" s="434">
        <f>'Supply chain'!T31</f>
        <v>0</v>
      </c>
      <c r="AB278" s="434">
        <f>'Supply chain'!U31</f>
        <v>0</v>
      </c>
      <c r="AC278" s="434">
        <f>'Supply chain'!V31</f>
        <v>0</v>
      </c>
      <c r="AE278" s="432">
        <f t="shared" ref="AE278:AE341" si="12">IF(AND(R278="",N278&lt;&gt;0),1,0)</f>
        <v>0</v>
      </c>
      <c r="AF278" s="432">
        <f t="shared" ref="AF278:AF341" si="13">IF(AND(S278="",N278&lt;&gt;0),1,0)</f>
        <v>0</v>
      </c>
    </row>
    <row r="279" spans="2:32" x14ac:dyDescent="0.35">
      <c r="B279" s="432" t="e">
        <f>"2024"&amp;MATCH(Totals!D279,OrgType,0)&amp;"_"&amp;MATCH(Totals!E279,Organisations,0)&amp;"_"&amp;LEFT(Totals!F279,1)&amp;"_"&amp;LEFT(G279,1)&amp;"_"&amp;COUNTIF($G$3:G279,G279)</f>
        <v>#N/A</v>
      </c>
      <c r="C279" s="432">
        <v>2024</v>
      </c>
      <c r="D279" s="432">
        <f>Introduction!$D$7</f>
        <v>0</v>
      </c>
      <c r="E279" s="432">
        <f>Introduction!$D$8</f>
        <v>0</v>
      </c>
      <c r="F279" s="432" t="s">
        <v>558</v>
      </c>
      <c r="G279" s="432" t="s">
        <v>558</v>
      </c>
      <c r="H279" s="433"/>
      <c r="I279" s="434" t="str">
        <f>'Supply chain'!B32</f>
        <v>Manufacturing</v>
      </c>
      <c r="J279" s="434">
        <f>'Supply chain'!C32</f>
        <v>19</v>
      </c>
      <c r="K279" s="434" t="str">
        <f>'Supply chain'!D32</f>
        <v xml:space="preserve">Coke and refined petroleum products           </v>
      </c>
      <c r="L279" s="434" t="str">
        <f>'Supply chain'!E32</f>
        <v>Tier 1</v>
      </c>
      <c r="M279" s="434">
        <f>'Supply chain'!F32</f>
        <v>0.25</v>
      </c>
      <c r="N279" s="434">
        <f>'Supply chain'!G32</f>
        <v>0</v>
      </c>
      <c r="O279" s="434" t="str">
        <f>'Supply chain'!H32</f>
        <v>£</v>
      </c>
      <c r="P279" s="434">
        <f>'Supply chain'!I32</f>
        <v>0</v>
      </c>
      <c r="Q279" s="434" t="str">
        <f>'Supply chain'!J32</f>
        <v>£</v>
      </c>
      <c r="R279" s="434">
        <f>'Supply chain'!K32</f>
        <v>1.9295131243284269</v>
      </c>
      <c r="S279" s="434" t="str">
        <f>'Supply chain'!L32</f>
        <v/>
      </c>
      <c r="T279" s="434">
        <f>'Supply chain'!M32</f>
        <v>0</v>
      </c>
      <c r="U279" s="434">
        <f>'Supply chain'!N32</f>
        <v>0</v>
      </c>
      <c r="V279" s="434">
        <f>'Supply chain'!O32</f>
        <v>0</v>
      </c>
      <c r="W279" s="434">
        <f>'Supply chain'!P32</f>
        <v>0</v>
      </c>
      <c r="X279" s="434">
        <f>'Supply chain'!Q32</f>
        <v>0</v>
      </c>
      <c r="Y279" s="434">
        <f>'Supply chain'!R32</f>
        <v>0</v>
      </c>
      <c r="Z279" s="434">
        <f>'Supply chain'!S32</f>
        <v>0</v>
      </c>
      <c r="AA279" s="434">
        <f>'Supply chain'!T32</f>
        <v>0</v>
      </c>
      <c r="AB279" s="434">
        <f>'Supply chain'!U32</f>
        <v>0</v>
      </c>
      <c r="AC279" s="434">
        <f>'Supply chain'!V32</f>
        <v>0</v>
      </c>
      <c r="AE279" s="432">
        <f t="shared" si="12"/>
        <v>0</v>
      </c>
      <c r="AF279" s="432">
        <f t="shared" si="13"/>
        <v>0</v>
      </c>
    </row>
    <row r="280" spans="2:32" x14ac:dyDescent="0.35">
      <c r="B280" s="432" t="e">
        <f>"2024"&amp;MATCH(Totals!D280,OrgType,0)&amp;"_"&amp;MATCH(Totals!E280,Organisations,0)&amp;"_"&amp;LEFT(Totals!F280,1)&amp;"_"&amp;LEFT(G280,1)&amp;"_"&amp;COUNTIF($G$3:G280,G280)</f>
        <v>#N/A</v>
      </c>
      <c r="C280" s="432">
        <v>2024</v>
      </c>
      <c r="D280" s="432">
        <f>Introduction!$D$7</f>
        <v>0</v>
      </c>
      <c r="E280" s="432">
        <f>Introduction!$D$8</f>
        <v>0</v>
      </c>
      <c r="F280" s="432" t="s">
        <v>558</v>
      </c>
      <c r="G280" s="432" t="s">
        <v>558</v>
      </c>
      <c r="H280" s="433"/>
      <c r="I280" s="434" t="str">
        <f>'Supply chain'!B33</f>
        <v>Manufacturing</v>
      </c>
      <c r="J280" s="434">
        <f>'Supply chain'!C33</f>
        <v>20.3</v>
      </c>
      <c r="K280" s="434" t="str">
        <f>'Supply chain'!D33</f>
        <v xml:space="preserve">Paints, varnishes and similar coatings, printing ink and mastics       </v>
      </c>
      <c r="L280" s="434" t="str">
        <f>'Supply chain'!E33</f>
        <v>Tier 1</v>
      </c>
      <c r="M280" s="434">
        <f>'Supply chain'!F33</f>
        <v>0.25</v>
      </c>
      <c r="N280" s="434">
        <f>'Supply chain'!G33</f>
        <v>0</v>
      </c>
      <c r="O280" s="434" t="str">
        <f>'Supply chain'!H33</f>
        <v>£</v>
      </c>
      <c r="P280" s="434">
        <f>'Supply chain'!I33</f>
        <v>0</v>
      </c>
      <c r="Q280" s="434" t="str">
        <f>'Supply chain'!J33</f>
        <v>£</v>
      </c>
      <c r="R280" s="434">
        <f>'Supply chain'!K33</f>
        <v>1.330508762948823</v>
      </c>
      <c r="S280" s="434" t="str">
        <f>'Supply chain'!L33</f>
        <v/>
      </c>
      <c r="T280" s="434">
        <f>'Supply chain'!M33</f>
        <v>0</v>
      </c>
      <c r="U280" s="434">
        <f>'Supply chain'!N33</f>
        <v>0</v>
      </c>
      <c r="V280" s="434">
        <f>'Supply chain'!O33</f>
        <v>0</v>
      </c>
      <c r="W280" s="434">
        <f>'Supply chain'!P33</f>
        <v>0</v>
      </c>
      <c r="X280" s="434">
        <f>'Supply chain'!Q33</f>
        <v>0</v>
      </c>
      <c r="Y280" s="434">
        <f>'Supply chain'!R33</f>
        <v>0</v>
      </c>
      <c r="Z280" s="434">
        <f>'Supply chain'!S33</f>
        <v>0</v>
      </c>
      <c r="AA280" s="434">
        <f>'Supply chain'!T33</f>
        <v>0</v>
      </c>
      <c r="AB280" s="434">
        <f>'Supply chain'!U33</f>
        <v>0</v>
      </c>
      <c r="AC280" s="434">
        <f>'Supply chain'!V33</f>
        <v>0</v>
      </c>
      <c r="AE280" s="432">
        <f t="shared" si="12"/>
        <v>0</v>
      </c>
      <c r="AF280" s="432">
        <f t="shared" si="13"/>
        <v>0</v>
      </c>
    </row>
    <row r="281" spans="2:32" x14ac:dyDescent="0.35">
      <c r="B281" s="432" t="e">
        <f>"2024"&amp;MATCH(Totals!D281,OrgType,0)&amp;"_"&amp;MATCH(Totals!E281,Organisations,0)&amp;"_"&amp;LEFT(Totals!F281,1)&amp;"_"&amp;LEFT(G281,1)&amp;"_"&amp;COUNTIF($G$3:G281,G281)</f>
        <v>#N/A</v>
      </c>
      <c r="C281" s="432">
        <v>2024</v>
      </c>
      <c r="D281" s="432">
        <f>Introduction!$D$7</f>
        <v>0</v>
      </c>
      <c r="E281" s="432">
        <f>Introduction!$D$8</f>
        <v>0</v>
      </c>
      <c r="F281" s="432" t="s">
        <v>558</v>
      </c>
      <c r="G281" s="432" t="s">
        <v>558</v>
      </c>
      <c r="H281" s="433"/>
      <c r="I281" s="434" t="str">
        <f>'Supply chain'!B34</f>
        <v>Manufacturing</v>
      </c>
      <c r="J281" s="434">
        <f>'Supply chain'!C34</f>
        <v>20.399999999999999</v>
      </c>
      <c r="K281" s="434" t="str">
        <f>'Supply chain'!D34</f>
        <v xml:space="preserve">Soap and detergents, cleaning and polishing preparations, perfumes and toilet preparations     </v>
      </c>
      <c r="L281" s="434" t="str">
        <f>'Supply chain'!E34</f>
        <v>Tier 1</v>
      </c>
      <c r="M281" s="434">
        <f>'Supply chain'!F34</f>
        <v>0.25</v>
      </c>
      <c r="N281" s="434">
        <f>'Supply chain'!G34</f>
        <v>0</v>
      </c>
      <c r="O281" s="434" t="str">
        <f>'Supply chain'!H34</f>
        <v>£</v>
      </c>
      <c r="P281" s="434">
        <f>'Supply chain'!I34</f>
        <v>0</v>
      </c>
      <c r="Q281" s="434" t="str">
        <f>'Supply chain'!J34</f>
        <v>£</v>
      </c>
      <c r="R281" s="434">
        <f>'Supply chain'!K34</f>
        <v>0.71887260581861478</v>
      </c>
      <c r="S281" s="434" t="str">
        <f>'Supply chain'!L34</f>
        <v/>
      </c>
      <c r="T281" s="434">
        <f>'Supply chain'!M34</f>
        <v>0</v>
      </c>
      <c r="U281" s="434">
        <f>'Supply chain'!N34</f>
        <v>0</v>
      </c>
      <c r="V281" s="434">
        <f>'Supply chain'!O34</f>
        <v>0</v>
      </c>
      <c r="W281" s="434">
        <f>'Supply chain'!P34</f>
        <v>0</v>
      </c>
      <c r="X281" s="434">
        <f>'Supply chain'!Q34</f>
        <v>0</v>
      </c>
      <c r="Y281" s="434">
        <f>'Supply chain'!R34</f>
        <v>0</v>
      </c>
      <c r="Z281" s="434">
        <f>'Supply chain'!S34</f>
        <v>0</v>
      </c>
      <c r="AA281" s="434">
        <f>'Supply chain'!T34</f>
        <v>0</v>
      </c>
      <c r="AB281" s="434">
        <f>'Supply chain'!U34</f>
        <v>0</v>
      </c>
      <c r="AC281" s="434">
        <f>'Supply chain'!V34</f>
        <v>0</v>
      </c>
      <c r="AE281" s="432">
        <f t="shared" si="12"/>
        <v>0</v>
      </c>
      <c r="AF281" s="432">
        <f t="shared" si="13"/>
        <v>0</v>
      </c>
    </row>
    <row r="282" spans="2:32" x14ac:dyDescent="0.35">
      <c r="B282" s="432" t="e">
        <f>"2024"&amp;MATCH(Totals!D282,OrgType,0)&amp;"_"&amp;MATCH(Totals!E282,Organisations,0)&amp;"_"&amp;LEFT(Totals!F282,1)&amp;"_"&amp;LEFT(G282,1)&amp;"_"&amp;COUNTIF($G$3:G282,G282)</f>
        <v>#N/A</v>
      </c>
      <c r="C282" s="432">
        <v>2024</v>
      </c>
      <c r="D282" s="432">
        <f>Introduction!$D$7</f>
        <v>0</v>
      </c>
      <c r="E282" s="432">
        <f>Introduction!$D$8</f>
        <v>0</v>
      </c>
      <c r="F282" s="432" t="s">
        <v>558</v>
      </c>
      <c r="G282" s="432" t="s">
        <v>558</v>
      </c>
      <c r="H282" s="433"/>
      <c r="I282" s="434" t="str">
        <f>'Supply chain'!B35</f>
        <v>Manufacturing</v>
      </c>
      <c r="J282" s="434">
        <f>'Supply chain'!C35</f>
        <v>20.5</v>
      </c>
      <c r="K282" s="434" t="str">
        <f>'Supply chain'!D35</f>
        <v xml:space="preserve">Other chemical products             </v>
      </c>
      <c r="L282" s="434" t="str">
        <f>'Supply chain'!E35</f>
        <v>Tier 1</v>
      </c>
      <c r="M282" s="434">
        <f>'Supply chain'!F35</f>
        <v>0.25</v>
      </c>
      <c r="N282" s="434">
        <f>'Supply chain'!G35</f>
        <v>0</v>
      </c>
      <c r="O282" s="434" t="str">
        <f>'Supply chain'!H35</f>
        <v>£</v>
      </c>
      <c r="P282" s="434">
        <f>'Supply chain'!I35</f>
        <v>0</v>
      </c>
      <c r="Q282" s="434" t="str">
        <f>'Supply chain'!J35</f>
        <v>£</v>
      </c>
      <c r="R282" s="434">
        <f>'Supply chain'!K35</f>
        <v>1.3810539127369941</v>
      </c>
      <c r="S282" s="434" t="str">
        <f>'Supply chain'!L35</f>
        <v/>
      </c>
      <c r="T282" s="434">
        <f>'Supply chain'!M35</f>
        <v>0</v>
      </c>
      <c r="U282" s="434">
        <f>'Supply chain'!N35</f>
        <v>0</v>
      </c>
      <c r="V282" s="434">
        <f>'Supply chain'!O35</f>
        <v>0</v>
      </c>
      <c r="W282" s="434">
        <f>'Supply chain'!P35</f>
        <v>0</v>
      </c>
      <c r="X282" s="434">
        <f>'Supply chain'!Q35</f>
        <v>0</v>
      </c>
      <c r="Y282" s="434">
        <f>'Supply chain'!R35</f>
        <v>0</v>
      </c>
      <c r="Z282" s="434">
        <f>'Supply chain'!S35</f>
        <v>0</v>
      </c>
      <c r="AA282" s="434">
        <f>'Supply chain'!T35</f>
        <v>0</v>
      </c>
      <c r="AB282" s="434">
        <f>'Supply chain'!U35</f>
        <v>0</v>
      </c>
      <c r="AC282" s="434">
        <f>'Supply chain'!V35</f>
        <v>0</v>
      </c>
      <c r="AE282" s="432">
        <f t="shared" si="12"/>
        <v>0</v>
      </c>
      <c r="AF282" s="432">
        <f t="shared" si="13"/>
        <v>0</v>
      </c>
    </row>
    <row r="283" spans="2:32" x14ac:dyDescent="0.35">
      <c r="B283" s="432" t="e">
        <f>"2024"&amp;MATCH(Totals!D283,OrgType,0)&amp;"_"&amp;MATCH(Totals!E283,Organisations,0)&amp;"_"&amp;LEFT(Totals!F283,1)&amp;"_"&amp;LEFT(G283,1)&amp;"_"&amp;COUNTIF($G$3:G283,G283)</f>
        <v>#N/A</v>
      </c>
      <c r="C283" s="432">
        <v>2024</v>
      </c>
      <c r="D283" s="432">
        <f>Introduction!$D$7</f>
        <v>0</v>
      </c>
      <c r="E283" s="432">
        <f>Introduction!$D$8</f>
        <v>0</v>
      </c>
      <c r="F283" s="432" t="s">
        <v>558</v>
      </c>
      <c r="G283" s="432" t="s">
        <v>558</v>
      </c>
      <c r="H283" s="433"/>
      <c r="I283" s="434" t="str">
        <f>'Supply chain'!B36</f>
        <v>Manufacturing</v>
      </c>
      <c r="J283" s="434" t="str">
        <f>'Supply chain'!C36</f>
        <v>20A</v>
      </c>
      <c r="K283" s="434" t="str">
        <f>'Supply chain'!D36</f>
        <v xml:space="preserve">Industrial gases, inorganics and fertilisers (all inorganic chemicals) - 20.11/13/15      </v>
      </c>
      <c r="L283" s="434" t="str">
        <f>'Supply chain'!E36</f>
        <v>Tier 1</v>
      </c>
      <c r="M283" s="434">
        <f>'Supply chain'!F36</f>
        <v>0.25</v>
      </c>
      <c r="N283" s="434">
        <f>'Supply chain'!G36</f>
        <v>0</v>
      </c>
      <c r="O283" s="434" t="str">
        <f>'Supply chain'!H36</f>
        <v>£</v>
      </c>
      <c r="P283" s="434">
        <f>'Supply chain'!I36</f>
        <v>0</v>
      </c>
      <c r="Q283" s="434" t="str">
        <f>'Supply chain'!J36</f>
        <v>£</v>
      </c>
      <c r="R283" s="434">
        <f>'Supply chain'!K36</f>
        <v>1.3574925126149819</v>
      </c>
      <c r="S283" s="434" t="str">
        <f>'Supply chain'!L36</f>
        <v/>
      </c>
      <c r="T283" s="434">
        <f>'Supply chain'!M36</f>
        <v>0</v>
      </c>
      <c r="U283" s="434">
        <f>'Supply chain'!N36</f>
        <v>0</v>
      </c>
      <c r="V283" s="434">
        <f>'Supply chain'!O36</f>
        <v>0</v>
      </c>
      <c r="W283" s="434">
        <f>'Supply chain'!P36</f>
        <v>0</v>
      </c>
      <c r="X283" s="434">
        <f>'Supply chain'!Q36</f>
        <v>0</v>
      </c>
      <c r="Y283" s="434">
        <f>'Supply chain'!R36</f>
        <v>0</v>
      </c>
      <c r="Z283" s="434">
        <f>'Supply chain'!S36</f>
        <v>0</v>
      </c>
      <c r="AA283" s="434">
        <f>'Supply chain'!T36</f>
        <v>0</v>
      </c>
      <c r="AB283" s="434">
        <f>'Supply chain'!U36</f>
        <v>0</v>
      </c>
      <c r="AC283" s="434">
        <f>'Supply chain'!V36</f>
        <v>0</v>
      </c>
      <c r="AE283" s="432">
        <f t="shared" si="12"/>
        <v>0</v>
      </c>
      <c r="AF283" s="432">
        <f t="shared" si="13"/>
        <v>0</v>
      </c>
    </row>
    <row r="284" spans="2:32" x14ac:dyDescent="0.35">
      <c r="B284" s="432" t="e">
        <f>"2024"&amp;MATCH(Totals!D284,OrgType,0)&amp;"_"&amp;MATCH(Totals!E284,Organisations,0)&amp;"_"&amp;LEFT(Totals!F284,1)&amp;"_"&amp;LEFT(G284,1)&amp;"_"&amp;COUNTIF($G$3:G284,G284)</f>
        <v>#N/A</v>
      </c>
      <c r="C284" s="432">
        <v>2024</v>
      </c>
      <c r="D284" s="432">
        <f>Introduction!$D$7</f>
        <v>0</v>
      </c>
      <c r="E284" s="432">
        <f>Introduction!$D$8</f>
        <v>0</v>
      </c>
      <c r="F284" s="432" t="s">
        <v>558</v>
      </c>
      <c r="G284" s="432" t="s">
        <v>558</v>
      </c>
      <c r="H284" s="433"/>
      <c r="I284" s="434" t="str">
        <f>'Supply chain'!B37</f>
        <v>Manufacturing</v>
      </c>
      <c r="J284" s="434" t="str">
        <f>'Supply chain'!C37</f>
        <v>20B</v>
      </c>
      <c r="K284" s="434" t="str">
        <f>'Supply chain'!D37</f>
        <v xml:space="preserve">Petrochemicals - 20.14/16/17/60             </v>
      </c>
      <c r="L284" s="434" t="str">
        <f>'Supply chain'!E37</f>
        <v>Tier 1</v>
      </c>
      <c r="M284" s="434">
        <f>'Supply chain'!F37</f>
        <v>0.25</v>
      </c>
      <c r="N284" s="434">
        <f>'Supply chain'!G37</f>
        <v>0</v>
      </c>
      <c r="O284" s="434" t="str">
        <f>'Supply chain'!H37</f>
        <v>£</v>
      </c>
      <c r="P284" s="434">
        <f>'Supply chain'!I37</f>
        <v>0</v>
      </c>
      <c r="Q284" s="434" t="str">
        <f>'Supply chain'!J37</f>
        <v>£</v>
      </c>
      <c r="R284" s="434">
        <f>'Supply chain'!K37</f>
        <v>0.8202113547751525</v>
      </c>
      <c r="S284" s="434" t="str">
        <f>'Supply chain'!L37</f>
        <v/>
      </c>
      <c r="T284" s="434">
        <f>'Supply chain'!M37</f>
        <v>0</v>
      </c>
      <c r="U284" s="434">
        <f>'Supply chain'!N37</f>
        <v>0</v>
      </c>
      <c r="V284" s="434">
        <f>'Supply chain'!O37</f>
        <v>0</v>
      </c>
      <c r="W284" s="434">
        <f>'Supply chain'!P37</f>
        <v>0</v>
      </c>
      <c r="X284" s="434">
        <f>'Supply chain'!Q37</f>
        <v>0</v>
      </c>
      <c r="Y284" s="434">
        <f>'Supply chain'!R37</f>
        <v>0</v>
      </c>
      <c r="Z284" s="434">
        <f>'Supply chain'!S37</f>
        <v>0</v>
      </c>
      <c r="AA284" s="434">
        <f>'Supply chain'!T37</f>
        <v>0</v>
      </c>
      <c r="AB284" s="434">
        <f>'Supply chain'!U37</f>
        <v>0</v>
      </c>
      <c r="AC284" s="434">
        <f>'Supply chain'!V37</f>
        <v>0</v>
      </c>
      <c r="AE284" s="432">
        <f t="shared" si="12"/>
        <v>0</v>
      </c>
      <c r="AF284" s="432">
        <f t="shared" si="13"/>
        <v>0</v>
      </c>
    </row>
    <row r="285" spans="2:32" x14ac:dyDescent="0.35">
      <c r="B285" s="432" t="e">
        <f>"2024"&amp;MATCH(Totals!D285,OrgType,0)&amp;"_"&amp;MATCH(Totals!E285,Organisations,0)&amp;"_"&amp;LEFT(Totals!F285,1)&amp;"_"&amp;LEFT(G285,1)&amp;"_"&amp;COUNTIF($G$3:G285,G285)</f>
        <v>#N/A</v>
      </c>
      <c r="C285" s="432">
        <v>2024</v>
      </c>
      <c r="D285" s="432">
        <f>Introduction!$D$7</f>
        <v>0</v>
      </c>
      <c r="E285" s="432">
        <f>Introduction!$D$8</f>
        <v>0</v>
      </c>
      <c r="F285" s="432" t="s">
        <v>558</v>
      </c>
      <c r="G285" s="432" t="s">
        <v>558</v>
      </c>
      <c r="H285" s="433"/>
      <c r="I285" s="434" t="str">
        <f>'Supply chain'!B38</f>
        <v>Manufacturing</v>
      </c>
      <c r="J285" s="434" t="str">
        <f>'Supply chain'!C38</f>
        <v>20C</v>
      </c>
      <c r="K285" s="434" t="str">
        <f>'Supply chain'!D38</f>
        <v xml:space="preserve">Dyestuffs, agro-chemicals - 20.12/20            </v>
      </c>
      <c r="L285" s="434" t="str">
        <f>'Supply chain'!E38</f>
        <v>Tier 1</v>
      </c>
      <c r="M285" s="434">
        <f>'Supply chain'!F38</f>
        <v>0.25</v>
      </c>
      <c r="N285" s="434">
        <f>'Supply chain'!G38</f>
        <v>0</v>
      </c>
      <c r="O285" s="434" t="str">
        <f>'Supply chain'!H38</f>
        <v>£</v>
      </c>
      <c r="P285" s="434">
        <f>'Supply chain'!I38</f>
        <v>0</v>
      </c>
      <c r="Q285" s="434" t="str">
        <f>'Supply chain'!J38</f>
        <v>£</v>
      </c>
      <c r="R285" s="434">
        <f>'Supply chain'!K38</f>
        <v>1.07642184282876</v>
      </c>
      <c r="S285" s="434" t="str">
        <f>'Supply chain'!L38</f>
        <v/>
      </c>
      <c r="T285" s="434">
        <f>'Supply chain'!M38</f>
        <v>0</v>
      </c>
      <c r="U285" s="434">
        <f>'Supply chain'!N38</f>
        <v>0</v>
      </c>
      <c r="V285" s="434">
        <f>'Supply chain'!O38</f>
        <v>0</v>
      </c>
      <c r="W285" s="434">
        <f>'Supply chain'!P38</f>
        <v>0</v>
      </c>
      <c r="X285" s="434">
        <f>'Supply chain'!Q38</f>
        <v>0</v>
      </c>
      <c r="Y285" s="434">
        <f>'Supply chain'!R38</f>
        <v>0</v>
      </c>
      <c r="Z285" s="434">
        <f>'Supply chain'!S38</f>
        <v>0</v>
      </c>
      <c r="AA285" s="434">
        <f>'Supply chain'!T38</f>
        <v>0</v>
      </c>
      <c r="AB285" s="434">
        <f>'Supply chain'!U38</f>
        <v>0</v>
      </c>
      <c r="AC285" s="434">
        <f>'Supply chain'!V38</f>
        <v>0</v>
      </c>
      <c r="AE285" s="432">
        <f t="shared" si="12"/>
        <v>0</v>
      </c>
      <c r="AF285" s="432">
        <f t="shared" si="13"/>
        <v>0</v>
      </c>
    </row>
    <row r="286" spans="2:32" x14ac:dyDescent="0.35">
      <c r="B286" s="432" t="e">
        <f>"2024"&amp;MATCH(Totals!D286,OrgType,0)&amp;"_"&amp;MATCH(Totals!E286,Organisations,0)&amp;"_"&amp;LEFT(Totals!F286,1)&amp;"_"&amp;LEFT(G286,1)&amp;"_"&amp;COUNTIF($G$3:G286,G286)</f>
        <v>#N/A</v>
      </c>
      <c r="C286" s="432">
        <v>2024</v>
      </c>
      <c r="D286" s="432">
        <f>Introduction!$D$7</f>
        <v>0</v>
      </c>
      <c r="E286" s="432">
        <f>Introduction!$D$8</f>
        <v>0</v>
      </c>
      <c r="F286" s="432" t="s">
        <v>558</v>
      </c>
      <c r="G286" s="432" t="s">
        <v>558</v>
      </c>
      <c r="H286" s="433"/>
      <c r="I286" s="434" t="str">
        <f>'Supply chain'!B39</f>
        <v>Manufacturing</v>
      </c>
      <c r="J286" s="434">
        <f>'Supply chain'!C39</f>
        <v>21</v>
      </c>
      <c r="K286" s="434" t="str">
        <f>'Supply chain'!D39</f>
        <v xml:space="preserve">Basic pharmaceutical products and pharmaceutical preparations          </v>
      </c>
      <c r="L286" s="434" t="str">
        <f>'Supply chain'!E39</f>
        <v>Tier 1</v>
      </c>
      <c r="M286" s="434">
        <f>'Supply chain'!F39</f>
        <v>0.25</v>
      </c>
      <c r="N286" s="434">
        <f>'Supply chain'!G39</f>
        <v>0</v>
      </c>
      <c r="O286" s="434" t="str">
        <f>'Supply chain'!H39</f>
        <v>£</v>
      </c>
      <c r="P286" s="434">
        <f>'Supply chain'!I39</f>
        <v>0</v>
      </c>
      <c r="Q286" s="434" t="str">
        <f>'Supply chain'!J39</f>
        <v>£</v>
      </c>
      <c r="R286" s="434">
        <f>'Supply chain'!K39</f>
        <v>0.62099518156965727</v>
      </c>
      <c r="S286" s="434" t="str">
        <f>'Supply chain'!L39</f>
        <v/>
      </c>
      <c r="T286" s="434">
        <f>'Supply chain'!M39</f>
        <v>0</v>
      </c>
      <c r="U286" s="434">
        <f>'Supply chain'!N39</f>
        <v>0</v>
      </c>
      <c r="V286" s="434">
        <f>'Supply chain'!O39</f>
        <v>0</v>
      </c>
      <c r="W286" s="434">
        <f>'Supply chain'!P39</f>
        <v>0</v>
      </c>
      <c r="X286" s="434">
        <f>'Supply chain'!Q39</f>
        <v>0</v>
      </c>
      <c r="Y286" s="434">
        <f>'Supply chain'!R39</f>
        <v>0</v>
      </c>
      <c r="Z286" s="434">
        <f>'Supply chain'!S39</f>
        <v>0</v>
      </c>
      <c r="AA286" s="434">
        <f>'Supply chain'!T39</f>
        <v>0</v>
      </c>
      <c r="AB286" s="434">
        <f>'Supply chain'!U39</f>
        <v>0</v>
      </c>
      <c r="AC286" s="434">
        <f>'Supply chain'!V39</f>
        <v>0</v>
      </c>
      <c r="AE286" s="432">
        <f t="shared" si="12"/>
        <v>0</v>
      </c>
      <c r="AF286" s="432">
        <f t="shared" si="13"/>
        <v>0</v>
      </c>
    </row>
    <row r="287" spans="2:32" x14ac:dyDescent="0.35">
      <c r="B287" s="432" t="e">
        <f>"2024"&amp;MATCH(Totals!D287,OrgType,0)&amp;"_"&amp;MATCH(Totals!E287,Organisations,0)&amp;"_"&amp;LEFT(Totals!F287,1)&amp;"_"&amp;LEFT(G287,1)&amp;"_"&amp;COUNTIF($G$3:G287,G287)</f>
        <v>#N/A</v>
      </c>
      <c r="C287" s="432">
        <v>2024</v>
      </c>
      <c r="D287" s="432">
        <f>Introduction!$D$7</f>
        <v>0</v>
      </c>
      <c r="E287" s="432">
        <f>Introduction!$D$8</f>
        <v>0</v>
      </c>
      <c r="F287" s="432" t="s">
        <v>558</v>
      </c>
      <c r="G287" s="432" t="s">
        <v>558</v>
      </c>
      <c r="H287" s="433"/>
      <c r="I287" s="434" t="str">
        <f>'Supply chain'!B40</f>
        <v>Manufacturing</v>
      </c>
      <c r="J287" s="434">
        <f>'Supply chain'!C40</f>
        <v>22</v>
      </c>
      <c r="K287" s="434" t="str">
        <f>'Supply chain'!D40</f>
        <v xml:space="preserve">Rubber and plastic products            </v>
      </c>
      <c r="L287" s="434" t="str">
        <f>'Supply chain'!E40</f>
        <v>Tier 1</v>
      </c>
      <c r="M287" s="434">
        <f>'Supply chain'!F40</f>
        <v>0.25</v>
      </c>
      <c r="N287" s="434">
        <f>'Supply chain'!G40</f>
        <v>0</v>
      </c>
      <c r="O287" s="434" t="str">
        <f>'Supply chain'!H40</f>
        <v>£</v>
      </c>
      <c r="P287" s="434">
        <f>'Supply chain'!I40</f>
        <v>0</v>
      </c>
      <c r="Q287" s="434" t="str">
        <f>'Supply chain'!J40</f>
        <v>£</v>
      </c>
      <c r="R287" s="434">
        <f>'Supply chain'!K40</f>
        <v>0.57621788964022036</v>
      </c>
      <c r="S287" s="434" t="str">
        <f>'Supply chain'!L40</f>
        <v/>
      </c>
      <c r="T287" s="434">
        <f>'Supply chain'!M40</f>
        <v>0</v>
      </c>
      <c r="U287" s="434">
        <f>'Supply chain'!N40</f>
        <v>0</v>
      </c>
      <c r="V287" s="434">
        <f>'Supply chain'!O40</f>
        <v>0</v>
      </c>
      <c r="W287" s="434">
        <f>'Supply chain'!P40</f>
        <v>0</v>
      </c>
      <c r="X287" s="434">
        <f>'Supply chain'!Q40</f>
        <v>0</v>
      </c>
      <c r="Y287" s="434">
        <f>'Supply chain'!R40</f>
        <v>0</v>
      </c>
      <c r="Z287" s="434">
        <f>'Supply chain'!S40</f>
        <v>0</v>
      </c>
      <c r="AA287" s="434">
        <f>'Supply chain'!T40</f>
        <v>0</v>
      </c>
      <c r="AB287" s="434">
        <f>'Supply chain'!U40</f>
        <v>0</v>
      </c>
      <c r="AC287" s="434">
        <f>'Supply chain'!V40</f>
        <v>0</v>
      </c>
      <c r="AE287" s="432">
        <f t="shared" si="12"/>
        <v>0</v>
      </c>
      <c r="AF287" s="432">
        <f t="shared" si="13"/>
        <v>0</v>
      </c>
    </row>
    <row r="288" spans="2:32" x14ac:dyDescent="0.35">
      <c r="B288" s="432" t="e">
        <f>"2024"&amp;MATCH(Totals!D288,OrgType,0)&amp;"_"&amp;MATCH(Totals!E288,Organisations,0)&amp;"_"&amp;LEFT(Totals!F288,1)&amp;"_"&amp;LEFT(G288,1)&amp;"_"&amp;COUNTIF($G$3:G288,G288)</f>
        <v>#N/A</v>
      </c>
      <c r="C288" s="432">
        <v>2024</v>
      </c>
      <c r="D288" s="432">
        <f>Introduction!$D$7</f>
        <v>0</v>
      </c>
      <c r="E288" s="432">
        <f>Introduction!$D$8</f>
        <v>0</v>
      </c>
      <c r="F288" s="432" t="s">
        <v>558</v>
      </c>
      <c r="G288" s="432" t="s">
        <v>558</v>
      </c>
      <c r="H288" s="433"/>
      <c r="I288" s="434" t="str">
        <f>'Supply chain'!B41</f>
        <v>Manufacturing</v>
      </c>
      <c r="J288" s="434" t="str">
        <f>'Supply chain'!C41</f>
        <v>23.5-6</v>
      </c>
      <c r="K288" s="434" t="str">
        <f>'Supply chain'!D41</f>
        <v xml:space="preserve">Cement, lime, plaster and articles of concrete, cement and plaster </v>
      </c>
      <c r="L288" s="434" t="str">
        <f>'Supply chain'!E41</f>
        <v>Tier 1</v>
      </c>
      <c r="M288" s="434">
        <f>'Supply chain'!F41</f>
        <v>0.25</v>
      </c>
      <c r="N288" s="434">
        <f>'Supply chain'!G41</f>
        <v>0</v>
      </c>
      <c r="O288" s="434" t="str">
        <f>'Supply chain'!H41</f>
        <v>£</v>
      </c>
      <c r="P288" s="434">
        <f>'Supply chain'!I41</f>
        <v>0</v>
      </c>
      <c r="Q288" s="434" t="str">
        <f>'Supply chain'!J41</f>
        <v>£</v>
      </c>
      <c r="R288" s="434">
        <f>'Supply chain'!K41</f>
        <v>1.088232931909098</v>
      </c>
      <c r="S288" s="434" t="str">
        <f>'Supply chain'!L41</f>
        <v/>
      </c>
      <c r="T288" s="434">
        <f>'Supply chain'!M41</f>
        <v>0</v>
      </c>
      <c r="U288" s="434">
        <f>'Supply chain'!N41</f>
        <v>0</v>
      </c>
      <c r="V288" s="434">
        <f>'Supply chain'!O41</f>
        <v>0</v>
      </c>
      <c r="W288" s="434">
        <f>'Supply chain'!P41</f>
        <v>0</v>
      </c>
      <c r="X288" s="434">
        <f>'Supply chain'!Q41</f>
        <v>0</v>
      </c>
      <c r="Y288" s="434">
        <f>'Supply chain'!R41</f>
        <v>0</v>
      </c>
      <c r="Z288" s="434">
        <f>'Supply chain'!S41</f>
        <v>0</v>
      </c>
      <c r="AA288" s="434">
        <f>'Supply chain'!T41</f>
        <v>0</v>
      </c>
      <c r="AB288" s="434">
        <f>'Supply chain'!U41</f>
        <v>0</v>
      </c>
      <c r="AC288" s="434">
        <f>'Supply chain'!V41</f>
        <v>0</v>
      </c>
      <c r="AE288" s="432">
        <f t="shared" si="12"/>
        <v>0</v>
      </c>
      <c r="AF288" s="432">
        <f t="shared" si="13"/>
        <v>0</v>
      </c>
    </row>
    <row r="289" spans="2:32" x14ac:dyDescent="0.35">
      <c r="B289" s="432" t="e">
        <f>"2024"&amp;MATCH(Totals!D289,OrgType,0)&amp;"_"&amp;MATCH(Totals!E289,Organisations,0)&amp;"_"&amp;LEFT(Totals!F289,1)&amp;"_"&amp;LEFT(G289,1)&amp;"_"&amp;COUNTIF($G$3:G289,G289)</f>
        <v>#N/A</v>
      </c>
      <c r="C289" s="432">
        <v>2024</v>
      </c>
      <c r="D289" s="432">
        <f>Introduction!$D$7</f>
        <v>0</v>
      </c>
      <c r="E289" s="432">
        <f>Introduction!$D$8</f>
        <v>0</v>
      </c>
      <c r="F289" s="432" t="s">
        <v>558</v>
      </c>
      <c r="G289" s="432" t="s">
        <v>558</v>
      </c>
      <c r="H289" s="433"/>
      <c r="I289" s="434" t="str">
        <f>'Supply chain'!B42</f>
        <v>Manufacturing</v>
      </c>
      <c r="J289" s="434" t="str">
        <f>'Supply chain'!C42</f>
        <v>23OTHER</v>
      </c>
      <c r="K289" s="434" t="str">
        <f>'Supply chain'!D42</f>
        <v xml:space="preserve">Glass, refractory, clay, other porcelain and ceramic, stone and abrasive products - 23.1-4/7-9   </v>
      </c>
      <c r="L289" s="434" t="str">
        <f>'Supply chain'!E42</f>
        <v>Tier 1</v>
      </c>
      <c r="M289" s="434">
        <f>'Supply chain'!F42</f>
        <v>0.25</v>
      </c>
      <c r="N289" s="434">
        <f>'Supply chain'!G42</f>
        <v>0</v>
      </c>
      <c r="O289" s="434" t="str">
        <f>'Supply chain'!H42</f>
        <v>£</v>
      </c>
      <c r="P289" s="434">
        <f>'Supply chain'!I42</f>
        <v>0</v>
      </c>
      <c r="Q289" s="434" t="str">
        <f>'Supply chain'!J42</f>
        <v>£</v>
      </c>
      <c r="R289" s="434">
        <f>'Supply chain'!K42</f>
        <v>1.202877205736401</v>
      </c>
      <c r="S289" s="434" t="str">
        <f>'Supply chain'!L42</f>
        <v/>
      </c>
      <c r="T289" s="434">
        <f>'Supply chain'!M42</f>
        <v>0</v>
      </c>
      <c r="U289" s="434">
        <f>'Supply chain'!N42</f>
        <v>0</v>
      </c>
      <c r="V289" s="434">
        <f>'Supply chain'!O42</f>
        <v>0</v>
      </c>
      <c r="W289" s="434">
        <f>'Supply chain'!P42</f>
        <v>0</v>
      </c>
      <c r="X289" s="434">
        <f>'Supply chain'!Q42</f>
        <v>0</v>
      </c>
      <c r="Y289" s="434">
        <f>'Supply chain'!R42</f>
        <v>0</v>
      </c>
      <c r="Z289" s="434">
        <f>'Supply chain'!S42</f>
        <v>0</v>
      </c>
      <c r="AA289" s="434">
        <f>'Supply chain'!T42</f>
        <v>0</v>
      </c>
      <c r="AB289" s="434">
        <f>'Supply chain'!U42</f>
        <v>0</v>
      </c>
      <c r="AC289" s="434">
        <f>'Supply chain'!V42</f>
        <v>0</v>
      </c>
      <c r="AE289" s="432">
        <f t="shared" si="12"/>
        <v>0</v>
      </c>
      <c r="AF289" s="432">
        <f t="shared" si="13"/>
        <v>0</v>
      </c>
    </row>
    <row r="290" spans="2:32" x14ac:dyDescent="0.35">
      <c r="B290" s="432" t="e">
        <f>"2024"&amp;MATCH(Totals!D290,OrgType,0)&amp;"_"&amp;MATCH(Totals!E290,Organisations,0)&amp;"_"&amp;LEFT(Totals!F290,1)&amp;"_"&amp;LEFT(G290,1)&amp;"_"&amp;COUNTIF($G$3:G290,G290)</f>
        <v>#N/A</v>
      </c>
      <c r="C290" s="432">
        <v>2024</v>
      </c>
      <c r="D290" s="432">
        <f>Introduction!$D$7</f>
        <v>0</v>
      </c>
      <c r="E290" s="432">
        <f>Introduction!$D$8</f>
        <v>0</v>
      </c>
      <c r="F290" s="432" t="s">
        <v>558</v>
      </c>
      <c r="G290" s="432" t="s">
        <v>558</v>
      </c>
      <c r="H290" s="433"/>
      <c r="I290" s="434" t="str">
        <f>'Supply chain'!B43</f>
        <v>Manufacturing</v>
      </c>
      <c r="J290" s="434" t="str">
        <f>'Supply chain'!C43</f>
        <v>24.1-3</v>
      </c>
      <c r="K290" s="434" t="str">
        <f>'Supply chain'!D43</f>
        <v xml:space="preserve">Basic iron and steel            </v>
      </c>
      <c r="L290" s="434" t="str">
        <f>'Supply chain'!E43</f>
        <v>Tier 1</v>
      </c>
      <c r="M290" s="434">
        <f>'Supply chain'!F43</f>
        <v>0.25</v>
      </c>
      <c r="N290" s="434">
        <f>'Supply chain'!G43</f>
        <v>0</v>
      </c>
      <c r="O290" s="434" t="str">
        <f>'Supply chain'!H43</f>
        <v>£</v>
      </c>
      <c r="P290" s="434">
        <f>'Supply chain'!I43</f>
        <v>0</v>
      </c>
      <c r="Q290" s="434" t="str">
        <f>'Supply chain'!J43</f>
        <v>£</v>
      </c>
      <c r="R290" s="434">
        <f>'Supply chain'!K43</f>
        <v>1.409849740055845</v>
      </c>
      <c r="S290" s="434" t="str">
        <f>'Supply chain'!L43</f>
        <v/>
      </c>
      <c r="T290" s="434">
        <f>'Supply chain'!M43</f>
        <v>0</v>
      </c>
      <c r="U290" s="434">
        <f>'Supply chain'!N43</f>
        <v>0</v>
      </c>
      <c r="V290" s="434">
        <f>'Supply chain'!O43</f>
        <v>0</v>
      </c>
      <c r="W290" s="434">
        <f>'Supply chain'!P43</f>
        <v>0</v>
      </c>
      <c r="X290" s="434">
        <f>'Supply chain'!Q43</f>
        <v>0</v>
      </c>
      <c r="Y290" s="434">
        <f>'Supply chain'!R43</f>
        <v>0</v>
      </c>
      <c r="Z290" s="434">
        <f>'Supply chain'!S43</f>
        <v>0</v>
      </c>
      <c r="AA290" s="434">
        <f>'Supply chain'!T43</f>
        <v>0</v>
      </c>
      <c r="AB290" s="434">
        <f>'Supply chain'!U43</f>
        <v>0</v>
      </c>
      <c r="AC290" s="434">
        <f>'Supply chain'!V43</f>
        <v>0</v>
      </c>
      <c r="AE290" s="432">
        <f t="shared" si="12"/>
        <v>0</v>
      </c>
      <c r="AF290" s="432">
        <f t="shared" si="13"/>
        <v>0</v>
      </c>
    </row>
    <row r="291" spans="2:32" x14ac:dyDescent="0.35">
      <c r="B291" s="432" t="e">
        <f>"2024"&amp;MATCH(Totals!D291,OrgType,0)&amp;"_"&amp;MATCH(Totals!E291,Organisations,0)&amp;"_"&amp;LEFT(Totals!F291,1)&amp;"_"&amp;LEFT(G291,1)&amp;"_"&amp;COUNTIF($G$3:G291,G291)</f>
        <v>#N/A</v>
      </c>
      <c r="C291" s="432">
        <v>2024</v>
      </c>
      <c r="D291" s="432">
        <f>Introduction!$D$7</f>
        <v>0</v>
      </c>
      <c r="E291" s="432">
        <f>Introduction!$D$8</f>
        <v>0</v>
      </c>
      <c r="F291" s="432" t="s">
        <v>558</v>
      </c>
      <c r="G291" s="432" t="s">
        <v>558</v>
      </c>
      <c r="H291" s="433"/>
      <c r="I291" s="434" t="str">
        <f>'Supply chain'!B44</f>
        <v>Manufacturing</v>
      </c>
      <c r="J291" s="434" t="str">
        <f>'Supply chain'!C44</f>
        <v>24.4-5</v>
      </c>
      <c r="K291" s="434" t="str">
        <f>'Supply chain'!D44</f>
        <v xml:space="preserve">Other basic metals and casting           </v>
      </c>
      <c r="L291" s="434" t="str">
        <f>'Supply chain'!E44</f>
        <v>Tier 1</v>
      </c>
      <c r="M291" s="434">
        <f>'Supply chain'!F44</f>
        <v>0.25</v>
      </c>
      <c r="N291" s="434">
        <f>'Supply chain'!G44</f>
        <v>0</v>
      </c>
      <c r="O291" s="434" t="str">
        <f>'Supply chain'!H44</f>
        <v>£</v>
      </c>
      <c r="P291" s="434">
        <f>'Supply chain'!I44</f>
        <v>0</v>
      </c>
      <c r="Q291" s="434" t="str">
        <f>'Supply chain'!J44</f>
        <v>£</v>
      </c>
      <c r="R291" s="434">
        <f>'Supply chain'!K44</f>
        <v>0.99697428708353653</v>
      </c>
      <c r="S291" s="434" t="str">
        <f>'Supply chain'!L44</f>
        <v/>
      </c>
      <c r="T291" s="434">
        <f>'Supply chain'!M44</f>
        <v>0</v>
      </c>
      <c r="U291" s="434">
        <f>'Supply chain'!N44</f>
        <v>0</v>
      </c>
      <c r="V291" s="434">
        <f>'Supply chain'!O44</f>
        <v>0</v>
      </c>
      <c r="W291" s="434">
        <f>'Supply chain'!P44</f>
        <v>0</v>
      </c>
      <c r="X291" s="434">
        <f>'Supply chain'!Q44</f>
        <v>0</v>
      </c>
      <c r="Y291" s="434">
        <f>'Supply chain'!R44</f>
        <v>0</v>
      </c>
      <c r="Z291" s="434">
        <f>'Supply chain'!S44</f>
        <v>0</v>
      </c>
      <c r="AA291" s="434">
        <f>'Supply chain'!T44</f>
        <v>0</v>
      </c>
      <c r="AB291" s="434">
        <f>'Supply chain'!U44</f>
        <v>0</v>
      </c>
      <c r="AC291" s="434">
        <f>'Supply chain'!V44</f>
        <v>0</v>
      </c>
      <c r="AE291" s="432">
        <f t="shared" si="12"/>
        <v>0</v>
      </c>
      <c r="AF291" s="432">
        <f t="shared" si="13"/>
        <v>0</v>
      </c>
    </row>
    <row r="292" spans="2:32" x14ac:dyDescent="0.35">
      <c r="B292" s="432" t="e">
        <f>"2024"&amp;MATCH(Totals!D292,OrgType,0)&amp;"_"&amp;MATCH(Totals!E292,Organisations,0)&amp;"_"&amp;LEFT(Totals!F292,1)&amp;"_"&amp;LEFT(G292,1)&amp;"_"&amp;COUNTIF($G$3:G292,G292)</f>
        <v>#N/A</v>
      </c>
      <c r="C292" s="432">
        <v>2024</v>
      </c>
      <c r="D292" s="432">
        <f>Introduction!$D$7</f>
        <v>0</v>
      </c>
      <c r="E292" s="432">
        <f>Introduction!$D$8</f>
        <v>0</v>
      </c>
      <c r="F292" s="432" t="s">
        <v>558</v>
      </c>
      <c r="G292" s="432" t="s">
        <v>558</v>
      </c>
      <c r="H292" s="433"/>
      <c r="I292" s="434" t="str">
        <f>'Supply chain'!B45</f>
        <v>Manufacturing</v>
      </c>
      <c r="J292" s="434">
        <f>'Supply chain'!C45</f>
        <v>25.4</v>
      </c>
      <c r="K292" s="434" t="str">
        <f>'Supply chain'!D45</f>
        <v xml:space="preserve">Weapons and ammunition             </v>
      </c>
      <c r="L292" s="434" t="str">
        <f>'Supply chain'!E45</f>
        <v>Tier 1</v>
      </c>
      <c r="M292" s="434">
        <f>'Supply chain'!F45</f>
        <v>0.25</v>
      </c>
      <c r="N292" s="434">
        <f>'Supply chain'!G45</f>
        <v>0</v>
      </c>
      <c r="O292" s="434" t="str">
        <f>'Supply chain'!H45</f>
        <v>£</v>
      </c>
      <c r="P292" s="434">
        <f>'Supply chain'!I45</f>
        <v>0</v>
      </c>
      <c r="Q292" s="434" t="str">
        <f>'Supply chain'!J45</f>
        <v>£</v>
      </c>
      <c r="R292" s="434">
        <f>'Supply chain'!K45</f>
        <v>0.39176343776144262</v>
      </c>
      <c r="S292" s="434" t="str">
        <f>'Supply chain'!L45</f>
        <v/>
      </c>
      <c r="T292" s="434">
        <f>'Supply chain'!M45</f>
        <v>0</v>
      </c>
      <c r="U292" s="434">
        <f>'Supply chain'!N45</f>
        <v>0</v>
      </c>
      <c r="V292" s="434">
        <f>'Supply chain'!O45</f>
        <v>0</v>
      </c>
      <c r="W292" s="434">
        <f>'Supply chain'!P45</f>
        <v>0</v>
      </c>
      <c r="X292" s="434">
        <f>'Supply chain'!Q45</f>
        <v>0</v>
      </c>
      <c r="Y292" s="434">
        <f>'Supply chain'!R45</f>
        <v>0</v>
      </c>
      <c r="Z292" s="434">
        <f>'Supply chain'!S45</f>
        <v>0</v>
      </c>
      <c r="AA292" s="434">
        <f>'Supply chain'!T45</f>
        <v>0</v>
      </c>
      <c r="AB292" s="434">
        <f>'Supply chain'!U45</f>
        <v>0</v>
      </c>
      <c r="AC292" s="434">
        <f>'Supply chain'!V45</f>
        <v>0</v>
      </c>
      <c r="AE292" s="432">
        <f t="shared" si="12"/>
        <v>0</v>
      </c>
      <c r="AF292" s="432">
        <f t="shared" si="13"/>
        <v>0</v>
      </c>
    </row>
    <row r="293" spans="2:32" x14ac:dyDescent="0.35">
      <c r="B293" s="432" t="e">
        <f>"2024"&amp;MATCH(Totals!D293,OrgType,0)&amp;"_"&amp;MATCH(Totals!E293,Organisations,0)&amp;"_"&amp;LEFT(Totals!F293,1)&amp;"_"&amp;LEFT(G293,1)&amp;"_"&amp;COUNTIF($G$3:G293,G293)</f>
        <v>#N/A</v>
      </c>
      <c r="C293" s="432">
        <v>2024</v>
      </c>
      <c r="D293" s="432">
        <f>Introduction!$D$7</f>
        <v>0</v>
      </c>
      <c r="E293" s="432">
        <f>Introduction!$D$8</f>
        <v>0</v>
      </c>
      <c r="F293" s="432" t="s">
        <v>558</v>
      </c>
      <c r="G293" s="432" t="s">
        <v>558</v>
      </c>
      <c r="H293" s="433"/>
      <c r="I293" s="434" t="str">
        <f>'Supply chain'!B46</f>
        <v>Manufacturing</v>
      </c>
      <c r="J293" s="434" t="str">
        <f>'Supply chain'!C46</f>
        <v>25OTHER</v>
      </c>
      <c r="K293" s="434" t="str">
        <f>'Supply chain'!D46</f>
        <v xml:space="preserve">Fabricated metal products, excl. machinery and equipment and weapons &amp; ammunition - 25.1-3/25.5-9   </v>
      </c>
      <c r="L293" s="434" t="str">
        <f>'Supply chain'!E46</f>
        <v>Tier 1</v>
      </c>
      <c r="M293" s="434">
        <f>'Supply chain'!F46</f>
        <v>0.25</v>
      </c>
      <c r="N293" s="434">
        <f>'Supply chain'!G46</f>
        <v>0</v>
      </c>
      <c r="O293" s="434" t="str">
        <f>'Supply chain'!H46</f>
        <v>£</v>
      </c>
      <c r="P293" s="434">
        <f>'Supply chain'!I46</f>
        <v>0</v>
      </c>
      <c r="Q293" s="434" t="str">
        <f>'Supply chain'!J46</f>
        <v>£</v>
      </c>
      <c r="R293" s="434">
        <f>'Supply chain'!K46</f>
        <v>0.45904169551503349</v>
      </c>
      <c r="S293" s="434" t="str">
        <f>'Supply chain'!L46</f>
        <v/>
      </c>
      <c r="T293" s="434">
        <f>'Supply chain'!M46</f>
        <v>0</v>
      </c>
      <c r="U293" s="434">
        <f>'Supply chain'!N46</f>
        <v>0</v>
      </c>
      <c r="V293" s="434">
        <f>'Supply chain'!O46</f>
        <v>0</v>
      </c>
      <c r="W293" s="434">
        <f>'Supply chain'!P46</f>
        <v>0</v>
      </c>
      <c r="X293" s="434">
        <f>'Supply chain'!Q46</f>
        <v>0</v>
      </c>
      <c r="Y293" s="434">
        <f>'Supply chain'!R46</f>
        <v>0</v>
      </c>
      <c r="Z293" s="434">
        <f>'Supply chain'!S46</f>
        <v>0</v>
      </c>
      <c r="AA293" s="434">
        <f>'Supply chain'!T46</f>
        <v>0</v>
      </c>
      <c r="AB293" s="434">
        <f>'Supply chain'!U46</f>
        <v>0</v>
      </c>
      <c r="AC293" s="434">
        <f>'Supply chain'!V46</f>
        <v>0</v>
      </c>
      <c r="AE293" s="432">
        <f t="shared" si="12"/>
        <v>0</v>
      </c>
      <c r="AF293" s="432">
        <f t="shared" si="13"/>
        <v>0</v>
      </c>
    </row>
    <row r="294" spans="2:32" x14ac:dyDescent="0.35">
      <c r="B294" s="432" t="e">
        <f>"2024"&amp;MATCH(Totals!D294,OrgType,0)&amp;"_"&amp;MATCH(Totals!E294,Organisations,0)&amp;"_"&amp;LEFT(Totals!F294,1)&amp;"_"&amp;LEFT(G294,1)&amp;"_"&amp;COUNTIF($G$3:G294,G294)</f>
        <v>#N/A</v>
      </c>
      <c r="C294" s="432">
        <v>2024</v>
      </c>
      <c r="D294" s="432">
        <f>Introduction!$D$7</f>
        <v>0</v>
      </c>
      <c r="E294" s="432">
        <f>Introduction!$D$8</f>
        <v>0</v>
      </c>
      <c r="F294" s="432" t="s">
        <v>558</v>
      </c>
      <c r="G294" s="432" t="s">
        <v>558</v>
      </c>
      <c r="H294" s="433"/>
      <c r="I294" s="434" t="str">
        <f>'Supply chain'!B47</f>
        <v>Manufacturing</v>
      </c>
      <c r="J294" s="434">
        <f>'Supply chain'!C47</f>
        <v>26</v>
      </c>
      <c r="K294" s="434" t="str">
        <f>'Supply chain'!D47</f>
        <v xml:space="preserve">Computer, electronic and optical products           </v>
      </c>
      <c r="L294" s="434" t="str">
        <f>'Supply chain'!E47</f>
        <v>Tier 1</v>
      </c>
      <c r="M294" s="434">
        <f>'Supply chain'!F47</f>
        <v>0.25</v>
      </c>
      <c r="N294" s="434">
        <f>'Supply chain'!G47</f>
        <v>0</v>
      </c>
      <c r="O294" s="434" t="str">
        <f>'Supply chain'!H47</f>
        <v>£</v>
      </c>
      <c r="P294" s="434">
        <f>'Supply chain'!I47</f>
        <v>0</v>
      </c>
      <c r="Q294" s="434" t="str">
        <f>'Supply chain'!J47</f>
        <v>£</v>
      </c>
      <c r="R294" s="434">
        <f>'Supply chain'!K47</f>
        <v>0.38174938765811312</v>
      </c>
      <c r="S294" s="434" t="str">
        <f>'Supply chain'!L47</f>
        <v/>
      </c>
      <c r="T294" s="434">
        <f>'Supply chain'!M47</f>
        <v>0</v>
      </c>
      <c r="U294" s="434">
        <f>'Supply chain'!N47</f>
        <v>0</v>
      </c>
      <c r="V294" s="434">
        <f>'Supply chain'!O47</f>
        <v>0</v>
      </c>
      <c r="W294" s="434">
        <f>'Supply chain'!P47</f>
        <v>0</v>
      </c>
      <c r="X294" s="434">
        <f>'Supply chain'!Q47</f>
        <v>0</v>
      </c>
      <c r="Y294" s="434">
        <f>'Supply chain'!R47</f>
        <v>0</v>
      </c>
      <c r="Z294" s="434">
        <f>'Supply chain'!S47</f>
        <v>0</v>
      </c>
      <c r="AA294" s="434">
        <f>'Supply chain'!T47</f>
        <v>0</v>
      </c>
      <c r="AB294" s="434">
        <f>'Supply chain'!U47</f>
        <v>0</v>
      </c>
      <c r="AC294" s="434">
        <f>'Supply chain'!V47</f>
        <v>0</v>
      </c>
      <c r="AE294" s="432">
        <f t="shared" si="12"/>
        <v>0</v>
      </c>
      <c r="AF294" s="432">
        <f t="shared" si="13"/>
        <v>0</v>
      </c>
    </row>
    <row r="295" spans="2:32" x14ac:dyDescent="0.35">
      <c r="B295" s="432" t="e">
        <f>"2024"&amp;MATCH(Totals!D295,OrgType,0)&amp;"_"&amp;MATCH(Totals!E295,Organisations,0)&amp;"_"&amp;LEFT(Totals!F295,1)&amp;"_"&amp;LEFT(G295,1)&amp;"_"&amp;COUNTIF($G$3:G295,G295)</f>
        <v>#N/A</v>
      </c>
      <c r="C295" s="432">
        <v>2024</v>
      </c>
      <c r="D295" s="432">
        <f>Introduction!$D$7</f>
        <v>0</v>
      </c>
      <c r="E295" s="432">
        <f>Introduction!$D$8</f>
        <v>0</v>
      </c>
      <c r="F295" s="432" t="s">
        <v>558</v>
      </c>
      <c r="G295" s="432" t="s">
        <v>558</v>
      </c>
      <c r="H295" s="433"/>
      <c r="I295" s="434" t="str">
        <f>'Supply chain'!B48</f>
        <v>Manufacturing</v>
      </c>
      <c r="J295" s="434">
        <f>'Supply chain'!C48</f>
        <v>27</v>
      </c>
      <c r="K295" s="434" t="str">
        <f>'Supply chain'!D48</f>
        <v xml:space="preserve">Electrical equipment              </v>
      </c>
      <c r="L295" s="434" t="str">
        <f>'Supply chain'!E48</f>
        <v>Tier 1</v>
      </c>
      <c r="M295" s="434">
        <f>'Supply chain'!F48</f>
        <v>0.25</v>
      </c>
      <c r="N295" s="434">
        <f>'Supply chain'!G48</f>
        <v>0</v>
      </c>
      <c r="O295" s="434" t="str">
        <f>'Supply chain'!H48</f>
        <v>£</v>
      </c>
      <c r="P295" s="434">
        <f>'Supply chain'!I48</f>
        <v>0</v>
      </c>
      <c r="Q295" s="434" t="str">
        <f>'Supply chain'!J48</f>
        <v>£</v>
      </c>
      <c r="R295" s="434">
        <f>'Supply chain'!K48</f>
        <v>0.49523640333923419</v>
      </c>
      <c r="S295" s="434" t="str">
        <f>'Supply chain'!L48</f>
        <v/>
      </c>
      <c r="T295" s="434">
        <f>'Supply chain'!M48</f>
        <v>0</v>
      </c>
      <c r="U295" s="434">
        <f>'Supply chain'!N48</f>
        <v>0</v>
      </c>
      <c r="V295" s="434">
        <f>'Supply chain'!O48</f>
        <v>0</v>
      </c>
      <c r="W295" s="434">
        <f>'Supply chain'!P48</f>
        <v>0</v>
      </c>
      <c r="X295" s="434">
        <f>'Supply chain'!Q48</f>
        <v>0</v>
      </c>
      <c r="Y295" s="434">
        <f>'Supply chain'!R48</f>
        <v>0</v>
      </c>
      <c r="Z295" s="434">
        <f>'Supply chain'!S48</f>
        <v>0</v>
      </c>
      <c r="AA295" s="434">
        <f>'Supply chain'!T48</f>
        <v>0</v>
      </c>
      <c r="AB295" s="434">
        <f>'Supply chain'!U48</f>
        <v>0</v>
      </c>
      <c r="AC295" s="434">
        <f>'Supply chain'!V48</f>
        <v>0</v>
      </c>
      <c r="AE295" s="432">
        <f t="shared" si="12"/>
        <v>0</v>
      </c>
      <c r="AF295" s="432">
        <f t="shared" si="13"/>
        <v>0</v>
      </c>
    </row>
    <row r="296" spans="2:32" x14ac:dyDescent="0.35">
      <c r="B296" s="432" t="e">
        <f>"2024"&amp;MATCH(Totals!D296,OrgType,0)&amp;"_"&amp;MATCH(Totals!E296,Organisations,0)&amp;"_"&amp;LEFT(Totals!F296,1)&amp;"_"&amp;LEFT(G296,1)&amp;"_"&amp;COUNTIF($G$3:G296,G296)</f>
        <v>#N/A</v>
      </c>
      <c r="C296" s="432">
        <v>2024</v>
      </c>
      <c r="D296" s="432">
        <f>Introduction!$D$7</f>
        <v>0</v>
      </c>
      <c r="E296" s="432">
        <f>Introduction!$D$8</f>
        <v>0</v>
      </c>
      <c r="F296" s="432" t="s">
        <v>558</v>
      </c>
      <c r="G296" s="432" t="s">
        <v>558</v>
      </c>
      <c r="H296" s="433"/>
      <c r="I296" s="434" t="str">
        <f>'Supply chain'!B49</f>
        <v>Manufacturing</v>
      </c>
      <c r="J296" s="434">
        <f>'Supply chain'!C49</f>
        <v>28</v>
      </c>
      <c r="K296" s="434" t="str">
        <f>'Supply chain'!D49</f>
        <v xml:space="preserve">Machinery and equipment n.e.c.            </v>
      </c>
      <c r="L296" s="434" t="str">
        <f>'Supply chain'!E49</f>
        <v>Tier 1</v>
      </c>
      <c r="M296" s="434">
        <f>'Supply chain'!F49</f>
        <v>0.25</v>
      </c>
      <c r="N296" s="434">
        <f>'Supply chain'!G49</f>
        <v>0</v>
      </c>
      <c r="O296" s="434" t="str">
        <f>'Supply chain'!H49</f>
        <v>£</v>
      </c>
      <c r="P296" s="434">
        <f>'Supply chain'!I49</f>
        <v>0</v>
      </c>
      <c r="Q296" s="434" t="str">
        <f>'Supply chain'!J49</f>
        <v>£</v>
      </c>
      <c r="R296" s="434">
        <f>'Supply chain'!K49</f>
        <v>0.33561667817643598</v>
      </c>
      <c r="S296" s="434" t="str">
        <f>'Supply chain'!L49</f>
        <v/>
      </c>
      <c r="T296" s="434">
        <f>'Supply chain'!M49</f>
        <v>0</v>
      </c>
      <c r="U296" s="434">
        <f>'Supply chain'!N49</f>
        <v>0</v>
      </c>
      <c r="V296" s="434">
        <f>'Supply chain'!O49</f>
        <v>0</v>
      </c>
      <c r="W296" s="434">
        <f>'Supply chain'!P49</f>
        <v>0</v>
      </c>
      <c r="X296" s="434">
        <f>'Supply chain'!Q49</f>
        <v>0</v>
      </c>
      <c r="Y296" s="434">
        <f>'Supply chain'!R49</f>
        <v>0</v>
      </c>
      <c r="Z296" s="434">
        <f>'Supply chain'!S49</f>
        <v>0</v>
      </c>
      <c r="AA296" s="434">
        <f>'Supply chain'!T49</f>
        <v>0</v>
      </c>
      <c r="AB296" s="434">
        <f>'Supply chain'!U49</f>
        <v>0</v>
      </c>
      <c r="AC296" s="434">
        <f>'Supply chain'!V49</f>
        <v>0</v>
      </c>
      <c r="AE296" s="432">
        <f t="shared" si="12"/>
        <v>0</v>
      </c>
      <c r="AF296" s="432">
        <f t="shared" si="13"/>
        <v>0</v>
      </c>
    </row>
    <row r="297" spans="2:32" x14ac:dyDescent="0.35">
      <c r="B297" s="432" t="e">
        <f>"2024"&amp;MATCH(Totals!D297,OrgType,0)&amp;"_"&amp;MATCH(Totals!E297,Organisations,0)&amp;"_"&amp;LEFT(Totals!F297,1)&amp;"_"&amp;LEFT(G297,1)&amp;"_"&amp;COUNTIF($G$3:G297,G297)</f>
        <v>#N/A</v>
      </c>
      <c r="C297" s="432">
        <v>2024</v>
      </c>
      <c r="D297" s="432">
        <f>Introduction!$D$7</f>
        <v>0</v>
      </c>
      <c r="E297" s="432">
        <f>Introduction!$D$8</f>
        <v>0</v>
      </c>
      <c r="F297" s="432" t="s">
        <v>558</v>
      </c>
      <c r="G297" s="432" t="s">
        <v>558</v>
      </c>
      <c r="H297" s="433"/>
      <c r="I297" s="434" t="str">
        <f>'Supply chain'!B50</f>
        <v>Manufacturing</v>
      </c>
      <c r="J297" s="434">
        <f>'Supply chain'!C50</f>
        <v>29</v>
      </c>
      <c r="K297" s="434" t="str">
        <f>'Supply chain'!D50</f>
        <v xml:space="preserve">Motor vehicles, trailers and semi-trailers           </v>
      </c>
      <c r="L297" s="434" t="str">
        <f>'Supply chain'!E50</f>
        <v>Tier 1</v>
      </c>
      <c r="M297" s="434">
        <f>'Supply chain'!F50</f>
        <v>0.25</v>
      </c>
      <c r="N297" s="434">
        <f>'Supply chain'!G50</f>
        <v>0</v>
      </c>
      <c r="O297" s="434" t="str">
        <f>'Supply chain'!H50</f>
        <v>£</v>
      </c>
      <c r="P297" s="434">
        <f>'Supply chain'!I50</f>
        <v>0</v>
      </c>
      <c r="Q297" s="434" t="str">
        <f>'Supply chain'!J50</f>
        <v>£</v>
      </c>
      <c r="R297" s="434">
        <f>'Supply chain'!K50</f>
        <v>0.35851447470468079</v>
      </c>
      <c r="S297" s="434" t="str">
        <f>'Supply chain'!L50</f>
        <v/>
      </c>
      <c r="T297" s="434">
        <f>'Supply chain'!M50</f>
        <v>0</v>
      </c>
      <c r="U297" s="434">
        <f>'Supply chain'!N50</f>
        <v>0</v>
      </c>
      <c r="V297" s="434">
        <f>'Supply chain'!O50</f>
        <v>0</v>
      </c>
      <c r="W297" s="434">
        <f>'Supply chain'!P50</f>
        <v>0</v>
      </c>
      <c r="X297" s="434">
        <f>'Supply chain'!Q50</f>
        <v>0</v>
      </c>
      <c r="Y297" s="434">
        <f>'Supply chain'!R50</f>
        <v>0</v>
      </c>
      <c r="Z297" s="434">
        <f>'Supply chain'!S50</f>
        <v>0</v>
      </c>
      <c r="AA297" s="434">
        <f>'Supply chain'!T50</f>
        <v>0</v>
      </c>
      <c r="AB297" s="434">
        <f>'Supply chain'!U50</f>
        <v>0</v>
      </c>
      <c r="AC297" s="434">
        <f>'Supply chain'!V50</f>
        <v>0</v>
      </c>
      <c r="AE297" s="432">
        <f t="shared" si="12"/>
        <v>0</v>
      </c>
      <c r="AF297" s="432">
        <f t="shared" si="13"/>
        <v>0</v>
      </c>
    </row>
    <row r="298" spans="2:32" x14ac:dyDescent="0.35">
      <c r="B298" s="432" t="e">
        <f>"2024"&amp;MATCH(Totals!D298,OrgType,0)&amp;"_"&amp;MATCH(Totals!E298,Organisations,0)&amp;"_"&amp;LEFT(Totals!F298,1)&amp;"_"&amp;LEFT(G298,1)&amp;"_"&amp;COUNTIF($G$3:G298,G298)</f>
        <v>#N/A</v>
      </c>
      <c r="C298" s="432">
        <v>2024</v>
      </c>
      <c r="D298" s="432">
        <f>Introduction!$D$7</f>
        <v>0</v>
      </c>
      <c r="E298" s="432">
        <f>Introduction!$D$8</f>
        <v>0</v>
      </c>
      <c r="F298" s="432" t="s">
        <v>558</v>
      </c>
      <c r="G298" s="432" t="s">
        <v>558</v>
      </c>
      <c r="H298" s="433"/>
      <c r="I298" s="434" t="str">
        <f>'Supply chain'!B51</f>
        <v>Manufacturing</v>
      </c>
      <c r="J298" s="434">
        <f>'Supply chain'!C51</f>
        <v>30.1</v>
      </c>
      <c r="K298" s="434" t="str">
        <f>'Supply chain'!D51</f>
        <v xml:space="preserve">Ships and boats             </v>
      </c>
      <c r="L298" s="434" t="str">
        <f>'Supply chain'!E51</f>
        <v>Tier 1</v>
      </c>
      <c r="M298" s="434">
        <f>'Supply chain'!F51</f>
        <v>0.25</v>
      </c>
      <c r="N298" s="434">
        <f>'Supply chain'!G51</f>
        <v>0</v>
      </c>
      <c r="O298" s="434" t="str">
        <f>'Supply chain'!H51</f>
        <v>£</v>
      </c>
      <c r="P298" s="434">
        <f>'Supply chain'!I51</f>
        <v>0</v>
      </c>
      <c r="Q298" s="434" t="str">
        <f>'Supply chain'!J51</f>
        <v>£</v>
      </c>
      <c r="R298" s="434">
        <f>'Supply chain'!K51</f>
        <v>0.1324048866352083</v>
      </c>
      <c r="S298" s="434" t="str">
        <f>'Supply chain'!L51</f>
        <v/>
      </c>
      <c r="T298" s="434">
        <f>'Supply chain'!M51</f>
        <v>0</v>
      </c>
      <c r="U298" s="434">
        <f>'Supply chain'!N51</f>
        <v>0</v>
      </c>
      <c r="V298" s="434">
        <f>'Supply chain'!O51</f>
        <v>0</v>
      </c>
      <c r="W298" s="434">
        <f>'Supply chain'!P51</f>
        <v>0</v>
      </c>
      <c r="X298" s="434">
        <f>'Supply chain'!Q51</f>
        <v>0</v>
      </c>
      <c r="Y298" s="434">
        <f>'Supply chain'!R51</f>
        <v>0</v>
      </c>
      <c r="Z298" s="434">
        <f>'Supply chain'!S51</f>
        <v>0</v>
      </c>
      <c r="AA298" s="434">
        <f>'Supply chain'!T51</f>
        <v>0</v>
      </c>
      <c r="AB298" s="434">
        <f>'Supply chain'!U51</f>
        <v>0</v>
      </c>
      <c r="AC298" s="434">
        <f>'Supply chain'!V51</f>
        <v>0</v>
      </c>
      <c r="AE298" s="432">
        <f t="shared" si="12"/>
        <v>0</v>
      </c>
      <c r="AF298" s="432">
        <f t="shared" si="13"/>
        <v>0</v>
      </c>
    </row>
    <row r="299" spans="2:32" x14ac:dyDescent="0.35">
      <c r="B299" s="432" t="e">
        <f>"2024"&amp;MATCH(Totals!D299,OrgType,0)&amp;"_"&amp;MATCH(Totals!E299,Organisations,0)&amp;"_"&amp;LEFT(Totals!F299,1)&amp;"_"&amp;LEFT(G299,1)&amp;"_"&amp;COUNTIF($G$3:G299,G299)</f>
        <v>#N/A</v>
      </c>
      <c r="C299" s="432">
        <v>2024</v>
      </c>
      <c r="D299" s="432">
        <f>Introduction!$D$7</f>
        <v>0</v>
      </c>
      <c r="E299" s="432">
        <f>Introduction!$D$8</f>
        <v>0</v>
      </c>
      <c r="F299" s="432" t="s">
        <v>558</v>
      </c>
      <c r="G299" s="432" t="s">
        <v>558</v>
      </c>
      <c r="H299" s="433"/>
      <c r="I299" s="434" t="str">
        <f>'Supply chain'!B52</f>
        <v>Manufacturing</v>
      </c>
      <c r="J299" s="434">
        <f>'Supply chain'!C52</f>
        <v>30.3</v>
      </c>
      <c r="K299" s="434" t="str">
        <f>'Supply chain'!D52</f>
        <v xml:space="preserve">Air and spacecraft and related machinery          </v>
      </c>
      <c r="L299" s="434" t="str">
        <f>'Supply chain'!E52</f>
        <v>Tier 1</v>
      </c>
      <c r="M299" s="434">
        <f>'Supply chain'!F52</f>
        <v>0.25</v>
      </c>
      <c r="N299" s="434">
        <f>'Supply chain'!G52</f>
        <v>0</v>
      </c>
      <c r="O299" s="434" t="str">
        <f>'Supply chain'!H52</f>
        <v>£</v>
      </c>
      <c r="P299" s="434">
        <f>'Supply chain'!I52</f>
        <v>0</v>
      </c>
      <c r="Q299" s="434" t="str">
        <f>'Supply chain'!J52</f>
        <v>£</v>
      </c>
      <c r="R299" s="434">
        <f>'Supply chain'!K52</f>
        <v>0.35920745090353567</v>
      </c>
      <c r="S299" s="434" t="str">
        <f>'Supply chain'!L52</f>
        <v/>
      </c>
      <c r="T299" s="434">
        <f>'Supply chain'!M52</f>
        <v>0</v>
      </c>
      <c r="U299" s="434">
        <f>'Supply chain'!N52</f>
        <v>0</v>
      </c>
      <c r="V299" s="434">
        <f>'Supply chain'!O52</f>
        <v>0</v>
      </c>
      <c r="W299" s="434">
        <f>'Supply chain'!P52</f>
        <v>0</v>
      </c>
      <c r="X299" s="434">
        <f>'Supply chain'!Q52</f>
        <v>0</v>
      </c>
      <c r="Y299" s="434">
        <f>'Supply chain'!R52</f>
        <v>0</v>
      </c>
      <c r="Z299" s="434">
        <f>'Supply chain'!S52</f>
        <v>0</v>
      </c>
      <c r="AA299" s="434">
        <f>'Supply chain'!T52</f>
        <v>0</v>
      </c>
      <c r="AB299" s="434">
        <f>'Supply chain'!U52</f>
        <v>0</v>
      </c>
      <c r="AC299" s="434">
        <f>'Supply chain'!V52</f>
        <v>0</v>
      </c>
      <c r="AE299" s="432">
        <f t="shared" si="12"/>
        <v>0</v>
      </c>
      <c r="AF299" s="432">
        <f t="shared" si="13"/>
        <v>0</v>
      </c>
    </row>
    <row r="300" spans="2:32" x14ac:dyDescent="0.35">
      <c r="B300" s="432" t="e">
        <f>"2024"&amp;MATCH(Totals!D300,OrgType,0)&amp;"_"&amp;MATCH(Totals!E300,Organisations,0)&amp;"_"&amp;LEFT(Totals!F300,1)&amp;"_"&amp;LEFT(G300,1)&amp;"_"&amp;COUNTIF($G$3:G300,G300)</f>
        <v>#N/A</v>
      </c>
      <c r="C300" s="432">
        <v>2024</v>
      </c>
      <c r="D300" s="432">
        <f>Introduction!$D$7</f>
        <v>0</v>
      </c>
      <c r="E300" s="432">
        <f>Introduction!$D$8</f>
        <v>0</v>
      </c>
      <c r="F300" s="432" t="s">
        <v>558</v>
      </c>
      <c r="G300" s="432" t="s">
        <v>558</v>
      </c>
      <c r="H300" s="433"/>
      <c r="I300" s="434" t="str">
        <f>'Supply chain'!B53</f>
        <v>Manufacturing</v>
      </c>
      <c r="J300" s="434" t="str">
        <f>'Supply chain'!C53</f>
        <v>30OTHER</v>
      </c>
      <c r="K300" s="434" t="str">
        <f>'Supply chain'!D53</f>
        <v xml:space="preserve">Other transport equipment - 30.2/4/9           </v>
      </c>
      <c r="L300" s="434" t="str">
        <f>'Supply chain'!E53</f>
        <v>Tier 1</v>
      </c>
      <c r="M300" s="434">
        <f>'Supply chain'!F53</f>
        <v>0.25</v>
      </c>
      <c r="N300" s="434">
        <f>'Supply chain'!G53</f>
        <v>0</v>
      </c>
      <c r="O300" s="434" t="str">
        <f>'Supply chain'!H53</f>
        <v>£</v>
      </c>
      <c r="P300" s="434">
        <f>'Supply chain'!I53</f>
        <v>0</v>
      </c>
      <c r="Q300" s="434" t="str">
        <f>'Supply chain'!J53</f>
        <v>£</v>
      </c>
      <c r="R300" s="434">
        <f>'Supply chain'!K53</f>
        <v>0.1896917059859729</v>
      </c>
      <c r="S300" s="434" t="str">
        <f>'Supply chain'!L53</f>
        <v/>
      </c>
      <c r="T300" s="434">
        <f>'Supply chain'!M53</f>
        <v>0</v>
      </c>
      <c r="U300" s="434">
        <f>'Supply chain'!N53</f>
        <v>0</v>
      </c>
      <c r="V300" s="434">
        <f>'Supply chain'!O53</f>
        <v>0</v>
      </c>
      <c r="W300" s="434">
        <f>'Supply chain'!P53</f>
        <v>0</v>
      </c>
      <c r="X300" s="434">
        <f>'Supply chain'!Q53</f>
        <v>0</v>
      </c>
      <c r="Y300" s="434">
        <f>'Supply chain'!R53</f>
        <v>0</v>
      </c>
      <c r="Z300" s="434">
        <f>'Supply chain'!S53</f>
        <v>0</v>
      </c>
      <c r="AA300" s="434">
        <f>'Supply chain'!T53</f>
        <v>0</v>
      </c>
      <c r="AB300" s="434">
        <f>'Supply chain'!U53</f>
        <v>0</v>
      </c>
      <c r="AC300" s="434">
        <f>'Supply chain'!V53</f>
        <v>0</v>
      </c>
      <c r="AE300" s="432">
        <f t="shared" si="12"/>
        <v>0</v>
      </c>
      <c r="AF300" s="432">
        <f t="shared" si="13"/>
        <v>0</v>
      </c>
    </row>
    <row r="301" spans="2:32" x14ac:dyDescent="0.35">
      <c r="B301" s="432" t="e">
        <f>"2024"&amp;MATCH(Totals!D301,OrgType,0)&amp;"_"&amp;MATCH(Totals!E301,Organisations,0)&amp;"_"&amp;LEFT(Totals!F301,1)&amp;"_"&amp;LEFT(G301,1)&amp;"_"&amp;COUNTIF($G$3:G301,G301)</f>
        <v>#N/A</v>
      </c>
      <c r="C301" s="432">
        <v>2024</v>
      </c>
      <c r="D301" s="432">
        <f>Introduction!$D$7</f>
        <v>0</v>
      </c>
      <c r="E301" s="432">
        <f>Introduction!$D$8</f>
        <v>0</v>
      </c>
      <c r="F301" s="432" t="s">
        <v>558</v>
      </c>
      <c r="G301" s="432" t="s">
        <v>558</v>
      </c>
      <c r="H301" s="433"/>
      <c r="I301" s="434" t="str">
        <f>'Supply chain'!B54</f>
        <v>Manufacturing</v>
      </c>
      <c r="J301" s="434">
        <f>'Supply chain'!C54</f>
        <v>31</v>
      </c>
      <c r="K301" s="434" t="str">
        <f>'Supply chain'!D54</f>
        <v xml:space="preserve">Furniture               </v>
      </c>
      <c r="L301" s="434" t="str">
        <f>'Supply chain'!E54</f>
        <v>Tier 1</v>
      </c>
      <c r="M301" s="434">
        <f>'Supply chain'!F54</f>
        <v>0.25</v>
      </c>
      <c r="N301" s="434">
        <f>'Supply chain'!G54</f>
        <v>0</v>
      </c>
      <c r="O301" s="434" t="str">
        <f>'Supply chain'!H54</f>
        <v>£</v>
      </c>
      <c r="P301" s="434">
        <f>'Supply chain'!I54</f>
        <v>0</v>
      </c>
      <c r="Q301" s="434" t="str">
        <f>'Supply chain'!J54</f>
        <v>£</v>
      </c>
      <c r="R301" s="434">
        <f>'Supply chain'!K54</f>
        <v>0.37636837674684959</v>
      </c>
      <c r="S301" s="434" t="str">
        <f>'Supply chain'!L54</f>
        <v/>
      </c>
      <c r="T301" s="434">
        <f>'Supply chain'!M54</f>
        <v>0</v>
      </c>
      <c r="U301" s="434">
        <f>'Supply chain'!N54</f>
        <v>0</v>
      </c>
      <c r="V301" s="434">
        <f>'Supply chain'!O54</f>
        <v>0</v>
      </c>
      <c r="W301" s="434">
        <f>'Supply chain'!P54</f>
        <v>0</v>
      </c>
      <c r="X301" s="434">
        <f>'Supply chain'!Q54</f>
        <v>0</v>
      </c>
      <c r="Y301" s="434">
        <f>'Supply chain'!R54</f>
        <v>0</v>
      </c>
      <c r="Z301" s="434">
        <f>'Supply chain'!S54</f>
        <v>0</v>
      </c>
      <c r="AA301" s="434">
        <f>'Supply chain'!T54</f>
        <v>0</v>
      </c>
      <c r="AB301" s="434">
        <f>'Supply chain'!U54</f>
        <v>0</v>
      </c>
      <c r="AC301" s="434">
        <f>'Supply chain'!V54</f>
        <v>0</v>
      </c>
      <c r="AE301" s="432">
        <f t="shared" si="12"/>
        <v>0</v>
      </c>
      <c r="AF301" s="432">
        <f t="shared" si="13"/>
        <v>0</v>
      </c>
    </row>
    <row r="302" spans="2:32" x14ac:dyDescent="0.35">
      <c r="B302" s="432" t="e">
        <f>"2024"&amp;MATCH(Totals!D302,OrgType,0)&amp;"_"&amp;MATCH(Totals!E302,Organisations,0)&amp;"_"&amp;LEFT(Totals!F302,1)&amp;"_"&amp;LEFT(G302,1)&amp;"_"&amp;COUNTIF($G$3:G302,G302)</f>
        <v>#N/A</v>
      </c>
      <c r="C302" s="432">
        <v>2024</v>
      </c>
      <c r="D302" s="432">
        <f>Introduction!$D$7</f>
        <v>0</v>
      </c>
      <c r="E302" s="432">
        <f>Introduction!$D$8</f>
        <v>0</v>
      </c>
      <c r="F302" s="432" t="s">
        <v>558</v>
      </c>
      <c r="G302" s="432" t="s">
        <v>558</v>
      </c>
      <c r="H302" s="433"/>
      <c r="I302" s="434" t="str">
        <f>'Supply chain'!B55</f>
        <v>Manufacturing</v>
      </c>
      <c r="J302" s="434">
        <f>'Supply chain'!C55</f>
        <v>32</v>
      </c>
      <c r="K302" s="434" t="str">
        <f>'Supply chain'!D55</f>
        <v xml:space="preserve">Other manufactured goods             </v>
      </c>
      <c r="L302" s="434" t="str">
        <f>'Supply chain'!E55</f>
        <v>Tier 1</v>
      </c>
      <c r="M302" s="434">
        <f>'Supply chain'!F55</f>
        <v>0.25</v>
      </c>
      <c r="N302" s="434">
        <f>'Supply chain'!G55</f>
        <v>0</v>
      </c>
      <c r="O302" s="434" t="str">
        <f>'Supply chain'!H55</f>
        <v>£</v>
      </c>
      <c r="P302" s="434">
        <f>'Supply chain'!I55</f>
        <v>0</v>
      </c>
      <c r="Q302" s="434" t="str">
        <f>'Supply chain'!J55</f>
        <v>£</v>
      </c>
      <c r="R302" s="434">
        <f>'Supply chain'!K55</f>
        <v>0.67238249414981133</v>
      </c>
      <c r="S302" s="434" t="str">
        <f>'Supply chain'!L55</f>
        <v/>
      </c>
      <c r="T302" s="434">
        <f>'Supply chain'!M55</f>
        <v>0</v>
      </c>
      <c r="U302" s="434">
        <f>'Supply chain'!N55</f>
        <v>0</v>
      </c>
      <c r="V302" s="434">
        <f>'Supply chain'!O55</f>
        <v>0</v>
      </c>
      <c r="W302" s="434">
        <f>'Supply chain'!P55</f>
        <v>0</v>
      </c>
      <c r="X302" s="434">
        <f>'Supply chain'!Q55</f>
        <v>0</v>
      </c>
      <c r="Y302" s="434">
        <f>'Supply chain'!R55</f>
        <v>0</v>
      </c>
      <c r="Z302" s="434">
        <f>'Supply chain'!S55</f>
        <v>0</v>
      </c>
      <c r="AA302" s="434">
        <f>'Supply chain'!T55</f>
        <v>0</v>
      </c>
      <c r="AB302" s="434">
        <f>'Supply chain'!U55</f>
        <v>0</v>
      </c>
      <c r="AC302" s="434">
        <f>'Supply chain'!V55</f>
        <v>0</v>
      </c>
      <c r="AE302" s="432">
        <f t="shared" si="12"/>
        <v>0</v>
      </c>
      <c r="AF302" s="432">
        <f t="shared" si="13"/>
        <v>0</v>
      </c>
    </row>
    <row r="303" spans="2:32" x14ac:dyDescent="0.35">
      <c r="B303" s="432" t="e">
        <f>"2024"&amp;MATCH(Totals!D303,OrgType,0)&amp;"_"&amp;MATCH(Totals!E303,Organisations,0)&amp;"_"&amp;LEFT(Totals!F303,1)&amp;"_"&amp;LEFT(G303,1)&amp;"_"&amp;COUNTIF($G$3:G303,G303)</f>
        <v>#N/A</v>
      </c>
      <c r="C303" s="432">
        <v>2024</v>
      </c>
      <c r="D303" s="432">
        <f>Introduction!$D$7</f>
        <v>0</v>
      </c>
      <c r="E303" s="432">
        <f>Introduction!$D$8</f>
        <v>0</v>
      </c>
      <c r="F303" s="432" t="s">
        <v>558</v>
      </c>
      <c r="G303" s="432" t="s">
        <v>558</v>
      </c>
      <c r="H303" s="433"/>
      <c r="I303" s="434" t="str">
        <f>'Supply chain'!B56</f>
        <v>Manufacturing</v>
      </c>
      <c r="J303" s="434">
        <f>'Supply chain'!C56</f>
        <v>33.15</v>
      </c>
      <c r="K303" s="434" t="str">
        <f>'Supply chain'!D56</f>
        <v xml:space="preserve">Repair and maintenance of ships and boats         </v>
      </c>
      <c r="L303" s="434" t="str">
        <f>'Supply chain'!E56</f>
        <v>Tier 1</v>
      </c>
      <c r="M303" s="434">
        <f>'Supply chain'!F56</f>
        <v>0.25</v>
      </c>
      <c r="N303" s="434">
        <f>'Supply chain'!G56</f>
        <v>0</v>
      </c>
      <c r="O303" s="434" t="str">
        <f>'Supply chain'!H56</f>
        <v>£</v>
      </c>
      <c r="P303" s="434">
        <f>'Supply chain'!I56</f>
        <v>0</v>
      </c>
      <c r="Q303" s="434" t="str">
        <f>'Supply chain'!J56</f>
        <v>£</v>
      </c>
      <c r="R303" s="434">
        <f>'Supply chain'!K56</f>
        <v>0.21806839002664369</v>
      </c>
      <c r="S303" s="434" t="str">
        <f>'Supply chain'!L56</f>
        <v/>
      </c>
      <c r="T303" s="434">
        <f>'Supply chain'!M56</f>
        <v>0</v>
      </c>
      <c r="U303" s="434">
        <f>'Supply chain'!N56</f>
        <v>0</v>
      </c>
      <c r="V303" s="434">
        <f>'Supply chain'!O56</f>
        <v>0</v>
      </c>
      <c r="W303" s="434">
        <f>'Supply chain'!P56</f>
        <v>0</v>
      </c>
      <c r="X303" s="434">
        <f>'Supply chain'!Q56</f>
        <v>0</v>
      </c>
      <c r="Y303" s="434">
        <f>'Supply chain'!R56</f>
        <v>0</v>
      </c>
      <c r="Z303" s="434">
        <f>'Supply chain'!S56</f>
        <v>0</v>
      </c>
      <c r="AA303" s="434">
        <f>'Supply chain'!T56</f>
        <v>0</v>
      </c>
      <c r="AB303" s="434">
        <f>'Supply chain'!U56</f>
        <v>0</v>
      </c>
      <c r="AC303" s="434">
        <f>'Supply chain'!V56</f>
        <v>0</v>
      </c>
      <c r="AE303" s="432">
        <f t="shared" si="12"/>
        <v>0</v>
      </c>
      <c r="AF303" s="432">
        <f t="shared" si="13"/>
        <v>0</v>
      </c>
    </row>
    <row r="304" spans="2:32" x14ac:dyDescent="0.35">
      <c r="B304" s="432" t="e">
        <f>"2024"&amp;MATCH(Totals!D304,OrgType,0)&amp;"_"&amp;MATCH(Totals!E304,Organisations,0)&amp;"_"&amp;LEFT(Totals!F304,1)&amp;"_"&amp;LEFT(G304,1)&amp;"_"&amp;COUNTIF($G$3:G304,G304)</f>
        <v>#N/A</v>
      </c>
      <c r="C304" s="432">
        <v>2024</v>
      </c>
      <c r="D304" s="432">
        <f>Introduction!$D$7</f>
        <v>0</v>
      </c>
      <c r="E304" s="432">
        <f>Introduction!$D$8</f>
        <v>0</v>
      </c>
      <c r="F304" s="432" t="s">
        <v>558</v>
      </c>
      <c r="G304" s="432" t="s">
        <v>558</v>
      </c>
      <c r="H304" s="433"/>
      <c r="I304" s="434" t="str">
        <f>'Supply chain'!B57</f>
        <v>Manufacturing</v>
      </c>
      <c r="J304" s="434">
        <f>'Supply chain'!C57</f>
        <v>33.159999999999997</v>
      </c>
      <c r="K304" s="434" t="str">
        <f>'Supply chain'!D57</f>
        <v xml:space="preserve">Repair and maintenance of aircraft and spacecraft         </v>
      </c>
      <c r="L304" s="434" t="str">
        <f>'Supply chain'!E57</f>
        <v>Tier 1</v>
      </c>
      <c r="M304" s="434">
        <f>'Supply chain'!F57</f>
        <v>0.25</v>
      </c>
      <c r="N304" s="434">
        <f>'Supply chain'!G57</f>
        <v>0</v>
      </c>
      <c r="O304" s="434" t="str">
        <f>'Supply chain'!H57</f>
        <v>£</v>
      </c>
      <c r="P304" s="434">
        <f>'Supply chain'!I57</f>
        <v>0</v>
      </c>
      <c r="Q304" s="434" t="str">
        <f>'Supply chain'!J57</f>
        <v>£</v>
      </c>
      <c r="R304" s="434">
        <f>'Supply chain'!K57</f>
        <v>0.42931062732464192</v>
      </c>
      <c r="S304" s="434" t="str">
        <f>'Supply chain'!L57</f>
        <v/>
      </c>
      <c r="T304" s="434">
        <f>'Supply chain'!M57</f>
        <v>0</v>
      </c>
      <c r="U304" s="434">
        <f>'Supply chain'!N57</f>
        <v>0</v>
      </c>
      <c r="V304" s="434">
        <f>'Supply chain'!O57</f>
        <v>0</v>
      </c>
      <c r="W304" s="434">
        <f>'Supply chain'!P57</f>
        <v>0</v>
      </c>
      <c r="X304" s="434">
        <f>'Supply chain'!Q57</f>
        <v>0</v>
      </c>
      <c r="Y304" s="434">
        <f>'Supply chain'!R57</f>
        <v>0</v>
      </c>
      <c r="Z304" s="434">
        <f>'Supply chain'!S57</f>
        <v>0</v>
      </c>
      <c r="AA304" s="434">
        <f>'Supply chain'!T57</f>
        <v>0</v>
      </c>
      <c r="AB304" s="434">
        <f>'Supply chain'!U57</f>
        <v>0</v>
      </c>
      <c r="AC304" s="434">
        <f>'Supply chain'!V57</f>
        <v>0</v>
      </c>
      <c r="AE304" s="432">
        <f t="shared" si="12"/>
        <v>0</v>
      </c>
      <c r="AF304" s="432">
        <f t="shared" si="13"/>
        <v>0</v>
      </c>
    </row>
    <row r="305" spans="2:32" x14ac:dyDescent="0.35">
      <c r="B305" s="432" t="e">
        <f>"2024"&amp;MATCH(Totals!D305,OrgType,0)&amp;"_"&amp;MATCH(Totals!E305,Organisations,0)&amp;"_"&amp;LEFT(Totals!F305,1)&amp;"_"&amp;LEFT(G305,1)&amp;"_"&amp;COUNTIF($G$3:G305,G305)</f>
        <v>#N/A</v>
      </c>
      <c r="C305" s="432">
        <v>2024</v>
      </c>
      <c r="D305" s="432">
        <f>Introduction!$D$7</f>
        <v>0</v>
      </c>
      <c r="E305" s="432">
        <f>Introduction!$D$8</f>
        <v>0</v>
      </c>
      <c r="F305" s="432" t="s">
        <v>558</v>
      </c>
      <c r="G305" s="432" t="s">
        <v>558</v>
      </c>
      <c r="H305" s="433"/>
      <c r="I305" s="434" t="str">
        <f>'Supply chain'!B58</f>
        <v>Manufacturing</v>
      </c>
      <c r="J305" s="434" t="str">
        <f>'Supply chain'!C58</f>
        <v>33OTHER</v>
      </c>
      <c r="K305" s="434" t="str">
        <f>'Supply chain'!D58</f>
        <v xml:space="preserve">Rest of repair; Installation - 33.11-14/17/19/20          </v>
      </c>
      <c r="L305" s="434" t="str">
        <f>'Supply chain'!E58</f>
        <v>Tier 1</v>
      </c>
      <c r="M305" s="434">
        <f>'Supply chain'!F58</f>
        <v>0.25</v>
      </c>
      <c r="N305" s="434">
        <f>'Supply chain'!G58</f>
        <v>0</v>
      </c>
      <c r="O305" s="434" t="str">
        <f>'Supply chain'!H58</f>
        <v>£</v>
      </c>
      <c r="P305" s="434">
        <f>'Supply chain'!I58</f>
        <v>0</v>
      </c>
      <c r="Q305" s="434" t="str">
        <f>'Supply chain'!J58</f>
        <v>£</v>
      </c>
      <c r="R305" s="434">
        <f>'Supply chain'!K58</f>
        <v>0.18696882687485539</v>
      </c>
      <c r="S305" s="434" t="str">
        <f>'Supply chain'!L58</f>
        <v/>
      </c>
      <c r="T305" s="434">
        <f>'Supply chain'!M58</f>
        <v>0</v>
      </c>
      <c r="U305" s="434">
        <f>'Supply chain'!N58</f>
        <v>0</v>
      </c>
      <c r="V305" s="434">
        <f>'Supply chain'!O58</f>
        <v>0</v>
      </c>
      <c r="W305" s="434">
        <f>'Supply chain'!P58</f>
        <v>0</v>
      </c>
      <c r="X305" s="434">
        <f>'Supply chain'!Q58</f>
        <v>0</v>
      </c>
      <c r="Y305" s="434">
        <f>'Supply chain'!R58</f>
        <v>0</v>
      </c>
      <c r="Z305" s="434">
        <f>'Supply chain'!S58</f>
        <v>0</v>
      </c>
      <c r="AA305" s="434">
        <f>'Supply chain'!T58</f>
        <v>0</v>
      </c>
      <c r="AB305" s="434">
        <f>'Supply chain'!U58</f>
        <v>0</v>
      </c>
      <c r="AC305" s="434">
        <f>'Supply chain'!V58</f>
        <v>0</v>
      </c>
      <c r="AE305" s="432">
        <f t="shared" si="12"/>
        <v>0</v>
      </c>
      <c r="AF305" s="432">
        <f t="shared" si="13"/>
        <v>0</v>
      </c>
    </row>
    <row r="306" spans="2:32" x14ac:dyDescent="0.35">
      <c r="B306" s="432" t="e">
        <f>"2024"&amp;MATCH(Totals!D306,OrgType,0)&amp;"_"&amp;MATCH(Totals!E306,Organisations,0)&amp;"_"&amp;LEFT(Totals!F306,1)&amp;"_"&amp;LEFT(G306,1)&amp;"_"&amp;COUNTIF($G$3:G306,G306)</f>
        <v>#N/A</v>
      </c>
      <c r="C306" s="432">
        <v>2024</v>
      </c>
      <c r="D306" s="432">
        <f>Introduction!$D$7</f>
        <v>0</v>
      </c>
      <c r="E306" s="432">
        <f>Introduction!$D$8</f>
        <v>0</v>
      </c>
      <c r="F306" s="432" t="s">
        <v>558</v>
      </c>
      <c r="G306" s="432" t="s">
        <v>558</v>
      </c>
      <c r="H306" s="433"/>
      <c r="I306" s="434" t="str">
        <f>'Supply chain'!B59</f>
        <v>Electricity, gas, steam and air conditioning supply</v>
      </c>
      <c r="J306" s="434">
        <f>'Supply chain'!C59</f>
        <v>35.1</v>
      </c>
      <c r="K306" s="434" t="str">
        <f>'Supply chain'!D59</f>
        <v>Electricity, transmission and distribution</v>
      </c>
      <c r="L306" s="434" t="str">
        <f>'Supply chain'!E59</f>
        <v>Tier 1</v>
      </c>
      <c r="M306" s="434">
        <f>'Supply chain'!F59</f>
        <v>0.25</v>
      </c>
      <c r="N306" s="434">
        <f>'Supply chain'!G59</f>
        <v>0</v>
      </c>
      <c r="O306" s="434" t="str">
        <f>'Supply chain'!H59</f>
        <v>£</v>
      </c>
      <c r="P306" s="434">
        <f>'Supply chain'!I59</f>
        <v>0</v>
      </c>
      <c r="Q306" s="434" t="str">
        <f>'Supply chain'!J59</f>
        <v>£</v>
      </c>
      <c r="R306" s="434">
        <f>'Supply chain'!K59</f>
        <v>1.8815371821710341</v>
      </c>
      <c r="S306" s="434" t="str">
        <f>'Supply chain'!L59</f>
        <v/>
      </c>
      <c r="T306" s="434">
        <f>'Supply chain'!M59</f>
        <v>0</v>
      </c>
      <c r="U306" s="434">
        <f>'Supply chain'!N59</f>
        <v>0</v>
      </c>
      <c r="V306" s="434">
        <f>'Supply chain'!O59</f>
        <v>0</v>
      </c>
      <c r="W306" s="434">
        <f>'Supply chain'!P59</f>
        <v>0</v>
      </c>
      <c r="X306" s="434">
        <f>'Supply chain'!Q59</f>
        <v>0</v>
      </c>
      <c r="Y306" s="434">
        <f>'Supply chain'!R59</f>
        <v>0</v>
      </c>
      <c r="Z306" s="434">
        <f>'Supply chain'!S59</f>
        <v>0</v>
      </c>
      <c r="AA306" s="434">
        <f>'Supply chain'!T59</f>
        <v>0</v>
      </c>
      <c r="AB306" s="434">
        <f>'Supply chain'!U59</f>
        <v>0</v>
      </c>
      <c r="AC306" s="434">
        <f>'Supply chain'!V59</f>
        <v>0</v>
      </c>
      <c r="AE306" s="432">
        <f t="shared" si="12"/>
        <v>0</v>
      </c>
      <c r="AF306" s="432">
        <f t="shared" si="13"/>
        <v>0</v>
      </c>
    </row>
    <row r="307" spans="2:32" x14ac:dyDescent="0.35">
      <c r="B307" s="432" t="e">
        <f>"2024"&amp;MATCH(Totals!D307,OrgType,0)&amp;"_"&amp;MATCH(Totals!E307,Organisations,0)&amp;"_"&amp;LEFT(Totals!F307,1)&amp;"_"&amp;LEFT(G307,1)&amp;"_"&amp;COUNTIF($G$3:G307,G307)</f>
        <v>#N/A</v>
      </c>
      <c r="C307" s="432">
        <v>2024</v>
      </c>
      <c r="D307" s="432">
        <f>Introduction!$D$7</f>
        <v>0</v>
      </c>
      <c r="E307" s="432">
        <f>Introduction!$D$8</f>
        <v>0</v>
      </c>
      <c r="F307" s="432" t="s">
        <v>558</v>
      </c>
      <c r="G307" s="432" t="s">
        <v>558</v>
      </c>
      <c r="H307" s="433"/>
      <c r="I307" s="434" t="str">
        <f>'Supply chain'!B60</f>
        <v>Electricity, gas, steam and air conditioning supply</v>
      </c>
      <c r="J307" s="434" t="str">
        <f>'Supply chain'!C60</f>
        <v>35.2-3</v>
      </c>
      <c r="K307" s="434" t="str">
        <f>'Supply chain'!D60</f>
        <v xml:space="preserve">Gas; distribution of gaseous fuels through mains; steam and air conditioning supply    </v>
      </c>
      <c r="L307" s="434" t="str">
        <f>'Supply chain'!E60</f>
        <v>Tier 1</v>
      </c>
      <c r="M307" s="434">
        <f>'Supply chain'!F60</f>
        <v>0.25</v>
      </c>
      <c r="N307" s="434">
        <f>'Supply chain'!G60</f>
        <v>0</v>
      </c>
      <c r="O307" s="434" t="str">
        <f>'Supply chain'!H60</f>
        <v>£</v>
      </c>
      <c r="P307" s="434">
        <f>'Supply chain'!I60</f>
        <v>0</v>
      </c>
      <c r="Q307" s="434" t="str">
        <f>'Supply chain'!J60</f>
        <v>£</v>
      </c>
      <c r="R307" s="434">
        <f>'Supply chain'!K60</f>
        <v>1.5426173808963051</v>
      </c>
      <c r="S307" s="434" t="str">
        <f>'Supply chain'!L60</f>
        <v/>
      </c>
      <c r="T307" s="434">
        <f>'Supply chain'!M60</f>
        <v>0</v>
      </c>
      <c r="U307" s="434">
        <f>'Supply chain'!N60</f>
        <v>0</v>
      </c>
      <c r="V307" s="434">
        <f>'Supply chain'!O60</f>
        <v>0</v>
      </c>
      <c r="W307" s="434">
        <f>'Supply chain'!P60</f>
        <v>0</v>
      </c>
      <c r="X307" s="434">
        <f>'Supply chain'!Q60</f>
        <v>0</v>
      </c>
      <c r="Y307" s="434">
        <f>'Supply chain'!R60</f>
        <v>0</v>
      </c>
      <c r="Z307" s="434">
        <f>'Supply chain'!S60</f>
        <v>0</v>
      </c>
      <c r="AA307" s="434">
        <f>'Supply chain'!T60</f>
        <v>0</v>
      </c>
      <c r="AB307" s="434">
        <f>'Supply chain'!U60</f>
        <v>0</v>
      </c>
      <c r="AC307" s="434">
        <f>'Supply chain'!V60</f>
        <v>0</v>
      </c>
      <c r="AE307" s="432">
        <f t="shared" si="12"/>
        <v>0</v>
      </c>
      <c r="AF307" s="432">
        <f t="shared" si="13"/>
        <v>0</v>
      </c>
    </row>
    <row r="308" spans="2:32" x14ac:dyDescent="0.35">
      <c r="B308" s="432" t="e">
        <f>"2024"&amp;MATCH(Totals!D308,OrgType,0)&amp;"_"&amp;MATCH(Totals!E308,Organisations,0)&amp;"_"&amp;LEFT(Totals!F308,1)&amp;"_"&amp;LEFT(G308,1)&amp;"_"&amp;COUNTIF($G$3:G308,G308)</f>
        <v>#N/A</v>
      </c>
      <c r="C308" s="432">
        <v>2024</v>
      </c>
      <c r="D308" s="432">
        <f>Introduction!$D$7</f>
        <v>0</v>
      </c>
      <c r="E308" s="432">
        <f>Introduction!$D$8</f>
        <v>0</v>
      </c>
      <c r="F308" s="432" t="s">
        <v>558</v>
      </c>
      <c r="G308" s="432" t="s">
        <v>558</v>
      </c>
      <c r="H308" s="433"/>
      <c r="I308" s="434" t="str">
        <f>'Supply chain'!B61</f>
        <v>Water supply; sewerage, waste management and remediation activities</v>
      </c>
      <c r="J308" s="434">
        <f>'Supply chain'!C61</f>
        <v>36</v>
      </c>
      <c r="K308" s="434" t="str">
        <f>'Supply chain'!D61</f>
        <v xml:space="preserve">Natural water; water treatment and supply services         </v>
      </c>
      <c r="L308" s="434" t="str">
        <f>'Supply chain'!E61</f>
        <v>Tier 1</v>
      </c>
      <c r="M308" s="434">
        <f>'Supply chain'!F61</f>
        <v>0.25</v>
      </c>
      <c r="N308" s="434">
        <f>'Supply chain'!G61</f>
        <v>0</v>
      </c>
      <c r="O308" s="434" t="str">
        <f>'Supply chain'!H61</f>
        <v>£</v>
      </c>
      <c r="P308" s="434">
        <f>'Supply chain'!I61</f>
        <v>0</v>
      </c>
      <c r="Q308" s="434" t="str">
        <f>'Supply chain'!J61</f>
        <v>£</v>
      </c>
      <c r="R308" s="434">
        <f>'Supply chain'!K61</f>
        <v>0.2455437385220309</v>
      </c>
      <c r="S308" s="434" t="str">
        <f>'Supply chain'!L61</f>
        <v/>
      </c>
      <c r="T308" s="434">
        <f>'Supply chain'!M61</f>
        <v>0</v>
      </c>
      <c r="U308" s="434">
        <f>'Supply chain'!N61</f>
        <v>0</v>
      </c>
      <c r="V308" s="434">
        <f>'Supply chain'!O61</f>
        <v>0</v>
      </c>
      <c r="W308" s="434">
        <f>'Supply chain'!P61</f>
        <v>0</v>
      </c>
      <c r="X308" s="434">
        <f>'Supply chain'!Q61</f>
        <v>0</v>
      </c>
      <c r="Y308" s="434">
        <f>'Supply chain'!R61</f>
        <v>0</v>
      </c>
      <c r="Z308" s="434">
        <f>'Supply chain'!S61</f>
        <v>0</v>
      </c>
      <c r="AA308" s="434">
        <f>'Supply chain'!T61</f>
        <v>0</v>
      </c>
      <c r="AB308" s="434">
        <f>'Supply chain'!U61</f>
        <v>0</v>
      </c>
      <c r="AC308" s="434">
        <f>'Supply chain'!V61</f>
        <v>0</v>
      </c>
      <c r="AE308" s="432">
        <f t="shared" si="12"/>
        <v>0</v>
      </c>
      <c r="AF308" s="432">
        <f t="shared" si="13"/>
        <v>0</v>
      </c>
    </row>
    <row r="309" spans="2:32" x14ac:dyDescent="0.35">
      <c r="B309" s="432" t="e">
        <f>"2024"&amp;MATCH(Totals!D309,OrgType,0)&amp;"_"&amp;MATCH(Totals!E309,Organisations,0)&amp;"_"&amp;LEFT(Totals!F309,1)&amp;"_"&amp;LEFT(G309,1)&amp;"_"&amp;COUNTIF($G$3:G309,G309)</f>
        <v>#N/A</v>
      </c>
      <c r="C309" s="432">
        <v>2024</v>
      </c>
      <c r="D309" s="432">
        <f>Introduction!$D$7</f>
        <v>0</v>
      </c>
      <c r="E309" s="432">
        <f>Introduction!$D$8</f>
        <v>0</v>
      </c>
      <c r="F309" s="432" t="s">
        <v>558</v>
      </c>
      <c r="G309" s="432" t="s">
        <v>558</v>
      </c>
      <c r="H309" s="433"/>
      <c r="I309" s="434" t="str">
        <f>'Supply chain'!B62</f>
        <v>Water supply; sewerage, waste management and remediation activities</v>
      </c>
      <c r="J309" s="434">
        <f>'Supply chain'!C62</f>
        <v>37</v>
      </c>
      <c r="K309" s="434" t="str">
        <f>'Supply chain'!D62</f>
        <v xml:space="preserve">Sewerage services; sewage sludge            </v>
      </c>
      <c r="L309" s="434" t="str">
        <f>'Supply chain'!E62</f>
        <v>Tier 1</v>
      </c>
      <c r="M309" s="434">
        <f>'Supply chain'!F62</f>
        <v>0.25</v>
      </c>
      <c r="N309" s="434">
        <f>'Supply chain'!G62</f>
        <v>0</v>
      </c>
      <c r="O309" s="434" t="str">
        <f>'Supply chain'!H62</f>
        <v>£</v>
      </c>
      <c r="P309" s="434">
        <f>'Supply chain'!I62</f>
        <v>0</v>
      </c>
      <c r="Q309" s="434" t="str">
        <f>'Supply chain'!J62</f>
        <v>£</v>
      </c>
      <c r="R309" s="434">
        <f>'Supply chain'!K62</f>
        <v>0.361124966754091</v>
      </c>
      <c r="S309" s="434" t="str">
        <f>'Supply chain'!L62</f>
        <v/>
      </c>
      <c r="T309" s="434">
        <f>'Supply chain'!M62</f>
        <v>0</v>
      </c>
      <c r="U309" s="434">
        <f>'Supply chain'!N62</f>
        <v>0</v>
      </c>
      <c r="V309" s="434">
        <f>'Supply chain'!O62</f>
        <v>0</v>
      </c>
      <c r="W309" s="434">
        <f>'Supply chain'!P62</f>
        <v>0</v>
      </c>
      <c r="X309" s="434">
        <f>'Supply chain'!Q62</f>
        <v>0</v>
      </c>
      <c r="Y309" s="434">
        <f>'Supply chain'!R62</f>
        <v>0</v>
      </c>
      <c r="Z309" s="434">
        <f>'Supply chain'!S62</f>
        <v>0</v>
      </c>
      <c r="AA309" s="434">
        <f>'Supply chain'!T62</f>
        <v>0</v>
      </c>
      <c r="AB309" s="434">
        <f>'Supply chain'!U62</f>
        <v>0</v>
      </c>
      <c r="AC309" s="434">
        <f>'Supply chain'!V62</f>
        <v>0</v>
      </c>
      <c r="AE309" s="432">
        <f t="shared" si="12"/>
        <v>0</v>
      </c>
      <c r="AF309" s="432">
        <f t="shared" si="13"/>
        <v>0</v>
      </c>
    </row>
    <row r="310" spans="2:32" x14ac:dyDescent="0.35">
      <c r="B310" s="432" t="e">
        <f>"2024"&amp;MATCH(Totals!D310,OrgType,0)&amp;"_"&amp;MATCH(Totals!E310,Organisations,0)&amp;"_"&amp;LEFT(Totals!F310,1)&amp;"_"&amp;LEFT(G310,1)&amp;"_"&amp;COUNTIF($G$3:G310,G310)</f>
        <v>#N/A</v>
      </c>
      <c r="C310" s="432">
        <v>2024</v>
      </c>
      <c r="D310" s="432">
        <f>Introduction!$D$7</f>
        <v>0</v>
      </c>
      <c r="E310" s="432">
        <f>Introduction!$D$8</f>
        <v>0</v>
      </c>
      <c r="F310" s="432" t="s">
        <v>558</v>
      </c>
      <c r="G310" s="432" t="s">
        <v>558</v>
      </c>
      <c r="H310" s="433"/>
      <c r="I310" s="434" t="str">
        <f>'Supply chain'!B63</f>
        <v>Water supply; sewerage, waste management and remediation activities</v>
      </c>
      <c r="J310" s="434">
        <f>'Supply chain'!C63</f>
        <v>38</v>
      </c>
      <c r="K310" s="434" t="str">
        <f>'Supply chain'!D63</f>
        <v xml:space="preserve">Waste collection, treatment and disposal services; materials recovery services       </v>
      </c>
      <c r="L310" s="434" t="str">
        <f>'Supply chain'!E63</f>
        <v>Tier 1</v>
      </c>
      <c r="M310" s="434">
        <f>'Supply chain'!F63</f>
        <v>0.25</v>
      </c>
      <c r="N310" s="434">
        <f>'Supply chain'!G63</f>
        <v>0</v>
      </c>
      <c r="O310" s="434" t="str">
        <f>'Supply chain'!H63</f>
        <v>£</v>
      </c>
      <c r="P310" s="434">
        <f>'Supply chain'!I63</f>
        <v>0</v>
      </c>
      <c r="Q310" s="434" t="str">
        <f>'Supply chain'!J63</f>
        <v>£</v>
      </c>
      <c r="R310" s="434">
        <f>'Supply chain'!K63</f>
        <v>1.2566528696390891</v>
      </c>
      <c r="S310" s="434" t="str">
        <f>'Supply chain'!L63</f>
        <v/>
      </c>
      <c r="T310" s="434">
        <f>'Supply chain'!M63</f>
        <v>0</v>
      </c>
      <c r="U310" s="434">
        <f>'Supply chain'!N63</f>
        <v>0</v>
      </c>
      <c r="V310" s="434">
        <f>'Supply chain'!O63</f>
        <v>0</v>
      </c>
      <c r="W310" s="434">
        <f>'Supply chain'!P63</f>
        <v>0</v>
      </c>
      <c r="X310" s="434">
        <f>'Supply chain'!Q63</f>
        <v>0</v>
      </c>
      <c r="Y310" s="434">
        <f>'Supply chain'!R63</f>
        <v>0</v>
      </c>
      <c r="Z310" s="434">
        <f>'Supply chain'!S63</f>
        <v>0</v>
      </c>
      <c r="AA310" s="434">
        <f>'Supply chain'!T63</f>
        <v>0</v>
      </c>
      <c r="AB310" s="434">
        <f>'Supply chain'!U63</f>
        <v>0</v>
      </c>
      <c r="AC310" s="434">
        <f>'Supply chain'!V63</f>
        <v>0</v>
      </c>
      <c r="AE310" s="432">
        <f t="shared" si="12"/>
        <v>0</v>
      </c>
      <c r="AF310" s="432">
        <f t="shared" si="13"/>
        <v>0</v>
      </c>
    </row>
    <row r="311" spans="2:32" x14ac:dyDescent="0.35">
      <c r="B311" s="432" t="e">
        <f>"2024"&amp;MATCH(Totals!D311,OrgType,0)&amp;"_"&amp;MATCH(Totals!E311,Organisations,0)&amp;"_"&amp;LEFT(Totals!F311,1)&amp;"_"&amp;LEFT(G311,1)&amp;"_"&amp;COUNTIF($G$3:G311,G311)</f>
        <v>#N/A</v>
      </c>
      <c r="C311" s="432">
        <v>2024</v>
      </c>
      <c r="D311" s="432">
        <f>Introduction!$D$7</f>
        <v>0</v>
      </c>
      <c r="E311" s="432">
        <f>Introduction!$D$8</f>
        <v>0</v>
      </c>
      <c r="F311" s="432" t="s">
        <v>558</v>
      </c>
      <c r="G311" s="432" t="s">
        <v>558</v>
      </c>
      <c r="H311" s="433"/>
      <c r="I311" s="434" t="str">
        <f>'Supply chain'!B64</f>
        <v>Water supply; sewerage, waste management and remediation activities</v>
      </c>
      <c r="J311" s="434">
        <f>'Supply chain'!C64</f>
        <v>39</v>
      </c>
      <c r="K311" s="434" t="str">
        <f>'Supply chain'!D64</f>
        <v xml:space="preserve">Remediation services and other waste management services         </v>
      </c>
      <c r="L311" s="434" t="str">
        <f>'Supply chain'!E64</f>
        <v>Tier 1</v>
      </c>
      <c r="M311" s="434">
        <f>'Supply chain'!F64</f>
        <v>0.25</v>
      </c>
      <c r="N311" s="434">
        <f>'Supply chain'!G64</f>
        <v>0</v>
      </c>
      <c r="O311" s="434" t="str">
        <f>'Supply chain'!H64</f>
        <v>£</v>
      </c>
      <c r="P311" s="434">
        <f>'Supply chain'!I64</f>
        <v>0</v>
      </c>
      <c r="Q311" s="434" t="str">
        <f>'Supply chain'!J64</f>
        <v>£</v>
      </c>
      <c r="R311" s="434">
        <f>'Supply chain'!K64</f>
        <v>3.4574510993680598</v>
      </c>
      <c r="S311" s="434" t="str">
        <f>'Supply chain'!L64</f>
        <v/>
      </c>
      <c r="T311" s="434">
        <f>'Supply chain'!M64</f>
        <v>0</v>
      </c>
      <c r="U311" s="434">
        <f>'Supply chain'!N64</f>
        <v>0</v>
      </c>
      <c r="V311" s="434">
        <f>'Supply chain'!O64</f>
        <v>0</v>
      </c>
      <c r="W311" s="434">
        <f>'Supply chain'!P64</f>
        <v>0</v>
      </c>
      <c r="X311" s="434">
        <f>'Supply chain'!Q64</f>
        <v>0</v>
      </c>
      <c r="Y311" s="434">
        <f>'Supply chain'!R64</f>
        <v>0</v>
      </c>
      <c r="Z311" s="434">
        <f>'Supply chain'!S64</f>
        <v>0</v>
      </c>
      <c r="AA311" s="434">
        <f>'Supply chain'!T64</f>
        <v>0</v>
      </c>
      <c r="AB311" s="434">
        <f>'Supply chain'!U64</f>
        <v>0</v>
      </c>
      <c r="AC311" s="434">
        <f>'Supply chain'!V64</f>
        <v>0</v>
      </c>
      <c r="AE311" s="432">
        <f t="shared" si="12"/>
        <v>0</v>
      </c>
      <c r="AF311" s="432">
        <f t="shared" si="13"/>
        <v>0</v>
      </c>
    </row>
    <row r="312" spans="2:32" x14ac:dyDescent="0.35">
      <c r="B312" s="432" t="e">
        <f>"2024"&amp;MATCH(Totals!D312,OrgType,0)&amp;"_"&amp;MATCH(Totals!E312,Organisations,0)&amp;"_"&amp;LEFT(Totals!F312,1)&amp;"_"&amp;LEFT(G312,1)&amp;"_"&amp;COUNTIF($G$3:G312,G312)</f>
        <v>#N/A</v>
      </c>
      <c r="C312" s="432">
        <v>2024</v>
      </c>
      <c r="D312" s="432">
        <f>Introduction!$D$7</f>
        <v>0</v>
      </c>
      <c r="E312" s="432">
        <f>Introduction!$D$8</f>
        <v>0</v>
      </c>
      <c r="F312" s="432" t="s">
        <v>558</v>
      </c>
      <c r="G312" s="432" t="s">
        <v>558</v>
      </c>
      <c r="H312" s="433"/>
      <c r="I312" s="434" t="str">
        <f>'Supply chain'!B65</f>
        <v>Construction</v>
      </c>
      <c r="J312" s="434">
        <f>'Supply chain'!C65</f>
        <v>41.2</v>
      </c>
      <c r="K312" s="434" t="str">
        <f>'Supply chain'!D65</f>
        <v xml:space="preserve">Buildings and building construction works           </v>
      </c>
      <c r="L312" s="434" t="str">
        <f>'Supply chain'!E65</f>
        <v>Tier 1</v>
      </c>
      <c r="M312" s="434">
        <f>'Supply chain'!F65</f>
        <v>0.25</v>
      </c>
      <c r="N312" s="434">
        <f>'Supply chain'!G65</f>
        <v>0</v>
      </c>
      <c r="O312" s="434" t="str">
        <f>'Supply chain'!H65</f>
        <v>£</v>
      </c>
      <c r="P312" s="434">
        <f>'Supply chain'!I65</f>
        <v>0</v>
      </c>
      <c r="Q312" s="434" t="str">
        <f>'Supply chain'!J65</f>
        <v>£</v>
      </c>
      <c r="R312" s="434">
        <f>'Supply chain'!K65</f>
        <v>0.30500636264243469</v>
      </c>
      <c r="S312" s="434" t="str">
        <f>'Supply chain'!L65</f>
        <v/>
      </c>
      <c r="T312" s="434">
        <f>'Supply chain'!M65</f>
        <v>0</v>
      </c>
      <c r="U312" s="434">
        <f>'Supply chain'!N65</f>
        <v>0</v>
      </c>
      <c r="V312" s="434">
        <f>'Supply chain'!O65</f>
        <v>0</v>
      </c>
      <c r="W312" s="434">
        <f>'Supply chain'!P65</f>
        <v>0</v>
      </c>
      <c r="X312" s="434">
        <f>'Supply chain'!Q65</f>
        <v>0</v>
      </c>
      <c r="Y312" s="434">
        <f>'Supply chain'!R65</f>
        <v>0</v>
      </c>
      <c r="Z312" s="434">
        <f>'Supply chain'!S65</f>
        <v>0</v>
      </c>
      <c r="AA312" s="434">
        <f>'Supply chain'!T65</f>
        <v>0</v>
      </c>
      <c r="AB312" s="434">
        <f>'Supply chain'!U65</f>
        <v>0</v>
      </c>
      <c r="AC312" s="434">
        <f>'Supply chain'!V65</f>
        <v>0</v>
      </c>
      <c r="AE312" s="432">
        <f t="shared" si="12"/>
        <v>0</v>
      </c>
      <c r="AF312" s="432">
        <f t="shared" si="13"/>
        <v>0</v>
      </c>
    </row>
    <row r="313" spans="2:32" x14ac:dyDescent="0.35">
      <c r="B313" s="432" t="e">
        <f>"2024"&amp;MATCH(Totals!D313,OrgType,0)&amp;"_"&amp;MATCH(Totals!E313,Organisations,0)&amp;"_"&amp;LEFT(Totals!F313,1)&amp;"_"&amp;LEFT(G313,1)&amp;"_"&amp;COUNTIF($G$3:G313,G313)</f>
        <v>#N/A</v>
      </c>
      <c r="C313" s="432">
        <v>2024</v>
      </c>
      <c r="D313" s="432">
        <f>Introduction!$D$7</f>
        <v>0</v>
      </c>
      <c r="E313" s="432">
        <f>Introduction!$D$8</f>
        <v>0</v>
      </c>
      <c r="F313" s="432" t="s">
        <v>558</v>
      </c>
      <c r="G313" s="432" t="s">
        <v>558</v>
      </c>
      <c r="H313" s="433"/>
      <c r="I313" s="434" t="str">
        <f>'Supply chain'!B66</f>
        <v>Construction</v>
      </c>
      <c r="J313" s="434" t="str">
        <f>'Supply chain'!C66</f>
        <v>42.1-2</v>
      </c>
      <c r="K313" s="434" t="str">
        <f>'Supply chain'!D66</f>
        <v xml:space="preserve">Constructions and construction works for civil engineering         </v>
      </c>
      <c r="L313" s="434" t="str">
        <f>'Supply chain'!E66</f>
        <v>Tier 1</v>
      </c>
      <c r="M313" s="434">
        <f>'Supply chain'!F66</f>
        <v>0.25</v>
      </c>
      <c r="N313" s="434">
        <f>'Supply chain'!G66</f>
        <v>0</v>
      </c>
      <c r="O313" s="434" t="str">
        <f>'Supply chain'!H66</f>
        <v>£</v>
      </c>
      <c r="P313" s="434">
        <f>'Supply chain'!I66</f>
        <v>0</v>
      </c>
      <c r="Q313" s="434" t="str">
        <f>'Supply chain'!J66</f>
        <v>£</v>
      </c>
      <c r="R313" s="434">
        <f>'Supply chain'!K66</f>
        <v>0.38802246325570439</v>
      </c>
      <c r="S313" s="434" t="str">
        <f>'Supply chain'!L66</f>
        <v/>
      </c>
      <c r="T313" s="434">
        <f>'Supply chain'!M66</f>
        <v>0</v>
      </c>
      <c r="U313" s="434">
        <f>'Supply chain'!N66</f>
        <v>0</v>
      </c>
      <c r="V313" s="434">
        <f>'Supply chain'!O66</f>
        <v>0</v>
      </c>
      <c r="W313" s="434">
        <f>'Supply chain'!P66</f>
        <v>0</v>
      </c>
      <c r="X313" s="434">
        <f>'Supply chain'!Q66</f>
        <v>0</v>
      </c>
      <c r="Y313" s="434">
        <f>'Supply chain'!R66</f>
        <v>0</v>
      </c>
      <c r="Z313" s="434">
        <f>'Supply chain'!S66</f>
        <v>0</v>
      </c>
      <c r="AA313" s="434">
        <f>'Supply chain'!T66</f>
        <v>0</v>
      </c>
      <c r="AB313" s="434">
        <f>'Supply chain'!U66</f>
        <v>0</v>
      </c>
      <c r="AC313" s="434">
        <f>'Supply chain'!V66</f>
        <v>0</v>
      </c>
      <c r="AE313" s="432">
        <f t="shared" si="12"/>
        <v>0</v>
      </c>
      <c r="AF313" s="432">
        <f t="shared" si="13"/>
        <v>0</v>
      </c>
    </row>
    <row r="314" spans="2:32" x14ac:dyDescent="0.35">
      <c r="B314" s="432" t="e">
        <f>"2024"&amp;MATCH(Totals!D314,OrgType,0)&amp;"_"&amp;MATCH(Totals!E314,Organisations,0)&amp;"_"&amp;LEFT(Totals!F314,1)&amp;"_"&amp;LEFT(G314,1)&amp;"_"&amp;COUNTIF($G$3:G314,G314)</f>
        <v>#N/A</v>
      </c>
      <c r="C314" s="432">
        <v>2024</v>
      </c>
      <c r="D314" s="432">
        <f>Introduction!$D$7</f>
        <v>0</v>
      </c>
      <c r="E314" s="432">
        <f>Introduction!$D$8</f>
        <v>0</v>
      </c>
      <c r="F314" s="432" t="s">
        <v>558</v>
      </c>
      <c r="G314" s="432" t="s">
        <v>558</v>
      </c>
      <c r="H314" s="433"/>
      <c r="I314" s="434" t="str">
        <f>'Supply chain'!B67</f>
        <v>Construction</v>
      </c>
      <c r="J314" s="434">
        <f>'Supply chain'!C67</f>
        <v>42.99</v>
      </c>
      <c r="K314" s="434" t="str">
        <f>'Supply chain'!D67</f>
        <v xml:space="preserve">Specialised construction works             </v>
      </c>
      <c r="L314" s="434" t="str">
        <f>'Supply chain'!E67</f>
        <v>Tier 1</v>
      </c>
      <c r="M314" s="434">
        <f>'Supply chain'!F67</f>
        <v>0.25</v>
      </c>
      <c r="N314" s="434">
        <f>'Supply chain'!G67</f>
        <v>0</v>
      </c>
      <c r="O314" s="434" t="str">
        <f>'Supply chain'!H67</f>
        <v>£</v>
      </c>
      <c r="P314" s="434">
        <f>'Supply chain'!I67</f>
        <v>0</v>
      </c>
      <c r="Q314" s="434" t="str">
        <f>'Supply chain'!J67</f>
        <v>£</v>
      </c>
      <c r="R314" s="434">
        <f>'Supply chain'!K67</f>
        <v>0.31026786628535008</v>
      </c>
      <c r="S314" s="434" t="str">
        <f>'Supply chain'!L67</f>
        <v/>
      </c>
      <c r="T314" s="434">
        <f>'Supply chain'!M67</f>
        <v>0</v>
      </c>
      <c r="U314" s="434">
        <f>'Supply chain'!N67</f>
        <v>0</v>
      </c>
      <c r="V314" s="434">
        <f>'Supply chain'!O67</f>
        <v>0</v>
      </c>
      <c r="W314" s="434">
        <f>'Supply chain'!P67</f>
        <v>0</v>
      </c>
      <c r="X314" s="434">
        <f>'Supply chain'!Q67</f>
        <v>0</v>
      </c>
      <c r="Y314" s="434">
        <f>'Supply chain'!R67</f>
        <v>0</v>
      </c>
      <c r="Z314" s="434">
        <f>'Supply chain'!S67</f>
        <v>0</v>
      </c>
      <c r="AA314" s="434">
        <f>'Supply chain'!T67</f>
        <v>0</v>
      </c>
      <c r="AB314" s="434">
        <f>'Supply chain'!U67</f>
        <v>0</v>
      </c>
      <c r="AC314" s="434">
        <f>'Supply chain'!V67</f>
        <v>0</v>
      </c>
      <c r="AE314" s="432">
        <f t="shared" si="12"/>
        <v>0</v>
      </c>
      <c r="AF314" s="432">
        <f t="shared" si="13"/>
        <v>0</v>
      </c>
    </row>
    <row r="315" spans="2:32" x14ac:dyDescent="0.35">
      <c r="B315" s="432" t="e">
        <f>"2024"&amp;MATCH(Totals!D315,OrgType,0)&amp;"_"&amp;MATCH(Totals!E315,Organisations,0)&amp;"_"&amp;LEFT(Totals!F315,1)&amp;"_"&amp;LEFT(G315,1)&amp;"_"&amp;COUNTIF($G$3:G315,G315)</f>
        <v>#N/A</v>
      </c>
      <c r="C315" s="432">
        <v>2024</v>
      </c>
      <c r="D315" s="432">
        <f>Introduction!$D$7</f>
        <v>0</v>
      </c>
      <c r="E315" s="432">
        <f>Introduction!$D$8</f>
        <v>0</v>
      </c>
      <c r="F315" s="432" t="s">
        <v>558</v>
      </c>
      <c r="G315" s="432" t="s">
        <v>558</v>
      </c>
      <c r="H315" s="433"/>
      <c r="I315" s="434" t="str">
        <f>'Supply chain'!B68</f>
        <v>Wholesale and retail trade; repair of motor vehicles and motorcycles</v>
      </c>
      <c r="J315" s="434">
        <f>'Supply chain'!C68</f>
        <v>45</v>
      </c>
      <c r="K315" s="434" t="str">
        <f>'Supply chain'!D68</f>
        <v xml:space="preserve">Wholesale and retail trade and repair services of motor vehicles and motorcycles    </v>
      </c>
      <c r="L315" s="434" t="str">
        <f>'Supply chain'!E68</f>
        <v>Tier 1</v>
      </c>
      <c r="M315" s="434">
        <f>'Supply chain'!F68</f>
        <v>0.25</v>
      </c>
      <c r="N315" s="434">
        <f>'Supply chain'!G68</f>
        <v>0</v>
      </c>
      <c r="O315" s="434" t="str">
        <f>'Supply chain'!H68</f>
        <v>£</v>
      </c>
      <c r="P315" s="434">
        <f>'Supply chain'!I68</f>
        <v>0</v>
      </c>
      <c r="Q315" s="434" t="str">
        <f>'Supply chain'!J68</f>
        <v>£</v>
      </c>
      <c r="R315" s="434">
        <f>'Supply chain'!K68</f>
        <v>0.21034629699726889</v>
      </c>
      <c r="S315" s="434" t="str">
        <f>'Supply chain'!L68</f>
        <v/>
      </c>
      <c r="T315" s="434">
        <f>'Supply chain'!M68</f>
        <v>0</v>
      </c>
      <c r="U315" s="434">
        <f>'Supply chain'!N68</f>
        <v>0</v>
      </c>
      <c r="V315" s="434">
        <f>'Supply chain'!O68</f>
        <v>0</v>
      </c>
      <c r="W315" s="434">
        <f>'Supply chain'!P68</f>
        <v>0</v>
      </c>
      <c r="X315" s="434">
        <f>'Supply chain'!Q68</f>
        <v>0</v>
      </c>
      <c r="Y315" s="434">
        <f>'Supply chain'!R68</f>
        <v>0</v>
      </c>
      <c r="Z315" s="434">
        <f>'Supply chain'!S68</f>
        <v>0</v>
      </c>
      <c r="AA315" s="434">
        <f>'Supply chain'!T68</f>
        <v>0</v>
      </c>
      <c r="AB315" s="434">
        <f>'Supply chain'!U68</f>
        <v>0</v>
      </c>
      <c r="AC315" s="434">
        <f>'Supply chain'!V68</f>
        <v>0</v>
      </c>
      <c r="AE315" s="432">
        <f t="shared" si="12"/>
        <v>0</v>
      </c>
      <c r="AF315" s="432">
        <f t="shared" si="13"/>
        <v>0</v>
      </c>
    </row>
    <row r="316" spans="2:32" x14ac:dyDescent="0.35">
      <c r="B316" s="432" t="e">
        <f>"2024"&amp;MATCH(Totals!D316,OrgType,0)&amp;"_"&amp;MATCH(Totals!E316,Organisations,0)&amp;"_"&amp;LEFT(Totals!F316,1)&amp;"_"&amp;LEFT(G316,1)&amp;"_"&amp;COUNTIF($G$3:G316,G316)</f>
        <v>#N/A</v>
      </c>
      <c r="C316" s="432">
        <v>2024</v>
      </c>
      <c r="D316" s="432">
        <f>Introduction!$D$7</f>
        <v>0</v>
      </c>
      <c r="E316" s="432">
        <f>Introduction!$D$8</f>
        <v>0</v>
      </c>
      <c r="F316" s="432" t="s">
        <v>558</v>
      </c>
      <c r="G316" s="432" t="s">
        <v>558</v>
      </c>
      <c r="H316" s="433"/>
      <c r="I316" s="434" t="str">
        <f>'Supply chain'!B69</f>
        <v>Wholesale and retail trade; repair of motor vehicles and motorcycles</v>
      </c>
      <c r="J316" s="434">
        <f>'Supply chain'!C69</f>
        <v>46</v>
      </c>
      <c r="K316" s="434" t="str">
        <f>'Supply chain'!D69</f>
        <v xml:space="preserve">Wholesale trade services, except of motor vehicles and motorcycles       </v>
      </c>
      <c r="L316" s="434" t="str">
        <f>'Supply chain'!E69</f>
        <v>Tier 1</v>
      </c>
      <c r="M316" s="434">
        <f>'Supply chain'!F69</f>
        <v>0.25</v>
      </c>
      <c r="N316" s="434">
        <f>'Supply chain'!G69</f>
        <v>0</v>
      </c>
      <c r="O316" s="434" t="str">
        <f>'Supply chain'!H69</f>
        <v>£</v>
      </c>
      <c r="P316" s="434">
        <f>'Supply chain'!I69</f>
        <v>0</v>
      </c>
      <c r="Q316" s="434" t="str">
        <f>'Supply chain'!J69</f>
        <v>£</v>
      </c>
      <c r="R316" s="434">
        <f>'Supply chain'!K69</f>
        <v>2.0310031510736858E-2</v>
      </c>
      <c r="S316" s="434" t="str">
        <f>'Supply chain'!L69</f>
        <v/>
      </c>
      <c r="T316" s="434">
        <f>'Supply chain'!M69</f>
        <v>0</v>
      </c>
      <c r="U316" s="434">
        <f>'Supply chain'!N69</f>
        <v>0</v>
      </c>
      <c r="V316" s="434">
        <f>'Supply chain'!O69</f>
        <v>0</v>
      </c>
      <c r="W316" s="434">
        <f>'Supply chain'!P69</f>
        <v>0</v>
      </c>
      <c r="X316" s="434">
        <f>'Supply chain'!Q69</f>
        <v>0</v>
      </c>
      <c r="Y316" s="434">
        <f>'Supply chain'!R69</f>
        <v>0</v>
      </c>
      <c r="Z316" s="434">
        <f>'Supply chain'!S69</f>
        <v>0</v>
      </c>
      <c r="AA316" s="434">
        <f>'Supply chain'!T69</f>
        <v>0</v>
      </c>
      <c r="AB316" s="434">
        <f>'Supply chain'!U69</f>
        <v>0</v>
      </c>
      <c r="AC316" s="434">
        <f>'Supply chain'!V69</f>
        <v>0</v>
      </c>
      <c r="AE316" s="432">
        <f t="shared" si="12"/>
        <v>0</v>
      </c>
      <c r="AF316" s="432">
        <f t="shared" si="13"/>
        <v>0</v>
      </c>
    </row>
    <row r="317" spans="2:32" x14ac:dyDescent="0.35">
      <c r="B317" s="432" t="e">
        <f>"2024"&amp;MATCH(Totals!D317,OrgType,0)&amp;"_"&amp;MATCH(Totals!E317,Organisations,0)&amp;"_"&amp;LEFT(Totals!F317,1)&amp;"_"&amp;LEFT(G317,1)&amp;"_"&amp;COUNTIF($G$3:G317,G317)</f>
        <v>#N/A</v>
      </c>
      <c r="C317" s="432">
        <v>2024</v>
      </c>
      <c r="D317" s="432">
        <f>Introduction!$D$7</f>
        <v>0</v>
      </c>
      <c r="E317" s="432">
        <f>Introduction!$D$8</f>
        <v>0</v>
      </c>
      <c r="F317" s="432" t="s">
        <v>558</v>
      </c>
      <c r="G317" s="432" t="s">
        <v>558</v>
      </c>
      <c r="H317" s="433"/>
      <c r="I317" s="434" t="str">
        <f>'Supply chain'!B70</f>
        <v>Wholesale and retail trade; repair of motor vehicles and motorcycles</v>
      </c>
      <c r="J317" s="434">
        <f>'Supply chain'!C70</f>
        <v>47</v>
      </c>
      <c r="K317" s="434" t="str">
        <f>'Supply chain'!D70</f>
        <v xml:space="preserve">Retail trade services, except of motor vehicles and motorcycles       </v>
      </c>
      <c r="L317" s="434" t="str">
        <f>'Supply chain'!E70</f>
        <v>Tier 1</v>
      </c>
      <c r="M317" s="434">
        <f>'Supply chain'!F70</f>
        <v>0.25</v>
      </c>
      <c r="N317" s="434">
        <f>'Supply chain'!G70</f>
        <v>0</v>
      </c>
      <c r="O317" s="434" t="str">
        <f>'Supply chain'!H70</f>
        <v>£</v>
      </c>
      <c r="P317" s="434">
        <f>'Supply chain'!I70</f>
        <v>0</v>
      </c>
      <c r="Q317" s="434" t="str">
        <f>'Supply chain'!J70</f>
        <v>£</v>
      </c>
      <c r="R317" s="434">
        <f>'Supply chain'!K70</f>
        <v>0.17404287306456559</v>
      </c>
      <c r="S317" s="434" t="str">
        <f>'Supply chain'!L70</f>
        <v/>
      </c>
      <c r="T317" s="434">
        <f>'Supply chain'!M70</f>
        <v>0</v>
      </c>
      <c r="U317" s="434">
        <f>'Supply chain'!N70</f>
        <v>0</v>
      </c>
      <c r="V317" s="434">
        <f>'Supply chain'!O70</f>
        <v>0</v>
      </c>
      <c r="W317" s="434">
        <f>'Supply chain'!P70</f>
        <v>0</v>
      </c>
      <c r="X317" s="434">
        <f>'Supply chain'!Q70</f>
        <v>0</v>
      </c>
      <c r="Y317" s="434">
        <f>'Supply chain'!R70</f>
        <v>0</v>
      </c>
      <c r="Z317" s="434">
        <f>'Supply chain'!S70</f>
        <v>0</v>
      </c>
      <c r="AA317" s="434">
        <f>'Supply chain'!T70</f>
        <v>0</v>
      </c>
      <c r="AB317" s="434">
        <f>'Supply chain'!U70</f>
        <v>0</v>
      </c>
      <c r="AC317" s="434">
        <f>'Supply chain'!V70</f>
        <v>0</v>
      </c>
      <c r="AE317" s="432">
        <f t="shared" si="12"/>
        <v>0</v>
      </c>
      <c r="AF317" s="432">
        <f t="shared" si="13"/>
        <v>0</v>
      </c>
    </row>
    <row r="318" spans="2:32" x14ac:dyDescent="0.35">
      <c r="B318" s="432" t="e">
        <f>"2024"&amp;MATCH(Totals!D318,OrgType,0)&amp;"_"&amp;MATCH(Totals!E318,Organisations,0)&amp;"_"&amp;LEFT(Totals!F318,1)&amp;"_"&amp;LEFT(G318,1)&amp;"_"&amp;COUNTIF($G$3:G318,G318)</f>
        <v>#N/A</v>
      </c>
      <c r="C318" s="432">
        <v>2024</v>
      </c>
      <c r="D318" s="432">
        <f>Introduction!$D$7</f>
        <v>0</v>
      </c>
      <c r="E318" s="432">
        <f>Introduction!$D$8</f>
        <v>0</v>
      </c>
      <c r="F318" s="432" t="s">
        <v>558</v>
      </c>
      <c r="G318" s="432" t="s">
        <v>558</v>
      </c>
      <c r="H318" s="433"/>
      <c r="I318" s="434" t="str">
        <f>'Supply chain'!B71</f>
        <v>Transportation and storage</v>
      </c>
      <c r="J318" s="434" t="str">
        <f>'Supply chain'!C71</f>
        <v>49.1-2</v>
      </c>
      <c r="K318" s="434" t="str">
        <f>'Supply chain'!D71</f>
        <v xml:space="preserve">Rail transport services             </v>
      </c>
      <c r="L318" s="434" t="str">
        <f>'Supply chain'!E71</f>
        <v>Tier 1</v>
      </c>
      <c r="M318" s="434">
        <f>'Supply chain'!F71</f>
        <v>0.25</v>
      </c>
      <c r="N318" s="434">
        <f>'Supply chain'!G71</f>
        <v>0</v>
      </c>
      <c r="O318" s="434" t="str">
        <f>'Supply chain'!H71</f>
        <v>£</v>
      </c>
      <c r="P318" s="434">
        <f>'Supply chain'!I71</f>
        <v>0</v>
      </c>
      <c r="Q318" s="434" t="str">
        <f>'Supply chain'!J71</f>
        <v>£</v>
      </c>
      <c r="R318" s="434">
        <f>'Supply chain'!K71</f>
        <v>0.74604366861634519</v>
      </c>
      <c r="S318" s="434" t="str">
        <f>'Supply chain'!L71</f>
        <v/>
      </c>
      <c r="T318" s="434">
        <f>'Supply chain'!M71</f>
        <v>0</v>
      </c>
      <c r="U318" s="434">
        <f>'Supply chain'!N71</f>
        <v>0</v>
      </c>
      <c r="V318" s="434">
        <f>'Supply chain'!O71</f>
        <v>0</v>
      </c>
      <c r="W318" s="434">
        <f>'Supply chain'!P71</f>
        <v>0</v>
      </c>
      <c r="X318" s="434">
        <f>'Supply chain'!Q71</f>
        <v>0</v>
      </c>
      <c r="Y318" s="434">
        <f>'Supply chain'!R71</f>
        <v>0</v>
      </c>
      <c r="Z318" s="434">
        <f>'Supply chain'!S71</f>
        <v>0</v>
      </c>
      <c r="AA318" s="434">
        <f>'Supply chain'!T71</f>
        <v>0</v>
      </c>
      <c r="AB318" s="434">
        <f>'Supply chain'!U71</f>
        <v>0</v>
      </c>
      <c r="AC318" s="434">
        <f>'Supply chain'!V71</f>
        <v>0</v>
      </c>
      <c r="AE318" s="432">
        <f t="shared" si="12"/>
        <v>0</v>
      </c>
      <c r="AF318" s="432">
        <f t="shared" si="13"/>
        <v>0</v>
      </c>
    </row>
    <row r="319" spans="2:32" x14ac:dyDescent="0.35">
      <c r="B319" s="432" t="e">
        <f>"2024"&amp;MATCH(Totals!D319,OrgType,0)&amp;"_"&amp;MATCH(Totals!E319,Organisations,0)&amp;"_"&amp;LEFT(Totals!F319,1)&amp;"_"&amp;LEFT(G319,1)&amp;"_"&amp;COUNTIF($G$3:G319,G319)</f>
        <v>#N/A</v>
      </c>
      <c r="C319" s="432">
        <v>2024</v>
      </c>
      <c r="D319" s="432">
        <f>Introduction!$D$7</f>
        <v>0</v>
      </c>
      <c r="E319" s="432">
        <f>Introduction!$D$8</f>
        <v>0</v>
      </c>
      <c r="F319" s="432" t="s">
        <v>558</v>
      </c>
      <c r="G319" s="432" t="s">
        <v>558</v>
      </c>
      <c r="H319" s="433"/>
      <c r="I319" s="434" t="str">
        <f>'Supply chain'!B72</f>
        <v>Transportation and storage</v>
      </c>
      <c r="J319" s="434" t="str">
        <f>'Supply chain'!C72</f>
        <v>49.3-5</v>
      </c>
      <c r="K319" s="434" t="str">
        <f>'Supply chain'!D72</f>
        <v xml:space="preserve">Land transport services and transport services via pipelines, excluding rail transport     </v>
      </c>
      <c r="L319" s="434" t="str">
        <f>'Supply chain'!E72</f>
        <v>Tier 1</v>
      </c>
      <c r="M319" s="434">
        <f>'Supply chain'!F72</f>
        <v>0.25</v>
      </c>
      <c r="N319" s="434">
        <f>'Supply chain'!G72</f>
        <v>0</v>
      </c>
      <c r="O319" s="434" t="str">
        <f>'Supply chain'!H72</f>
        <v>£</v>
      </c>
      <c r="P319" s="434">
        <f>'Supply chain'!I72</f>
        <v>0</v>
      </c>
      <c r="Q319" s="434" t="str">
        <f>'Supply chain'!J72</f>
        <v>£</v>
      </c>
      <c r="R319" s="434">
        <f>'Supply chain'!K72</f>
        <v>0.60315703544097854</v>
      </c>
      <c r="S319" s="434" t="str">
        <f>'Supply chain'!L72</f>
        <v/>
      </c>
      <c r="T319" s="434">
        <f>'Supply chain'!M72</f>
        <v>0</v>
      </c>
      <c r="U319" s="434">
        <f>'Supply chain'!N72</f>
        <v>0</v>
      </c>
      <c r="V319" s="434">
        <f>'Supply chain'!O72</f>
        <v>0</v>
      </c>
      <c r="W319" s="434">
        <f>'Supply chain'!P72</f>
        <v>0</v>
      </c>
      <c r="X319" s="434">
        <f>'Supply chain'!Q72</f>
        <v>0</v>
      </c>
      <c r="Y319" s="434">
        <f>'Supply chain'!R72</f>
        <v>0</v>
      </c>
      <c r="Z319" s="434">
        <f>'Supply chain'!S72</f>
        <v>0</v>
      </c>
      <c r="AA319" s="434">
        <f>'Supply chain'!T72</f>
        <v>0</v>
      </c>
      <c r="AB319" s="434">
        <f>'Supply chain'!U72</f>
        <v>0</v>
      </c>
      <c r="AC319" s="434">
        <f>'Supply chain'!V72</f>
        <v>0</v>
      </c>
      <c r="AE319" s="432">
        <f t="shared" si="12"/>
        <v>0</v>
      </c>
      <c r="AF319" s="432">
        <f t="shared" si="13"/>
        <v>0</v>
      </c>
    </row>
    <row r="320" spans="2:32" x14ac:dyDescent="0.35">
      <c r="B320" s="432" t="e">
        <f>"2024"&amp;MATCH(Totals!D320,OrgType,0)&amp;"_"&amp;MATCH(Totals!E320,Organisations,0)&amp;"_"&amp;LEFT(Totals!F320,1)&amp;"_"&amp;LEFT(G320,1)&amp;"_"&amp;COUNTIF($G$3:G320,G320)</f>
        <v>#N/A</v>
      </c>
      <c r="C320" s="432">
        <v>2024</v>
      </c>
      <c r="D320" s="432">
        <f>Introduction!$D$7</f>
        <v>0</v>
      </c>
      <c r="E320" s="432">
        <f>Introduction!$D$8</f>
        <v>0</v>
      </c>
      <c r="F320" s="432" t="s">
        <v>558</v>
      </c>
      <c r="G320" s="432" t="s">
        <v>558</v>
      </c>
      <c r="H320" s="433"/>
      <c r="I320" s="434" t="str">
        <f>'Supply chain'!B73</f>
        <v>Transportation and storage</v>
      </c>
      <c r="J320" s="434">
        <f>'Supply chain'!C73</f>
        <v>50</v>
      </c>
      <c r="K320" s="434" t="str">
        <f>'Supply chain'!D73</f>
        <v xml:space="preserve">Water transport services             </v>
      </c>
      <c r="L320" s="434" t="str">
        <f>'Supply chain'!E73</f>
        <v>Tier 1</v>
      </c>
      <c r="M320" s="434">
        <f>'Supply chain'!F73</f>
        <v>0.25</v>
      </c>
      <c r="N320" s="434">
        <f>'Supply chain'!G73</f>
        <v>0</v>
      </c>
      <c r="O320" s="434" t="str">
        <f>'Supply chain'!H73</f>
        <v>£</v>
      </c>
      <c r="P320" s="434">
        <f>'Supply chain'!I73</f>
        <v>0</v>
      </c>
      <c r="Q320" s="434" t="str">
        <f>'Supply chain'!J73</f>
        <v>£</v>
      </c>
      <c r="R320" s="434">
        <f>'Supply chain'!K73</f>
        <v>2.3546065430913399</v>
      </c>
      <c r="S320" s="434" t="str">
        <f>'Supply chain'!L73</f>
        <v/>
      </c>
      <c r="T320" s="434">
        <f>'Supply chain'!M73</f>
        <v>0</v>
      </c>
      <c r="U320" s="434">
        <f>'Supply chain'!N73</f>
        <v>0</v>
      </c>
      <c r="V320" s="434">
        <f>'Supply chain'!O73</f>
        <v>0</v>
      </c>
      <c r="W320" s="434">
        <f>'Supply chain'!P73</f>
        <v>0</v>
      </c>
      <c r="X320" s="434">
        <f>'Supply chain'!Q73</f>
        <v>0</v>
      </c>
      <c r="Y320" s="434">
        <f>'Supply chain'!R73</f>
        <v>0</v>
      </c>
      <c r="Z320" s="434">
        <f>'Supply chain'!S73</f>
        <v>0</v>
      </c>
      <c r="AA320" s="434">
        <f>'Supply chain'!T73</f>
        <v>0</v>
      </c>
      <c r="AB320" s="434">
        <f>'Supply chain'!U73</f>
        <v>0</v>
      </c>
      <c r="AC320" s="434">
        <f>'Supply chain'!V73</f>
        <v>0</v>
      </c>
      <c r="AE320" s="432">
        <f t="shared" si="12"/>
        <v>0</v>
      </c>
      <c r="AF320" s="432">
        <f t="shared" si="13"/>
        <v>0</v>
      </c>
    </row>
    <row r="321" spans="2:32" x14ac:dyDescent="0.35">
      <c r="B321" s="432" t="e">
        <f>"2024"&amp;MATCH(Totals!D321,OrgType,0)&amp;"_"&amp;MATCH(Totals!E321,Organisations,0)&amp;"_"&amp;LEFT(Totals!F321,1)&amp;"_"&amp;LEFT(G321,1)&amp;"_"&amp;COUNTIF($G$3:G321,G321)</f>
        <v>#N/A</v>
      </c>
      <c r="C321" s="432">
        <v>2024</v>
      </c>
      <c r="D321" s="432">
        <f>Introduction!$D$7</f>
        <v>0</v>
      </c>
      <c r="E321" s="432">
        <f>Introduction!$D$8</f>
        <v>0</v>
      </c>
      <c r="F321" s="432" t="s">
        <v>558</v>
      </c>
      <c r="G321" s="432" t="s">
        <v>558</v>
      </c>
      <c r="H321" s="433"/>
      <c r="I321" s="434" t="str">
        <f>'Supply chain'!B74</f>
        <v>Transportation and storage</v>
      </c>
      <c r="J321" s="434">
        <f>'Supply chain'!C74</f>
        <v>51</v>
      </c>
      <c r="K321" s="434" t="str">
        <f>'Supply chain'!D74</f>
        <v xml:space="preserve">Air transport services             </v>
      </c>
      <c r="L321" s="434" t="str">
        <f>'Supply chain'!E74</f>
        <v>Tier 1</v>
      </c>
      <c r="M321" s="434">
        <f>'Supply chain'!F74</f>
        <v>0.25</v>
      </c>
      <c r="N321" s="434">
        <f>'Supply chain'!G74</f>
        <v>0</v>
      </c>
      <c r="O321" s="434" t="str">
        <f>'Supply chain'!H74</f>
        <v>£</v>
      </c>
      <c r="P321" s="434">
        <f>'Supply chain'!I74</f>
        <v>0</v>
      </c>
      <c r="Q321" s="434" t="str">
        <f>'Supply chain'!J74</f>
        <v>£</v>
      </c>
      <c r="R321" s="434">
        <f>'Supply chain'!K74</f>
        <v>1.5221593560185971</v>
      </c>
      <c r="S321" s="434" t="str">
        <f>'Supply chain'!L74</f>
        <v/>
      </c>
      <c r="T321" s="434">
        <f>'Supply chain'!M74</f>
        <v>0</v>
      </c>
      <c r="U321" s="434">
        <f>'Supply chain'!N74</f>
        <v>0</v>
      </c>
      <c r="V321" s="434">
        <f>'Supply chain'!O74</f>
        <v>0</v>
      </c>
      <c r="W321" s="434">
        <f>'Supply chain'!P74</f>
        <v>0</v>
      </c>
      <c r="X321" s="434">
        <f>'Supply chain'!Q74</f>
        <v>0</v>
      </c>
      <c r="Y321" s="434">
        <f>'Supply chain'!R74</f>
        <v>0</v>
      </c>
      <c r="Z321" s="434">
        <f>'Supply chain'!S74</f>
        <v>0</v>
      </c>
      <c r="AA321" s="434">
        <f>'Supply chain'!T74</f>
        <v>0</v>
      </c>
      <c r="AB321" s="434">
        <f>'Supply chain'!U74</f>
        <v>0</v>
      </c>
      <c r="AC321" s="434">
        <f>'Supply chain'!V74</f>
        <v>0</v>
      </c>
      <c r="AE321" s="432">
        <f t="shared" si="12"/>
        <v>0</v>
      </c>
      <c r="AF321" s="432">
        <f t="shared" si="13"/>
        <v>0</v>
      </c>
    </row>
    <row r="322" spans="2:32" x14ac:dyDescent="0.35">
      <c r="B322" s="432" t="e">
        <f>"2024"&amp;MATCH(Totals!D322,OrgType,0)&amp;"_"&amp;MATCH(Totals!E322,Organisations,0)&amp;"_"&amp;LEFT(Totals!F322,1)&amp;"_"&amp;LEFT(G322,1)&amp;"_"&amp;COUNTIF($G$3:G322,G322)</f>
        <v>#N/A</v>
      </c>
      <c r="C322" s="432">
        <v>2024</v>
      </c>
      <c r="D322" s="432">
        <f>Introduction!$D$7</f>
        <v>0</v>
      </c>
      <c r="E322" s="432">
        <f>Introduction!$D$8</f>
        <v>0</v>
      </c>
      <c r="F322" s="432" t="s">
        <v>558</v>
      </c>
      <c r="G322" s="432" t="s">
        <v>558</v>
      </c>
      <c r="H322" s="433"/>
      <c r="I322" s="434" t="str">
        <f>'Supply chain'!B75</f>
        <v>Transportation and storage</v>
      </c>
      <c r="J322" s="434">
        <f>'Supply chain'!C75</f>
        <v>52</v>
      </c>
      <c r="K322" s="434" t="str">
        <f>'Supply chain'!D75</f>
        <v xml:space="preserve">Warehousing and support services for transportation          </v>
      </c>
      <c r="L322" s="434" t="str">
        <f>'Supply chain'!E75</f>
        <v>Tier 1</v>
      </c>
      <c r="M322" s="434">
        <f>'Supply chain'!F75</f>
        <v>0.25</v>
      </c>
      <c r="N322" s="434">
        <f>'Supply chain'!G75</f>
        <v>0</v>
      </c>
      <c r="O322" s="434" t="str">
        <f>'Supply chain'!H75</f>
        <v>£</v>
      </c>
      <c r="P322" s="434">
        <f>'Supply chain'!I75</f>
        <v>0</v>
      </c>
      <c r="Q322" s="434" t="str">
        <f>'Supply chain'!J75</f>
        <v>£</v>
      </c>
      <c r="R322" s="434">
        <f>'Supply chain'!K75</f>
        <v>0.24376795453982661</v>
      </c>
      <c r="S322" s="434" t="str">
        <f>'Supply chain'!L75</f>
        <v/>
      </c>
      <c r="T322" s="434">
        <f>'Supply chain'!M75</f>
        <v>0</v>
      </c>
      <c r="U322" s="434">
        <f>'Supply chain'!N75</f>
        <v>0</v>
      </c>
      <c r="V322" s="434">
        <f>'Supply chain'!O75</f>
        <v>0</v>
      </c>
      <c r="W322" s="434">
        <f>'Supply chain'!P75</f>
        <v>0</v>
      </c>
      <c r="X322" s="434">
        <f>'Supply chain'!Q75</f>
        <v>0</v>
      </c>
      <c r="Y322" s="434">
        <f>'Supply chain'!R75</f>
        <v>0</v>
      </c>
      <c r="Z322" s="434">
        <f>'Supply chain'!S75</f>
        <v>0</v>
      </c>
      <c r="AA322" s="434">
        <f>'Supply chain'!T75</f>
        <v>0</v>
      </c>
      <c r="AB322" s="434">
        <f>'Supply chain'!U75</f>
        <v>0</v>
      </c>
      <c r="AC322" s="434">
        <f>'Supply chain'!V75</f>
        <v>0</v>
      </c>
      <c r="AE322" s="432">
        <f t="shared" si="12"/>
        <v>0</v>
      </c>
      <c r="AF322" s="432">
        <f t="shared" si="13"/>
        <v>0</v>
      </c>
    </row>
    <row r="323" spans="2:32" x14ac:dyDescent="0.35">
      <c r="B323" s="432" t="e">
        <f>"2024"&amp;MATCH(Totals!D323,OrgType,0)&amp;"_"&amp;MATCH(Totals!E323,Organisations,0)&amp;"_"&amp;LEFT(Totals!F323,1)&amp;"_"&amp;LEFT(G323,1)&amp;"_"&amp;COUNTIF($G$3:G323,G323)</f>
        <v>#N/A</v>
      </c>
      <c r="C323" s="432">
        <v>2024</v>
      </c>
      <c r="D323" s="432">
        <f>Introduction!$D$7</f>
        <v>0</v>
      </c>
      <c r="E323" s="432">
        <f>Introduction!$D$8</f>
        <v>0</v>
      </c>
      <c r="F323" s="432" t="s">
        <v>558</v>
      </c>
      <c r="G323" s="432" t="s">
        <v>558</v>
      </c>
      <c r="H323" s="433"/>
      <c r="I323" s="434" t="str">
        <f>'Supply chain'!B76</f>
        <v>Transportation and storage</v>
      </c>
      <c r="J323" s="434">
        <f>'Supply chain'!C76</f>
        <v>53</v>
      </c>
      <c r="K323" s="434" t="str">
        <f>'Supply chain'!D76</f>
        <v xml:space="preserve">Postal and courier services            </v>
      </c>
      <c r="L323" s="434" t="str">
        <f>'Supply chain'!E76</f>
        <v>Tier 1</v>
      </c>
      <c r="M323" s="434">
        <f>'Supply chain'!F76</f>
        <v>0.25</v>
      </c>
      <c r="N323" s="434">
        <f>'Supply chain'!G76</f>
        <v>0</v>
      </c>
      <c r="O323" s="434" t="str">
        <f>'Supply chain'!H76</f>
        <v>£</v>
      </c>
      <c r="P323" s="434">
        <f>'Supply chain'!I76</f>
        <v>0</v>
      </c>
      <c r="Q323" s="434" t="str">
        <f>'Supply chain'!J76</f>
        <v>£</v>
      </c>
      <c r="R323" s="434">
        <f>'Supply chain'!K76</f>
        <v>0.24937981289031211</v>
      </c>
      <c r="S323" s="434" t="str">
        <f>'Supply chain'!L76</f>
        <v/>
      </c>
      <c r="T323" s="434">
        <f>'Supply chain'!M76</f>
        <v>0</v>
      </c>
      <c r="U323" s="434">
        <f>'Supply chain'!N76</f>
        <v>0</v>
      </c>
      <c r="V323" s="434">
        <f>'Supply chain'!O76</f>
        <v>0</v>
      </c>
      <c r="W323" s="434">
        <f>'Supply chain'!P76</f>
        <v>0</v>
      </c>
      <c r="X323" s="434">
        <f>'Supply chain'!Q76</f>
        <v>0</v>
      </c>
      <c r="Y323" s="434">
        <f>'Supply chain'!R76</f>
        <v>0</v>
      </c>
      <c r="Z323" s="434">
        <f>'Supply chain'!S76</f>
        <v>0</v>
      </c>
      <c r="AA323" s="434">
        <f>'Supply chain'!T76</f>
        <v>0</v>
      </c>
      <c r="AB323" s="434">
        <f>'Supply chain'!U76</f>
        <v>0</v>
      </c>
      <c r="AC323" s="434">
        <f>'Supply chain'!V76</f>
        <v>0</v>
      </c>
      <c r="AE323" s="432">
        <f t="shared" si="12"/>
        <v>0</v>
      </c>
      <c r="AF323" s="432">
        <f t="shared" si="13"/>
        <v>0</v>
      </c>
    </row>
    <row r="324" spans="2:32" x14ac:dyDescent="0.35">
      <c r="B324" s="432" t="e">
        <f>"2024"&amp;MATCH(Totals!D324,OrgType,0)&amp;"_"&amp;MATCH(Totals!E324,Organisations,0)&amp;"_"&amp;LEFT(Totals!F324,1)&amp;"_"&amp;LEFT(G324,1)&amp;"_"&amp;COUNTIF($G$3:G324,G324)</f>
        <v>#N/A</v>
      </c>
      <c r="C324" s="432">
        <v>2024</v>
      </c>
      <c r="D324" s="432">
        <f>Introduction!$D$7</f>
        <v>0</v>
      </c>
      <c r="E324" s="432">
        <f>Introduction!$D$8</f>
        <v>0</v>
      </c>
      <c r="F324" s="432" t="s">
        <v>558</v>
      </c>
      <c r="G324" s="432" t="s">
        <v>558</v>
      </c>
      <c r="H324" s="433"/>
      <c r="I324" s="434" t="str">
        <f>'Supply chain'!B77</f>
        <v>Accommodation and food service activities</v>
      </c>
      <c r="J324" s="434">
        <f>'Supply chain'!C77</f>
        <v>55</v>
      </c>
      <c r="K324" s="434" t="str">
        <f>'Supply chain'!D77</f>
        <v xml:space="preserve">Accommodation services              </v>
      </c>
      <c r="L324" s="434" t="str">
        <f>'Supply chain'!E77</f>
        <v>Tier 1</v>
      </c>
      <c r="M324" s="434">
        <f>'Supply chain'!F77</f>
        <v>0.25</v>
      </c>
      <c r="N324" s="434">
        <f>'Supply chain'!G77</f>
        <v>0</v>
      </c>
      <c r="O324" s="434" t="str">
        <f>'Supply chain'!H77</f>
        <v>£</v>
      </c>
      <c r="P324" s="434">
        <f>'Supply chain'!I77</f>
        <v>0</v>
      </c>
      <c r="Q324" s="434" t="str">
        <f>'Supply chain'!J77</f>
        <v>£</v>
      </c>
      <c r="R324" s="434">
        <f>'Supply chain'!K77</f>
        <v>0.32444602703376968</v>
      </c>
      <c r="S324" s="434" t="str">
        <f>'Supply chain'!L77</f>
        <v/>
      </c>
      <c r="T324" s="434">
        <f>'Supply chain'!M77</f>
        <v>0</v>
      </c>
      <c r="U324" s="434">
        <f>'Supply chain'!N77</f>
        <v>0</v>
      </c>
      <c r="V324" s="434">
        <f>'Supply chain'!O77</f>
        <v>0</v>
      </c>
      <c r="W324" s="434">
        <f>'Supply chain'!P77</f>
        <v>0</v>
      </c>
      <c r="X324" s="434">
        <f>'Supply chain'!Q77</f>
        <v>0</v>
      </c>
      <c r="Y324" s="434">
        <f>'Supply chain'!R77</f>
        <v>0</v>
      </c>
      <c r="Z324" s="434">
        <f>'Supply chain'!S77</f>
        <v>0</v>
      </c>
      <c r="AA324" s="434">
        <f>'Supply chain'!T77</f>
        <v>0</v>
      </c>
      <c r="AB324" s="434">
        <f>'Supply chain'!U77</f>
        <v>0</v>
      </c>
      <c r="AC324" s="434">
        <f>'Supply chain'!V77</f>
        <v>0</v>
      </c>
      <c r="AE324" s="432">
        <f t="shared" si="12"/>
        <v>0</v>
      </c>
      <c r="AF324" s="432">
        <f t="shared" si="13"/>
        <v>0</v>
      </c>
    </row>
    <row r="325" spans="2:32" x14ac:dyDescent="0.35">
      <c r="B325" s="432" t="e">
        <f>"2024"&amp;MATCH(Totals!D325,OrgType,0)&amp;"_"&amp;MATCH(Totals!E325,Organisations,0)&amp;"_"&amp;LEFT(Totals!F325,1)&amp;"_"&amp;LEFT(G325,1)&amp;"_"&amp;COUNTIF($G$3:G325,G325)</f>
        <v>#N/A</v>
      </c>
      <c r="C325" s="432">
        <v>2024</v>
      </c>
      <c r="D325" s="432">
        <f>Introduction!$D$7</f>
        <v>0</v>
      </c>
      <c r="E325" s="432">
        <f>Introduction!$D$8</f>
        <v>0</v>
      </c>
      <c r="F325" s="432" t="s">
        <v>558</v>
      </c>
      <c r="G325" s="432" t="s">
        <v>558</v>
      </c>
      <c r="H325" s="433"/>
      <c r="I325" s="434" t="str">
        <f>'Supply chain'!B78</f>
        <v>Accommodation and food service activities</v>
      </c>
      <c r="J325" s="434">
        <f>'Supply chain'!C78</f>
        <v>56</v>
      </c>
      <c r="K325" s="434" t="str">
        <f>'Supply chain'!D78</f>
        <v xml:space="preserve">Food and beverage serving services           </v>
      </c>
      <c r="L325" s="434" t="str">
        <f>'Supply chain'!E78</f>
        <v>Tier 1</v>
      </c>
      <c r="M325" s="434">
        <f>'Supply chain'!F78</f>
        <v>0.25</v>
      </c>
      <c r="N325" s="434">
        <f>'Supply chain'!G78</f>
        <v>0</v>
      </c>
      <c r="O325" s="434" t="str">
        <f>'Supply chain'!H78</f>
        <v>£</v>
      </c>
      <c r="P325" s="434">
        <f>'Supply chain'!I78</f>
        <v>0</v>
      </c>
      <c r="Q325" s="434" t="str">
        <f>'Supply chain'!J78</f>
        <v>£</v>
      </c>
      <c r="R325" s="434">
        <f>'Supply chain'!K78</f>
        <v>0.28886167518608219</v>
      </c>
      <c r="S325" s="434" t="str">
        <f>'Supply chain'!L78</f>
        <v/>
      </c>
      <c r="T325" s="434">
        <f>'Supply chain'!M78</f>
        <v>0</v>
      </c>
      <c r="U325" s="434">
        <f>'Supply chain'!N78</f>
        <v>0</v>
      </c>
      <c r="V325" s="434">
        <f>'Supply chain'!O78</f>
        <v>0</v>
      </c>
      <c r="W325" s="434">
        <f>'Supply chain'!P78</f>
        <v>0</v>
      </c>
      <c r="X325" s="434">
        <f>'Supply chain'!Q78</f>
        <v>0</v>
      </c>
      <c r="Y325" s="434">
        <f>'Supply chain'!R78</f>
        <v>0</v>
      </c>
      <c r="Z325" s="434">
        <f>'Supply chain'!S78</f>
        <v>0</v>
      </c>
      <c r="AA325" s="434">
        <f>'Supply chain'!T78</f>
        <v>0</v>
      </c>
      <c r="AB325" s="434">
        <f>'Supply chain'!U78</f>
        <v>0</v>
      </c>
      <c r="AC325" s="434">
        <f>'Supply chain'!V78</f>
        <v>0</v>
      </c>
      <c r="AE325" s="432">
        <f t="shared" si="12"/>
        <v>0</v>
      </c>
      <c r="AF325" s="432">
        <f t="shared" si="13"/>
        <v>0</v>
      </c>
    </row>
    <row r="326" spans="2:32" x14ac:dyDescent="0.35">
      <c r="B326" s="432" t="e">
        <f>"2024"&amp;MATCH(Totals!D326,OrgType,0)&amp;"_"&amp;MATCH(Totals!E326,Organisations,0)&amp;"_"&amp;LEFT(Totals!F326,1)&amp;"_"&amp;LEFT(G326,1)&amp;"_"&amp;COUNTIF($G$3:G326,G326)</f>
        <v>#N/A</v>
      </c>
      <c r="C326" s="432">
        <v>2024</v>
      </c>
      <c r="D326" s="432">
        <f>Introduction!$D$7</f>
        <v>0</v>
      </c>
      <c r="E326" s="432">
        <f>Introduction!$D$8</f>
        <v>0</v>
      </c>
      <c r="F326" s="432" t="s">
        <v>558</v>
      </c>
      <c r="G326" s="432" t="s">
        <v>558</v>
      </c>
      <c r="H326" s="433"/>
      <c r="I326" s="434" t="str">
        <f>'Supply chain'!B79</f>
        <v>Information and communication</v>
      </c>
      <c r="J326" s="434">
        <f>'Supply chain'!C79</f>
        <v>58</v>
      </c>
      <c r="K326" s="434" t="str">
        <f>'Supply chain'!D79</f>
        <v xml:space="preserve">Publishing services              </v>
      </c>
      <c r="L326" s="434" t="str">
        <f>'Supply chain'!E79</f>
        <v>Tier 1</v>
      </c>
      <c r="M326" s="434">
        <f>'Supply chain'!F79</f>
        <v>0.25</v>
      </c>
      <c r="N326" s="434">
        <f>'Supply chain'!G79</f>
        <v>0</v>
      </c>
      <c r="O326" s="434" t="str">
        <f>'Supply chain'!H79</f>
        <v>£</v>
      </c>
      <c r="P326" s="434">
        <f>'Supply chain'!I79</f>
        <v>0</v>
      </c>
      <c r="Q326" s="434" t="str">
        <f>'Supply chain'!J79</f>
        <v>£</v>
      </c>
      <c r="R326" s="434">
        <f>'Supply chain'!K79</f>
        <v>8.0219457227851232E-2</v>
      </c>
      <c r="S326" s="434" t="str">
        <f>'Supply chain'!L79</f>
        <v/>
      </c>
      <c r="T326" s="434">
        <f>'Supply chain'!M79</f>
        <v>0</v>
      </c>
      <c r="U326" s="434">
        <f>'Supply chain'!N79</f>
        <v>0</v>
      </c>
      <c r="V326" s="434">
        <f>'Supply chain'!O79</f>
        <v>0</v>
      </c>
      <c r="W326" s="434">
        <f>'Supply chain'!P79</f>
        <v>0</v>
      </c>
      <c r="X326" s="434">
        <f>'Supply chain'!Q79</f>
        <v>0</v>
      </c>
      <c r="Y326" s="434">
        <f>'Supply chain'!R79</f>
        <v>0</v>
      </c>
      <c r="Z326" s="434">
        <f>'Supply chain'!S79</f>
        <v>0</v>
      </c>
      <c r="AA326" s="434">
        <f>'Supply chain'!T79</f>
        <v>0</v>
      </c>
      <c r="AB326" s="434">
        <f>'Supply chain'!U79</f>
        <v>0</v>
      </c>
      <c r="AC326" s="434">
        <f>'Supply chain'!V79</f>
        <v>0</v>
      </c>
      <c r="AE326" s="432">
        <f t="shared" si="12"/>
        <v>0</v>
      </c>
      <c r="AF326" s="432">
        <f t="shared" si="13"/>
        <v>0</v>
      </c>
    </row>
    <row r="327" spans="2:32" x14ac:dyDescent="0.35">
      <c r="B327" s="432" t="e">
        <f>"2024"&amp;MATCH(Totals!D327,OrgType,0)&amp;"_"&amp;MATCH(Totals!E327,Organisations,0)&amp;"_"&amp;LEFT(Totals!F327,1)&amp;"_"&amp;LEFT(G327,1)&amp;"_"&amp;COUNTIF($G$3:G327,G327)</f>
        <v>#N/A</v>
      </c>
      <c r="C327" s="432">
        <v>2024</v>
      </c>
      <c r="D327" s="432">
        <f>Introduction!$D$7</f>
        <v>0</v>
      </c>
      <c r="E327" s="432">
        <f>Introduction!$D$8</f>
        <v>0</v>
      </c>
      <c r="F327" s="432" t="s">
        <v>558</v>
      </c>
      <c r="G327" s="432" t="s">
        <v>558</v>
      </c>
      <c r="H327" s="433"/>
      <c r="I327" s="434" t="str">
        <f>'Supply chain'!B80</f>
        <v>Information and communication</v>
      </c>
      <c r="J327" s="434">
        <f>'Supply chain'!C80</f>
        <v>59</v>
      </c>
      <c r="K327" s="434" t="str">
        <f>'Supply chain'!D80</f>
        <v xml:space="preserve">Motion picture, video and TV programme production services, sound recording &amp; music publishing   </v>
      </c>
      <c r="L327" s="434" t="str">
        <f>'Supply chain'!E80</f>
        <v>Tier 1</v>
      </c>
      <c r="M327" s="434">
        <f>'Supply chain'!F80</f>
        <v>0.25</v>
      </c>
      <c r="N327" s="434">
        <f>'Supply chain'!G80</f>
        <v>0</v>
      </c>
      <c r="O327" s="434" t="str">
        <f>'Supply chain'!H80</f>
        <v>£</v>
      </c>
      <c r="P327" s="434">
        <f>'Supply chain'!I80</f>
        <v>0</v>
      </c>
      <c r="Q327" s="434" t="str">
        <f>'Supply chain'!J80</f>
        <v>£</v>
      </c>
      <c r="R327" s="434">
        <f>'Supply chain'!K80</f>
        <v>0.1101389562964399</v>
      </c>
      <c r="S327" s="434" t="str">
        <f>'Supply chain'!L80</f>
        <v/>
      </c>
      <c r="T327" s="434">
        <f>'Supply chain'!M80</f>
        <v>0</v>
      </c>
      <c r="U327" s="434">
        <f>'Supply chain'!N80</f>
        <v>0</v>
      </c>
      <c r="V327" s="434">
        <f>'Supply chain'!O80</f>
        <v>0</v>
      </c>
      <c r="W327" s="434">
        <f>'Supply chain'!P80</f>
        <v>0</v>
      </c>
      <c r="X327" s="434">
        <f>'Supply chain'!Q80</f>
        <v>0</v>
      </c>
      <c r="Y327" s="434">
        <f>'Supply chain'!R80</f>
        <v>0</v>
      </c>
      <c r="Z327" s="434">
        <f>'Supply chain'!S80</f>
        <v>0</v>
      </c>
      <c r="AA327" s="434">
        <f>'Supply chain'!T80</f>
        <v>0</v>
      </c>
      <c r="AB327" s="434">
        <f>'Supply chain'!U80</f>
        <v>0</v>
      </c>
      <c r="AC327" s="434">
        <f>'Supply chain'!V80</f>
        <v>0</v>
      </c>
      <c r="AE327" s="432">
        <f t="shared" si="12"/>
        <v>0</v>
      </c>
      <c r="AF327" s="432">
        <f t="shared" si="13"/>
        <v>0</v>
      </c>
    </row>
    <row r="328" spans="2:32" x14ac:dyDescent="0.35">
      <c r="B328" s="432" t="e">
        <f>"2024"&amp;MATCH(Totals!D328,OrgType,0)&amp;"_"&amp;MATCH(Totals!E328,Organisations,0)&amp;"_"&amp;LEFT(Totals!F328,1)&amp;"_"&amp;LEFT(G328,1)&amp;"_"&amp;COUNTIF($G$3:G328,G328)</f>
        <v>#N/A</v>
      </c>
      <c r="C328" s="432">
        <v>2024</v>
      </c>
      <c r="D328" s="432">
        <f>Introduction!$D$7</f>
        <v>0</v>
      </c>
      <c r="E328" s="432">
        <f>Introduction!$D$8</f>
        <v>0</v>
      </c>
      <c r="F328" s="432" t="s">
        <v>558</v>
      </c>
      <c r="G328" s="432" t="s">
        <v>558</v>
      </c>
      <c r="H328" s="433"/>
      <c r="I328" s="434" t="str">
        <f>'Supply chain'!B81</f>
        <v>Information and communication</v>
      </c>
      <c r="J328" s="434">
        <f>'Supply chain'!C81</f>
        <v>60</v>
      </c>
      <c r="K328" s="434" t="str">
        <f>'Supply chain'!D81</f>
        <v xml:space="preserve">Programming and broadcasting services            </v>
      </c>
      <c r="L328" s="434" t="str">
        <f>'Supply chain'!E81</f>
        <v>Tier 1</v>
      </c>
      <c r="M328" s="434">
        <f>'Supply chain'!F81</f>
        <v>0.25</v>
      </c>
      <c r="N328" s="434">
        <f>'Supply chain'!G81</f>
        <v>0</v>
      </c>
      <c r="O328" s="434" t="str">
        <f>'Supply chain'!H81</f>
        <v>£</v>
      </c>
      <c r="P328" s="434">
        <f>'Supply chain'!I81</f>
        <v>0</v>
      </c>
      <c r="Q328" s="434" t="str">
        <f>'Supply chain'!J81</f>
        <v>£</v>
      </c>
      <c r="R328" s="434">
        <f>'Supply chain'!K81</f>
        <v>0.11919581648223911</v>
      </c>
      <c r="S328" s="434" t="str">
        <f>'Supply chain'!L81</f>
        <v/>
      </c>
      <c r="T328" s="434">
        <f>'Supply chain'!M81</f>
        <v>0</v>
      </c>
      <c r="U328" s="434">
        <f>'Supply chain'!N81</f>
        <v>0</v>
      </c>
      <c r="V328" s="434">
        <f>'Supply chain'!O81</f>
        <v>0</v>
      </c>
      <c r="W328" s="434">
        <f>'Supply chain'!P81</f>
        <v>0</v>
      </c>
      <c r="X328" s="434">
        <f>'Supply chain'!Q81</f>
        <v>0</v>
      </c>
      <c r="Y328" s="434">
        <f>'Supply chain'!R81</f>
        <v>0</v>
      </c>
      <c r="Z328" s="434">
        <f>'Supply chain'!S81</f>
        <v>0</v>
      </c>
      <c r="AA328" s="434">
        <f>'Supply chain'!T81</f>
        <v>0</v>
      </c>
      <c r="AB328" s="434">
        <f>'Supply chain'!U81</f>
        <v>0</v>
      </c>
      <c r="AC328" s="434">
        <f>'Supply chain'!V81</f>
        <v>0</v>
      </c>
      <c r="AE328" s="432">
        <f t="shared" si="12"/>
        <v>0</v>
      </c>
      <c r="AF328" s="432">
        <f t="shared" si="13"/>
        <v>0</v>
      </c>
    </row>
    <row r="329" spans="2:32" x14ac:dyDescent="0.35">
      <c r="B329" s="432" t="e">
        <f>"2024"&amp;MATCH(Totals!D329,OrgType,0)&amp;"_"&amp;MATCH(Totals!E329,Organisations,0)&amp;"_"&amp;LEFT(Totals!F329,1)&amp;"_"&amp;LEFT(G329,1)&amp;"_"&amp;COUNTIF($G$3:G329,G329)</f>
        <v>#N/A</v>
      </c>
      <c r="C329" s="432">
        <v>2024</v>
      </c>
      <c r="D329" s="432">
        <f>Introduction!$D$7</f>
        <v>0</v>
      </c>
      <c r="E329" s="432">
        <f>Introduction!$D$8</f>
        <v>0</v>
      </c>
      <c r="F329" s="432" t="s">
        <v>558</v>
      </c>
      <c r="G329" s="432" t="s">
        <v>558</v>
      </c>
      <c r="H329" s="433"/>
      <c r="I329" s="434" t="str">
        <f>'Supply chain'!B82</f>
        <v>Information and communication</v>
      </c>
      <c r="J329" s="434">
        <f>'Supply chain'!C82</f>
        <v>61</v>
      </c>
      <c r="K329" s="434" t="str">
        <f>'Supply chain'!D82</f>
        <v xml:space="preserve">Telecommunications services              </v>
      </c>
      <c r="L329" s="434" t="str">
        <f>'Supply chain'!E82</f>
        <v>Tier 1</v>
      </c>
      <c r="M329" s="434">
        <f>'Supply chain'!F82</f>
        <v>0.25</v>
      </c>
      <c r="N329" s="434">
        <f>'Supply chain'!G82</f>
        <v>0</v>
      </c>
      <c r="O329" s="434" t="str">
        <f>'Supply chain'!H82</f>
        <v>£</v>
      </c>
      <c r="P329" s="434">
        <f>'Supply chain'!I82</f>
        <v>0</v>
      </c>
      <c r="Q329" s="434" t="str">
        <f>'Supply chain'!J82</f>
        <v>£</v>
      </c>
      <c r="R329" s="434">
        <f>'Supply chain'!K82</f>
        <v>0.10520703191029331</v>
      </c>
      <c r="S329" s="434" t="str">
        <f>'Supply chain'!L82</f>
        <v/>
      </c>
      <c r="T329" s="434">
        <f>'Supply chain'!M82</f>
        <v>0</v>
      </c>
      <c r="U329" s="434">
        <f>'Supply chain'!N82</f>
        <v>0</v>
      </c>
      <c r="V329" s="434">
        <f>'Supply chain'!O82</f>
        <v>0</v>
      </c>
      <c r="W329" s="434">
        <f>'Supply chain'!P82</f>
        <v>0</v>
      </c>
      <c r="X329" s="434">
        <f>'Supply chain'!Q82</f>
        <v>0</v>
      </c>
      <c r="Y329" s="434">
        <f>'Supply chain'!R82</f>
        <v>0</v>
      </c>
      <c r="Z329" s="434">
        <f>'Supply chain'!S82</f>
        <v>0</v>
      </c>
      <c r="AA329" s="434">
        <f>'Supply chain'!T82</f>
        <v>0</v>
      </c>
      <c r="AB329" s="434">
        <f>'Supply chain'!U82</f>
        <v>0</v>
      </c>
      <c r="AC329" s="434">
        <f>'Supply chain'!V82</f>
        <v>0</v>
      </c>
      <c r="AE329" s="432">
        <f t="shared" si="12"/>
        <v>0</v>
      </c>
      <c r="AF329" s="432">
        <f t="shared" si="13"/>
        <v>0</v>
      </c>
    </row>
    <row r="330" spans="2:32" x14ac:dyDescent="0.35">
      <c r="B330" s="432" t="e">
        <f>"2024"&amp;MATCH(Totals!D330,OrgType,0)&amp;"_"&amp;MATCH(Totals!E330,Organisations,0)&amp;"_"&amp;LEFT(Totals!F330,1)&amp;"_"&amp;LEFT(G330,1)&amp;"_"&amp;COUNTIF($G$3:G330,G330)</f>
        <v>#N/A</v>
      </c>
      <c r="C330" s="432">
        <v>2024</v>
      </c>
      <c r="D330" s="432">
        <f>Introduction!$D$7</f>
        <v>0</v>
      </c>
      <c r="E330" s="432">
        <f>Introduction!$D$8</f>
        <v>0</v>
      </c>
      <c r="F330" s="432" t="s">
        <v>558</v>
      </c>
      <c r="G330" s="432" t="s">
        <v>558</v>
      </c>
      <c r="H330" s="433"/>
      <c r="I330" s="434" t="str">
        <f>'Supply chain'!B83</f>
        <v>Information and communication</v>
      </c>
      <c r="J330" s="434">
        <f>'Supply chain'!C83</f>
        <v>62</v>
      </c>
      <c r="K330" s="434" t="str">
        <f>'Supply chain'!D83</f>
        <v xml:space="preserve">Computer programming, consultancy and related services          </v>
      </c>
      <c r="L330" s="434" t="str">
        <f>'Supply chain'!E83</f>
        <v>Tier 1</v>
      </c>
      <c r="M330" s="434">
        <f>'Supply chain'!F83</f>
        <v>0.25</v>
      </c>
      <c r="N330" s="434">
        <f>'Supply chain'!G83</f>
        <v>0</v>
      </c>
      <c r="O330" s="434" t="str">
        <f>'Supply chain'!H83</f>
        <v>£</v>
      </c>
      <c r="P330" s="434">
        <f>'Supply chain'!I83</f>
        <v>0</v>
      </c>
      <c r="Q330" s="434" t="str">
        <f>'Supply chain'!J83</f>
        <v>£</v>
      </c>
      <c r="R330" s="434">
        <f>'Supply chain'!K83</f>
        <v>0.13144659704407699</v>
      </c>
      <c r="S330" s="434" t="str">
        <f>'Supply chain'!L83</f>
        <v/>
      </c>
      <c r="T330" s="434">
        <f>'Supply chain'!M83</f>
        <v>0</v>
      </c>
      <c r="U330" s="434">
        <f>'Supply chain'!N83</f>
        <v>0</v>
      </c>
      <c r="V330" s="434">
        <f>'Supply chain'!O83</f>
        <v>0</v>
      </c>
      <c r="W330" s="434">
        <f>'Supply chain'!P83</f>
        <v>0</v>
      </c>
      <c r="X330" s="434">
        <f>'Supply chain'!Q83</f>
        <v>0</v>
      </c>
      <c r="Y330" s="434">
        <f>'Supply chain'!R83</f>
        <v>0</v>
      </c>
      <c r="Z330" s="434">
        <f>'Supply chain'!S83</f>
        <v>0</v>
      </c>
      <c r="AA330" s="434">
        <f>'Supply chain'!T83</f>
        <v>0</v>
      </c>
      <c r="AB330" s="434">
        <f>'Supply chain'!U83</f>
        <v>0</v>
      </c>
      <c r="AC330" s="434">
        <f>'Supply chain'!V83</f>
        <v>0</v>
      </c>
      <c r="AE330" s="432">
        <f t="shared" si="12"/>
        <v>0</v>
      </c>
      <c r="AF330" s="432">
        <f t="shared" si="13"/>
        <v>0</v>
      </c>
    </row>
    <row r="331" spans="2:32" x14ac:dyDescent="0.35">
      <c r="B331" s="432" t="e">
        <f>"2024"&amp;MATCH(Totals!D331,OrgType,0)&amp;"_"&amp;MATCH(Totals!E331,Organisations,0)&amp;"_"&amp;LEFT(Totals!F331,1)&amp;"_"&amp;LEFT(G331,1)&amp;"_"&amp;COUNTIF($G$3:G331,G331)</f>
        <v>#N/A</v>
      </c>
      <c r="C331" s="432">
        <v>2024</v>
      </c>
      <c r="D331" s="432">
        <f>Introduction!$D$7</f>
        <v>0</v>
      </c>
      <c r="E331" s="432">
        <f>Introduction!$D$8</f>
        <v>0</v>
      </c>
      <c r="F331" s="432" t="s">
        <v>558</v>
      </c>
      <c r="G331" s="432" t="s">
        <v>558</v>
      </c>
      <c r="H331" s="433"/>
      <c r="I331" s="434" t="str">
        <f>'Supply chain'!B84</f>
        <v>Information and communication</v>
      </c>
      <c r="J331" s="434">
        <f>'Supply chain'!C84</f>
        <v>63</v>
      </c>
      <c r="K331" s="434" t="str">
        <f>'Supply chain'!D84</f>
        <v xml:space="preserve">Information services              </v>
      </c>
      <c r="L331" s="434" t="str">
        <f>'Supply chain'!E84</f>
        <v>Tier 1</v>
      </c>
      <c r="M331" s="434">
        <f>'Supply chain'!F84</f>
        <v>0.25</v>
      </c>
      <c r="N331" s="434">
        <f>'Supply chain'!G84</f>
        <v>0</v>
      </c>
      <c r="O331" s="434" t="str">
        <f>'Supply chain'!H84</f>
        <v>£</v>
      </c>
      <c r="P331" s="434">
        <f>'Supply chain'!I84</f>
        <v>0</v>
      </c>
      <c r="Q331" s="434" t="str">
        <f>'Supply chain'!J84</f>
        <v>£</v>
      </c>
      <c r="R331" s="434">
        <f>'Supply chain'!K84</f>
        <v>0.16934169875693919</v>
      </c>
      <c r="S331" s="434" t="str">
        <f>'Supply chain'!L84</f>
        <v/>
      </c>
      <c r="T331" s="434">
        <f>'Supply chain'!M84</f>
        <v>0</v>
      </c>
      <c r="U331" s="434">
        <f>'Supply chain'!N84</f>
        <v>0</v>
      </c>
      <c r="V331" s="434">
        <f>'Supply chain'!O84</f>
        <v>0</v>
      </c>
      <c r="W331" s="434">
        <f>'Supply chain'!P84</f>
        <v>0</v>
      </c>
      <c r="X331" s="434">
        <f>'Supply chain'!Q84</f>
        <v>0</v>
      </c>
      <c r="Y331" s="434">
        <f>'Supply chain'!R84</f>
        <v>0</v>
      </c>
      <c r="Z331" s="434">
        <f>'Supply chain'!S84</f>
        <v>0</v>
      </c>
      <c r="AA331" s="434">
        <f>'Supply chain'!T84</f>
        <v>0</v>
      </c>
      <c r="AB331" s="434">
        <f>'Supply chain'!U84</f>
        <v>0</v>
      </c>
      <c r="AC331" s="434">
        <f>'Supply chain'!V84</f>
        <v>0</v>
      </c>
      <c r="AE331" s="432">
        <f t="shared" si="12"/>
        <v>0</v>
      </c>
      <c r="AF331" s="432">
        <f t="shared" si="13"/>
        <v>0</v>
      </c>
    </row>
    <row r="332" spans="2:32" x14ac:dyDescent="0.35">
      <c r="B332" s="432" t="e">
        <f>"2024"&amp;MATCH(Totals!D332,OrgType,0)&amp;"_"&amp;MATCH(Totals!E332,Organisations,0)&amp;"_"&amp;LEFT(Totals!F332,1)&amp;"_"&amp;LEFT(G332,1)&amp;"_"&amp;COUNTIF($G$3:G332,G332)</f>
        <v>#N/A</v>
      </c>
      <c r="C332" s="432">
        <v>2024</v>
      </c>
      <c r="D332" s="432">
        <f>Introduction!$D$7</f>
        <v>0</v>
      </c>
      <c r="E332" s="432">
        <f>Introduction!$D$8</f>
        <v>0</v>
      </c>
      <c r="F332" s="432" t="s">
        <v>558</v>
      </c>
      <c r="G332" s="432" t="s">
        <v>558</v>
      </c>
      <c r="H332" s="433"/>
      <c r="I332" s="434" t="str">
        <f>'Supply chain'!B85</f>
        <v>Financial and insurance activities</v>
      </c>
      <c r="J332" s="434">
        <f>'Supply chain'!C85</f>
        <v>64</v>
      </c>
      <c r="K332" s="434" t="str">
        <f>'Supply chain'!D85</f>
        <v xml:space="preserve">Financial services, except insurance and pension funding         </v>
      </c>
      <c r="L332" s="434" t="str">
        <f>'Supply chain'!E85</f>
        <v>Tier 1</v>
      </c>
      <c r="M332" s="434">
        <f>'Supply chain'!F85</f>
        <v>0.25</v>
      </c>
      <c r="N332" s="434">
        <f>'Supply chain'!G85</f>
        <v>0</v>
      </c>
      <c r="O332" s="434" t="str">
        <f>'Supply chain'!H85</f>
        <v>£</v>
      </c>
      <c r="P332" s="434">
        <f>'Supply chain'!I85</f>
        <v>0</v>
      </c>
      <c r="Q332" s="434" t="str">
        <f>'Supply chain'!J85</f>
        <v>£</v>
      </c>
      <c r="R332" s="434">
        <f>'Supply chain'!K85</f>
        <v>0.1103075939416239</v>
      </c>
      <c r="S332" s="434" t="str">
        <f>'Supply chain'!L85</f>
        <v/>
      </c>
      <c r="T332" s="434">
        <f>'Supply chain'!M85</f>
        <v>0</v>
      </c>
      <c r="U332" s="434">
        <f>'Supply chain'!N85</f>
        <v>0</v>
      </c>
      <c r="V332" s="434">
        <f>'Supply chain'!O85</f>
        <v>0</v>
      </c>
      <c r="W332" s="434">
        <f>'Supply chain'!P85</f>
        <v>0</v>
      </c>
      <c r="X332" s="434">
        <f>'Supply chain'!Q85</f>
        <v>0</v>
      </c>
      <c r="Y332" s="434">
        <f>'Supply chain'!R85</f>
        <v>0</v>
      </c>
      <c r="Z332" s="434">
        <f>'Supply chain'!S85</f>
        <v>0</v>
      </c>
      <c r="AA332" s="434">
        <f>'Supply chain'!T85</f>
        <v>0</v>
      </c>
      <c r="AB332" s="434">
        <f>'Supply chain'!U85</f>
        <v>0</v>
      </c>
      <c r="AC332" s="434">
        <f>'Supply chain'!V85</f>
        <v>0</v>
      </c>
      <c r="AE332" s="432">
        <f t="shared" si="12"/>
        <v>0</v>
      </c>
      <c r="AF332" s="432">
        <f t="shared" si="13"/>
        <v>0</v>
      </c>
    </row>
    <row r="333" spans="2:32" x14ac:dyDescent="0.35">
      <c r="B333" s="432" t="e">
        <f>"2024"&amp;MATCH(Totals!D333,OrgType,0)&amp;"_"&amp;MATCH(Totals!E333,Organisations,0)&amp;"_"&amp;LEFT(Totals!F333,1)&amp;"_"&amp;LEFT(G333,1)&amp;"_"&amp;COUNTIF($G$3:G333,G333)</f>
        <v>#N/A</v>
      </c>
      <c r="C333" s="432">
        <v>2024</v>
      </c>
      <c r="D333" s="432">
        <f>Introduction!$D$7</f>
        <v>0</v>
      </c>
      <c r="E333" s="432">
        <f>Introduction!$D$8</f>
        <v>0</v>
      </c>
      <c r="F333" s="432" t="s">
        <v>558</v>
      </c>
      <c r="G333" s="432" t="s">
        <v>558</v>
      </c>
      <c r="H333" s="433"/>
      <c r="I333" s="434" t="str">
        <f>'Supply chain'!B86</f>
        <v>Financial and insurance activities</v>
      </c>
      <c r="J333" s="434" t="str">
        <f>'Supply chain'!C86</f>
        <v>65.1-2</v>
      </c>
      <c r="K333" s="434" t="str">
        <f>'Supply chain'!D86</f>
        <v xml:space="preserve">Insurance and reinsurance services, except compulsory social security      </v>
      </c>
      <c r="L333" s="434" t="str">
        <f>'Supply chain'!E86</f>
        <v>Tier 1</v>
      </c>
      <c r="M333" s="434">
        <f>'Supply chain'!F86</f>
        <v>0.25</v>
      </c>
      <c r="N333" s="434">
        <f>'Supply chain'!G86</f>
        <v>0</v>
      </c>
      <c r="O333" s="434" t="str">
        <f>'Supply chain'!H86</f>
        <v>£</v>
      </c>
      <c r="P333" s="434">
        <f>'Supply chain'!I86</f>
        <v>0</v>
      </c>
      <c r="Q333" s="434" t="str">
        <f>'Supply chain'!J86</f>
        <v>£</v>
      </c>
      <c r="R333" s="434">
        <f>'Supply chain'!K86</f>
        <v>7.5671294490098365E-2</v>
      </c>
      <c r="S333" s="434" t="str">
        <f>'Supply chain'!L86</f>
        <v/>
      </c>
      <c r="T333" s="434">
        <f>'Supply chain'!M86</f>
        <v>0</v>
      </c>
      <c r="U333" s="434">
        <f>'Supply chain'!N86</f>
        <v>0</v>
      </c>
      <c r="V333" s="434">
        <f>'Supply chain'!O86</f>
        <v>0</v>
      </c>
      <c r="W333" s="434">
        <f>'Supply chain'!P86</f>
        <v>0</v>
      </c>
      <c r="X333" s="434">
        <f>'Supply chain'!Q86</f>
        <v>0</v>
      </c>
      <c r="Y333" s="434">
        <f>'Supply chain'!R86</f>
        <v>0</v>
      </c>
      <c r="Z333" s="434">
        <f>'Supply chain'!S86</f>
        <v>0</v>
      </c>
      <c r="AA333" s="434">
        <f>'Supply chain'!T86</f>
        <v>0</v>
      </c>
      <c r="AB333" s="434">
        <f>'Supply chain'!U86</f>
        <v>0</v>
      </c>
      <c r="AC333" s="434">
        <f>'Supply chain'!V86</f>
        <v>0</v>
      </c>
      <c r="AE333" s="432">
        <f t="shared" si="12"/>
        <v>0</v>
      </c>
      <c r="AF333" s="432">
        <f t="shared" si="13"/>
        <v>0</v>
      </c>
    </row>
    <row r="334" spans="2:32" x14ac:dyDescent="0.35">
      <c r="B334" s="432" t="e">
        <f>"2024"&amp;MATCH(Totals!D334,OrgType,0)&amp;"_"&amp;MATCH(Totals!E334,Organisations,0)&amp;"_"&amp;LEFT(Totals!F334,1)&amp;"_"&amp;LEFT(G334,1)&amp;"_"&amp;COUNTIF($G$3:G334,G334)</f>
        <v>#N/A</v>
      </c>
      <c r="C334" s="432">
        <v>2024</v>
      </c>
      <c r="D334" s="432">
        <f>Introduction!$D$7</f>
        <v>0</v>
      </c>
      <c r="E334" s="432">
        <f>Introduction!$D$8</f>
        <v>0</v>
      </c>
      <c r="F334" s="432" t="s">
        <v>558</v>
      </c>
      <c r="G334" s="432" t="s">
        <v>558</v>
      </c>
      <c r="H334" s="433"/>
      <c r="I334" s="434" t="str">
        <f>'Supply chain'!B87</f>
        <v>Financial and insurance activities</v>
      </c>
      <c r="J334" s="434">
        <f>'Supply chain'!C87</f>
        <v>66</v>
      </c>
      <c r="K334" s="434" t="str">
        <f>'Supply chain'!D87</f>
        <v xml:space="preserve">Services auxiliary to financial services and insurance services        </v>
      </c>
      <c r="L334" s="434" t="str">
        <f>'Supply chain'!E87</f>
        <v>Tier 1</v>
      </c>
      <c r="M334" s="434">
        <f>'Supply chain'!F87</f>
        <v>0.25</v>
      </c>
      <c r="N334" s="434">
        <f>'Supply chain'!G87</f>
        <v>0</v>
      </c>
      <c r="O334" s="434" t="str">
        <f>'Supply chain'!H87</f>
        <v>£</v>
      </c>
      <c r="P334" s="434">
        <f>'Supply chain'!I87</f>
        <v>0</v>
      </c>
      <c r="Q334" s="434" t="str">
        <f>'Supply chain'!J87</f>
        <v>£</v>
      </c>
      <c r="R334" s="434">
        <f>'Supply chain'!K87</f>
        <v>0.1004552623620299</v>
      </c>
      <c r="S334" s="434" t="str">
        <f>'Supply chain'!L87</f>
        <v/>
      </c>
      <c r="T334" s="434">
        <f>'Supply chain'!M87</f>
        <v>0</v>
      </c>
      <c r="U334" s="434">
        <f>'Supply chain'!N87</f>
        <v>0</v>
      </c>
      <c r="V334" s="434">
        <f>'Supply chain'!O87</f>
        <v>0</v>
      </c>
      <c r="W334" s="434">
        <f>'Supply chain'!P87</f>
        <v>0</v>
      </c>
      <c r="X334" s="434">
        <f>'Supply chain'!Q87</f>
        <v>0</v>
      </c>
      <c r="Y334" s="434">
        <f>'Supply chain'!R87</f>
        <v>0</v>
      </c>
      <c r="Z334" s="434">
        <f>'Supply chain'!S87</f>
        <v>0</v>
      </c>
      <c r="AA334" s="434">
        <f>'Supply chain'!T87</f>
        <v>0</v>
      </c>
      <c r="AB334" s="434">
        <f>'Supply chain'!U87</f>
        <v>0</v>
      </c>
      <c r="AC334" s="434">
        <f>'Supply chain'!V87</f>
        <v>0</v>
      </c>
      <c r="AE334" s="432">
        <f t="shared" si="12"/>
        <v>0</v>
      </c>
      <c r="AF334" s="432">
        <f t="shared" si="13"/>
        <v>0</v>
      </c>
    </row>
    <row r="335" spans="2:32" x14ac:dyDescent="0.35">
      <c r="B335" s="432" t="e">
        <f>"2024"&amp;MATCH(Totals!D335,OrgType,0)&amp;"_"&amp;MATCH(Totals!E335,Organisations,0)&amp;"_"&amp;LEFT(Totals!F335,1)&amp;"_"&amp;LEFT(G335,1)&amp;"_"&amp;COUNTIF($G$3:G335,G335)</f>
        <v>#N/A</v>
      </c>
      <c r="C335" s="432">
        <v>2024</v>
      </c>
      <c r="D335" s="432">
        <f>Introduction!$D$7</f>
        <v>0</v>
      </c>
      <c r="E335" s="432">
        <f>Introduction!$D$8</f>
        <v>0</v>
      </c>
      <c r="F335" s="432" t="s">
        <v>558</v>
      </c>
      <c r="G335" s="432" t="s">
        <v>558</v>
      </c>
      <c r="H335" s="433"/>
      <c r="I335" s="434" t="str">
        <f>'Supply chain'!B88</f>
        <v>Real estate activities</v>
      </c>
      <c r="J335" s="434">
        <f>'Supply chain'!C88</f>
        <v>68.12</v>
      </c>
      <c r="K335" s="434" t="str">
        <f>'Supply chain'!D88</f>
        <v xml:space="preserve">Real estate services, excluding on a fee or contract basis and imputed rent   </v>
      </c>
      <c r="L335" s="434" t="str">
        <f>'Supply chain'!E88</f>
        <v>Tier 1</v>
      </c>
      <c r="M335" s="434">
        <f>'Supply chain'!F88</f>
        <v>0.25</v>
      </c>
      <c r="N335" s="434">
        <f>'Supply chain'!G88</f>
        <v>0</v>
      </c>
      <c r="O335" s="434" t="str">
        <f>'Supply chain'!H88</f>
        <v>£</v>
      </c>
      <c r="P335" s="434">
        <f>'Supply chain'!I88</f>
        <v>0</v>
      </c>
      <c r="Q335" s="434" t="str">
        <f>'Supply chain'!J88</f>
        <v>£</v>
      </c>
      <c r="R335" s="434">
        <f>'Supply chain'!K88</f>
        <v>0.1113515958311013</v>
      </c>
      <c r="S335" s="434" t="str">
        <f>'Supply chain'!L88</f>
        <v/>
      </c>
      <c r="T335" s="434">
        <f>'Supply chain'!M88</f>
        <v>0</v>
      </c>
      <c r="U335" s="434">
        <f>'Supply chain'!N88</f>
        <v>0</v>
      </c>
      <c r="V335" s="434">
        <f>'Supply chain'!O88</f>
        <v>0</v>
      </c>
      <c r="W335" s="434">
        <f>'Supply chain'!P88</f>
        <v>0</v>
      </c>
      <c r="X335" s="434">
        <f>'Supply chain'!Q88</f>
        <v>0</v>
      </c>
      <c r="Y335" s="434">
        <f>'Supply chain'!R88</f>
        <v>0</v>
      </c>
      <c r="Z335" s="434">
        <f>'Supply chain'!S88</f>
        <v>0</v>
      </c>
      <c r="AA335" s="434">
        <f>'Supply chain'!T88</f>
        <v>0</v>
      </c>
      <c r="AB335" s="434">
        <f>'Supply chain'!U88</f>
        <v>0</v>
      </c>
      <c r="AC335" s="434">
        <f>'Supply chain'!V88</f>
        <v>0</v>
      </c>
      <c r="AE335" s="432">
        <f t="shared" si="12"/>
        <v>0</v>
      </c>
      <c r="AF335" s="432">
        <f t="shared" si="13"/>
        <v>0</v>
      </c>
    </row>
    <row r="336" spans="2:32" x14ac:dyDescent="0.35">
      <c r="B336" s="432" t="e">
        <f>"2024"&amp;MATCH(Totals!D336,OrgType,0)&amp;"_"&amp;MATCH(Totals!E336,Organisations,0)&amp;"_"&amp;LEFT(Totals!F336,1)&amp;"_"&amp;LEFT(G336,1)&amp;"_"&amp;COUNTIF($G$3:G336,G336)</f>
        <v>#N/A</v>
      </c>
      <c r="C336" s="432">
        <v>2024</v>
      </c>
      <c r="D336" s="432">
        <f>Introduction!$D$7</f>
        <v>0</v>
      </c>
      <c r="E336" s="432">
        <f>Introduction!$D$8</f>
        <v>0</v>
      </c>
      <c r="F336" s="432" t="s">
        <v>558</v>
      </c>
      <c r="G336" s="432" t="s">
        <v>558</v>
      </c>
      <c r="H336" s="433"/>
      <c r="I336" s="434" t="str">
        <f>'Supply chain'!B89</f>
        <v>Real estate activities</v>
      </c>
      <c r="J336" s="434" t="str">
        <f>'Supply chain'!C89</f>
        <v>68.2IMP</v>
      </c>
      <c r="K336" s="434" t="str">
        <f>'Supply chain'!D89</f>
        <v>Owner-Occupiers' Housing Services</v>
      </c>
      <c r="L336" s="434" t="str">
        <f>'Supply chain'!E89</f>
        <v>Tier 1</v>
      </c>
      <c r="M336" s="434">
        <f>'Supply chain'!F89</f>
        <v>0.25</v>
      </c>
      <c r="N336" s="434">
        <f>'Supply chain'!G89</f>
        <v>0</v>
      </c>
      <c r="O336" s="434" t="str">
        <f>'Supply chain'!H89</f>
        <v>£</v>
      </c>
      <c r="P336" s="434">
        <f>'Supply chain'!I89</f>
        <v>0</v>
      </c>
      <c r="Q336" s="434" t="str">
        <f>'Supply chain'!J89</f>
        <v>£</v>
      </c>
      <c r="R336" s="434">
        <f>'Supply chain'!K89</f>
        <v>3.9621368125994462E-2</v>
      </c>
      <c r="S336" s="434" t="str">
        <f>'Supply chain'!L89</f>
        <v/>
      </c>
      <c r="T336" s="434">
        <f>'Supply chain'!M89</f>
        <v>0</v>
      </c>
      <c r="U336" s="434">
        <f>'Supply chain'!N89</f>
        <v>0</v>
      </c>
      <c r="V336" s="434">
        <f>'Supply chain'!O89</f>
        <v>0</v>
      </c>
      <c r="W336" s="434">
        <f>'Supply chain'!P89</f>
        <v>0</v>
      </c>
      <c r="X336" s="434">
        <f>'Supply chain'!Q89</f>
        <v>0</v>
      </c>
      <c r="Y336" s="434">
        <f>'Supply chain'!R89</f>
        <v>0</v>
      </c>
      <c r="Z336" s="434">
        <f>'Supply chain'!S89</f>
        <v>0</v>
      </c>
      <c r="AA336" s="434">
        <f>'Supply chain'!T89</f>
        <v>0</v>
      </c>
      <c r="AB336" s="434">
        <f>'Supply chain'!U89</f>
        <v>0</v>
      </c>
      <c r="AC336" s="434">
        <f>'Supply chain'!V89</f>
        <v>0</v>
      </c>
      <c r="AE336" s="432">
        <f t="shared" si="12"/>
        <v>0</v>
      </c>
      <c r="AF336" s="432">
        <f t="shared" si="13"/>
        <v>0</v>
      </c>
    </row>
    <row r="337" spans="2:32" x14ac:dyDescent="0.35">
      <c r="B337" s="432" t="e">
        <f>"2024"&amp;MATCH(Totals!D337,OrgType,0)&amp;"_"&amp;MATCH(Totals!E337,Organisations,0)&amp;"_"&amp;LEFT(Totals!F337,1)&amp;"_"&amp;LEFT(G337,1)&amp;"_"&amp;COUNTIF($G$3:G337,G337)</f>
        <v>#N/A</v>
      </c>
      <c r="C337" s="432">
        <v>2024</v>
      </c>
      <c r="D337" s="432">
        <f>Introduction!$D$7</f>
        <v>0</v>
      </c>
      <c r="E337" s="432">
        <f>Introduction!$D$8</f>
        <v>0</v>
      </c>
      <c r="F337" s="432" t="s">
        <v>558</v>
      </c>
      <c r="G337" s="432" t="s">
        <v>558</v>
      </c>
      <c r="H337" s="433"/>
      <c r="I337" s="434" t="str">
        <f>'Supply chain'!B90</f>
        <v>Real estate activities</v>
      </c>
      <c r="J337" s="434">
        <f>'Supply chain'!C90</f>
        <v>68.3</v>
      </c>
      <c r="K337" s="434" t="str">
        <f>'Supply chain'!D90</f>
        <v xml:space="preserve">Real estate services on a fee or contract basis       </v>
      </c>
      <c r="L337" s="434" t="str">
        <f>'Supply chain'!E90</f>
        <v>Tier 1</v>
      </c>
      <c r="M337" s="434">
        <f>'Supply chain'!F90</f>
        <v>0.25</v>
      </c>
      <c r="N337" s="434">
        <f>'Supply chain'!G90</f>
        <v>0</v>
      </c>
      <c r="O337" s="434" t="str">
        <f>'Supply chain'!H90</f>
        <v>£</v>
      </c>
      <c r="P337" s="434">
        <f>'Supply chain'!I90</f>
        <v>0</v>
      </c>
      <c r="Q337" s="434" t="str">
        <f>'Supply chain'!J90</f>
        <v>£</v>
      </c>
      <c r="R337" s="434">
        <f>'Supply chain'!K90</f>
        <v>8.4914337844308282E-2</v>
      </c>
      <c r="S337" s="434" t="str">
        <f>'Supply chain'!L90</f>
        <v/>
      </c>
      <c r="T337" s="434">
        <f>'Supply chain'!M90</f>
        <v>0</v>
      </c>
      <c r="U337" s="434">
        <f>'Supply chain'!N90</f>
        <v>0</v>
      </c>
      <c r="V337" s="434">
        <f>'Supply chain'!O90</f>
        <v>0</v>
      </c>
      <c r="W337" s="434">
        <f>'Supply chain'!P90</f>
        <v>0</v>
      </c>
      <c r="X337" s="434">
        <f>'Supply chain'!Q90</f>
        <v>0</v>
      </c>
      <c r="Y337" s="434">
        <f>'Supply chain'!R90</f>
        <v>0</v>
      </c>
      <c r="Z337" s="434">
        <f>'Supply chain'!S90</f>
        <v>0</v>
      </c>
      <c r="AA337" s="434">
        <f>'Supply chain'!T90</f>
        <v>0</v>
      </c>
      <c r="AB337" s="434">
        <f>'Supply chain'!U90</f>
        <v>0</v>
      </c>
      <c r="AC337" s="434">
        <f>'Supply chain'!V90</f>
        <v>0</v>
      </c>
      <c r="AE337" s="432">
        <f t="shared" si="12"/>
        <v>0</v>
      </c>
      <c r="AF337" s="432">
        <f t="shared" si="13"/>
        <v>0</v>
      </c>
    </row>
    <row r="338" spans="2:32" x14ac:dyDescent="0.35">
      <c r="B338" s="432" t="e">
        <f>"2024"&amp;MATCH(Totals!D338,OrgType,0)&amp;"_"&amp;MATCH(Totals!E338,Organisations,0)&amp;"_"&amp;LEFT(Totals!F338,1)&amp;"_"&amp;LEFT(G338,1)&amp;"_"&amp;COUNTIF($G$3:G338,G338)</f>
        <v>#N/A</v>
      </c>
      <c r="C338" s="432">
        <v>2024</v>
      </c>
      <c r="D338" s="432">
        <f>Introduction!$D$7</f>
        <v>0</v>
      </c>
      <c r="E338" s="432">
        <f>Introduction!$D$8</f>
        <v>0</v>
      </c>
      <c r="F338" s="432" t="s">
        <v>558</v>
      </c>
      <c r="G338" s="432" t="s">
        <v>558</v>
      </c>
      <c r="H338" s="433"/>
      <c r="I338" s="434" t="str">
        <f>'Supply chain'!B91</f>
        <v>Professional, scientific and technical activities</v>
      </c>
      <c r="J338" s="434">
        <f>'Supply chain'!C91</f>
        <v>69.099999999999994</v>
      </c>
      <c r="K338" s="434" t="str">
        <f>'Supply chain'!D91</f>
        <v xml:space="preserve">Legal services              </v>
      </c>
      <c r="L338" s="434" t="str">
        <f>'Supply chain'!E91</f>
        <v>Tier 1</v>
      </c>
      <c r="M338" s="434">
        <f>'Supply chain'!F91</f>
        <v>0.25</v>
      </c>
      <c r="N338" s="434">
        <f>'Supply chain'!G91</f>
        <v>0</v>
      </c>
      <c r="O338" s="434" t="str">
        <f>'Supply chain'!H91</f>
        <v>£</v>
      </c>
      <c r="P338" s="434">
        <f>'Supply chain'!I91</f>
        <v>0</v>
      </c>
      <c r="Q338" s="434" t="str">
        <f>'Supply chain'!J91</f>
        <v>£</v>
      </c>
      <c r="R338" s="434">
        <f>'Supply chain'!K91</f>
        <v>5.7877621976311508E-2</v>
      </c>
      <c r="S338" s="434" t="str">
        <f>'Supply chain'!L91</f>
        <v/>
      </c>
      <c r="T338" s="434">
        <f>'Supply chain'!M91</f>
        <v>0</v>
      </c>
      <c r="U338" s="434">
        <f>'Supply chain'!N91</f>
        <v>0</v>
      </c>
      <c r="V338" s="434">
        <f>'Supply chain'!O91</f>
        <v>0</v>
      </c>
      <c r="W338" s="434">
        <f>'Supply chain'!P91</f>
        <v>0</v>
      </c>
      <c r="X338" s="434">
        <f>'Supply chain'!Q91</f>
        <v>0</v>
      </c>
      <c r="Y338" s="434">
        <f>'Supply chain'!R91</f>
        <v>0</v>
      </c>
      <c r="Z338" s="434">
        <f>'Supply chain'!S91</f>
        <v>0</v>
      </c>
      <c r="AA338" s="434">
        <f>'Supply chain'!T91</f>
        <v>0</v>
      </c>
      <c r="AB338" s="434">
        <f>'Supply chain'!U91</f>
        <v>0</v>
      </c>
      <c r="AC338" s="434">
        <f>'Supply chain'!V91</f>
        <v>0</v>
      </c>
      <c r="AE338" s="432">
        <f t="shared" si="12"/>
        <v>0</v>
      </c>
      <c r="AF338" s="432">
        <f t="shared" si="13"/>
        <v>0</v>
      </c>
    </row>
    <row r="339" spans="2:32" x14ac:dyDescent="0.35">
      <c r="B339" s="432" t="e">
        <f>"2024"&amp;MATCH(Totals!D339,OrgType,0)&amp;"_"&amp;MATCH(Totals!E339,Organisations,0)&amp;"_"&amp;LEFT(Totals!F339,1)&amp;"_"&amp;LEFT(G339,1)&amp;"_"&amp;COUNTIF($G$3:G339,G339)</f>
        <v>#N/A</v>
      </c>
      <c r="C339" s="432">
        <v>2024</v>
      </c>
      <c r="D339" s="432">
        <f>Introduction!$D$7</f>
        <v>0</v>
      </c>
      <c r="E339" s="432">
        <f>Introduction!$D$8</f>
        <v>0</v>
      </c>
      <c r="F339" s="432" t="s">
        <v>558</v>
      </c>
      <c r="G339" s="432" t="s">
        <v>558</v>
      </c>
      <c r="H339" s="433"/>
      <c r="I339" s="434" t="str">
        <f>'Supply chain'!B92</f>
        <v>Professional, scientific and technical activities</v>
      </c>
      <c r="J339" s="434">
        <f>'Supply chain'!C92</f>
        <v>69.2</v>
      </c>
      <c r="K339" s="434" t="str">
        <f>'Supply chain'!D92</f>
        <v xml:space="preserve">Accounting, bookkeeping and auditing services; tax consulting services        </v>
      </c>
      <c r="L339" s="434" t="str">
        <f>'Supply chain'!E92</f>
        <v>Tier 1</v>
      </c>
      <c r="M339" s="434">
        <f>'Supply chain'!F92</f>
        <v>0.25</v>
      </c>
      <c r="N339" s="434">
        <f>'Supply chain'!G92</f>
        <v>0</v>
      </c>
      <c r="O339" s="434" t="str">
        <f>'Supply chain'!H92</f>
        <v>£</v>
      </c>
      <c r="P339" s="434">
        <f>'Supply chain'!I92</f>
        <v>0</v>
      </c>
      <c r="Q339" s="434" t="str">
        <f>'Supply chain'!J92</f>
        <v>£</v>
      </c>
      <c r="R339" s="434">
        <f>'Supply chain'!K92</f>
        <v>0.12824709898745029</v>
      </c>
      <c r="S339" s="434" t="str">
        <f>'Supply chain'!L92</f>
        <v/>
      </c>
      <c r="T339" s="434">
        <f>'Supply chain'!M92</f>
        <v>0</v>
      </c>
      <c r="U339" s="434">
        <f>'Supply chain'!N92</f>
        <v>0</v>
      </c>
      <c r="V339" s="434">
        <f>'Supply chain'!O92</f>
        <v>0</v>
      </c>
      <c r="W339" s="434">
        <f>'Supply chain'!P92</f>
        <v>0</v>
      </c>
      <c r="X339" s="434">
        <f>'Supply chain'!Q92</f>
        <v>0</v>
      </c>
      <c r="Y339" s="434">
        <f>'Supply chain'!R92</f>
        <v>0</v>
      </c>
      <c r="Z339" s="434">
        <f>'Supply chain'!S92</f>
        <v>0</v>
      </c>
      <c r="AA339" s="434">
        <f>'Supply chain'!T92</f>
        <v>0</v>
      </c>
      <c r="AB339" s="434">
        <f>'Supply chain'!U92</f>
        <v>0</v>
      </c>
      <c r="AC339" s="434">
        <f>'Supply chain'!V92</f>
        <v>0</v>
      </c>
      <c r="AE339" s="432">
        <f t="shared" si="12"/>
        <v>0</v>
      </c>
      <c r="AF339" s="432">
        <f t="shared" si="13"/>
        <v>0</v>
      </c>
    </row>
    <row r="340" spans="2:32" x14ac:dyDescent="0.35">
      <c r="B340" s="432" t="e">
        <f>"2024"&amp;MATCH(Totals!D340,OrgType,0)&amp;"_"&amp;MATCH(Totals!E340,Organisations,0)&amp;"_"&amp;LEFT(Totals!F340,1)&amp;"_"&amp;LEFT(G340,1)&amp;"_"&amp;COUNTIF($G$3:G340,G340)</f>
        <v>#N/A</v>
      </c>
      <c r="C340" s="432">
        <v>2024</v>
      </c>
      <c r="D340" s="432">
        <f>Introduction!$D$7</f>
        <v>0</v>
      </c>
      <c r="E340" s="432">
        <f>Introduction!$D$8</f>
        <v>0</v>
      </c>
      <c r="F340" s="432" t="s">
        <v>558</v>
      </c>
      <c r="G340" s="432" t="s">
        <v>558</v>
      </c>
      <c r="H340" s="433"/>
      <c r="I340" s="434" t="str">
        <f>'Supply chain'!B93</f>
        <v>Professional, scientific and technical activities</v>
      </c>
      <c r="J340" s="434">
        <f>'Supply chain'!C93</f>
        <v>70</v>
      </c>
      <c r="K340" s="434" t="str">
        <f>'Supply chain'!D93</f>
        <v xml:space="preserve">Services of head offices; management consulting services         </v>
      </c>
      <c r="L340" s="434" t="str">
        <f>'Supply chain'!E93</f>
        <v>Tier 1</v>
      </c>
      <c r="M340" s="434">
        <f>'Supply chain'!F93</f>
        <v>0.25</v>
      </c>
      <c r="N340" s="434">
        <f>'Supply chain'!G93</f>
        <v>0</v>
      </c>
      <c r="O340" s="434" t="str">
        <f>'Supply chain'!H93</f>
        <v>£</v>
      </c>
      <c r="P340" s="434">
        <f>'Supply chain'!I93</f>
        <v>0</v>
      </c>
      <c r="Q340" s="434" t="str">
        <f>'Supply chain'!J93</f>
        <v>£</v>
      </c>
      <c r="R340" s="434">
        <f>'Supply chain'!K93</f>
        <v>9.3681183759862049E-2</v>
      </c>
      <c r="S340" s="434" t="str">
        <f>'Supply chain'!L93</f>
        <v/>
      </c>
      <c r="T340" s="434">
        <f>'Supply chain'!M93</f>
        <v>0</v>
      </c>
      <c r="U340" s="434">
        <f>'Supply chain'!N93</f>
        <v>0</v>
      </c>
      <c r="V340" s="434">
        <f>'Supply chain'!O93</f>
        <v>0</v>
      </c>
      <c r="W340" s="434">
        <f>'Supply chain'!P93</f>
        <v>0</v>
      </c>
      <c r="X340" s="434">
        <f>'Supply chain'!Q93</f>
        <v>0</v>
      </c>
      <c r="Y340" s="434">
        <f>'Supply chain'!R93</f>
        <v>0</v>
      </c>
      <c r="Z340" s="434">
        <f>'Supply chain'!S93</f>
        <v>0</v>
      </c>
      <c r="AA340" s="434">
        <f>'Supply chain'!T93</f>
        <v>0</v>
      </c>
      <c r="AB340" s="434">
        <f>'Supply chain'!U93</f>
        <v>0</v>
      </c>
      <c r="AC340" s="434">
        <f>'Supply chain'!V93</f>
        <v>0</v>
      </c>
      <c r="AE340" s="432">
        <f t="shared" si="12"/>
        <v>0</v>
      </c>
      <c r="AF340" s="432">
        <f t="shared" si="13"/>
        <v>0</v>
      </c>
    </row>
    <row r="341" spans="2:32" x14ac:dyDescent="0.35">
      <c r="B341" s="432" t="e">
        <f>"2024"&amp;MATCH(Totals!D341,OrgType,0)&amp;"_"&amp;MATCH(Totals!E341,Organisations,0)&amp;"_"&amp;LEFT(Totals!F341,1)&amp;"_"&amp;LEFT(G341,1)&amp;"_"&amp;COUNTIF($G$3:G341,G341)</f>
        <v>#N/A</v>
      </c>
      <c r="C341" s="432">
        <v>2024</v>
      </c>
      <c r="D341" s="432">
        <f>Introduction!$D$7</f>
        <v>0</v>
      </c>
      <c r="E341" s="432">
        <f>Introduction!$D$8</f>
        <v>0</v>
      </c>
      <c r="F341" s="432" t="s">
        <v>558</v>
      </c>
      <c r="G341" s="432" t="s">
        <v>558</v>
      </c>
      <c r="H341" s="433"/>
      <c r="I341" s="434" t="str">
        <f>'Supply chain'!B94</f>
        <v>Professional, scientific and technical activities</v>
      </c>
      <c r="J341" s="434">
        <f>'Supply chain'!C94</f>
        <v>71</v>
      </c>
      <c r="K341" s="434" t="str">
        <f>'Supply chain'!D94</f>
        <v xml:space="preserve">Architectural and engineering services; technical testing and analysis services       </v>
      </c>
      <c r="L341" s="434" t="str">
        <f>'Supply chain'!E94</f>
        <v>Tier 1</v>
      </c>
      <c r="M341" s="434">
        <f>'Supply chain'!F94</f>
        <v>0.25</v>
      </c>
      <c r="N341" s="434">
        <f>'Supply chain'!G94</f>
        <v>0</v>
      </c>
      <c r="O341" s="434" t="str">
        <f>'Supply chain'!H94</f>
        <v>£</v>
      </c>
      <c r="P341" s="434">
        <f>'Supply chain'!I94</f>
        <v>0</v>
      </c>
      <c r="Q341" s="434" t="str">
        <f>'Supply chain'!J94</f>
        <v>£</v>
      </c>
      <c r="R341" s="434">
        <f>'Supply chain'!K94</f>
        <v>0.1560575201743172</v>
      </c>
      <c r="S341" s="434" t="str">
        <f>'Supply chain'!L94</f>
        <v/>
      </c>
      <c r="T341" s="434">
        <f>'Supply chain'!M94</f>
        <v>0</v>
      </c>
      <c r="U341" s="434">
        <f>'Supply chain'!N94</f>
        <v>0</v>
      </c>
      <c r="V341" s="434">
        <f>'Supply chain'!O94</f>
        <v>0</v>
      </c>
      <c r="W341" s="434">
        <f>'Supply chain'!P94</f>
        <v>0</v>
      </c>
      <c r="X341" s="434">
        <f>'Supply chain'!Q94</f>
        <v>0</v>
      </c>
      <c r="Y341" s="434">
        <f>'Supply chain'!R94</f>
        <v>0</v>
      </c>
      <c r="Z341" s="434">
        <f>'Supply chain'!S94</f>
        <v>0</v>
      </c>
      <c r="AA341" s="434">
        <f>'Supply chain'!T94</f>
        <v>0</v>
      </c>
      <c r="AB341" s="434">
        <f>'Supply chain'!U94</f>
        <v>0</v>
      </c>
      <c r="AC341" s="434">
        <f>'Supply chain'!V94</f>
        <v>0</v>
      </c>
      <c r="AE341" s="432">
        <f t="shared" si="12"/>
        <v>0</v>
      </c>
      <c r="AF341" s="432">
        <f t="shared" si="13"/>
        <v>0</v>
      </c>
    </row>
    <row r="342" spans="2:32" x14ac:dyDescent="0.35">
      <c r="B342" s="432" t="e">
        <f>"2024"&amp;MATCH(Totals!D342,OrgType,0)&amp;"_"&amp;MATCH(Totals!E342,Organisations,0)&amp;"_"&amp;LEFT(Totals!F342,1)&amp;"_"&amp;LEFT(G342,1)&amp;"_"&amp;COUNTIF($G$3:G342,G342)</f>
        <v>#N/A</v>
      </c>
      <c r="C342" s="432">
        <v>2024</v>
      </c>
      <c r="D342" s="432">
        <f>Introduction!$D$7</f>
        <v>0</v>
      </c>
      <c r="E342" s="432">
        <f>Introduction!$D$8</f>
        <v>0</v>
      </c>
      <c r="F342" s="432" t="s">
        <v>558</v>
      </c>
      <c r="G342" s="432" t="s">
        <v>558</v>
      </c>
      <c r="H342" s="433"/>
      <c r="I342" s="434" t="str">
        <f>'Supply chain'!B95</f>
        <v>Professional, scientific and technical activities</v>
      </c>
      <c r="J342" s="434">
        <f>'Supply chain'!C95</f>
        <v>72</v>
      </c>
      <c r="K342" s="434" t="str">
        <f>'Supply chain'!D95</f>
        <v xml:space="preserve">Scientific research and development services           </v>
      </c>
      <c r="L342" s="434" t="str">
        <f>'Supply chain'!E95</f>
        <v>Tier 1</v>
      </c>
      <c r="M342" s="434">
        <f>'Supply chain'!F95</f>
        <v>0.25</v>
      </c>
      <c r="N342" s="434">
        <f>'Supply chain'!G95</f>
        <v>0</v>
      </c>
      <c r="O342" s="434" t="str">
        <f>'Supply chain'!H95</f>
        <v>£</v>
      </c>
      <c r="P342" s="434">
        <f>'Supply chain'!I95</f>
        <v>0</v>
      </c>
      <c r="Q342" s="434" t="str">
        <f>'Supply chain'!J95</f>
        <v>£</v>
      </c>
      <c r="R342" s="434">
        <f>'Supply chain'!K95</f>
        <v>0.18562764998368861</v>
      </c>
      <c r="S342" s="434" t="str">
        <f>'Supply chain'!L95</f>
        <v/>
      </c>
      <c r="T342" s="434">
        <f>'Supply chain'!M95</f>
        <v>0</v>
      </c>
      <c r="U342" s="434">
        <f>'Supply chain'!N95</f>
        <v>0</v>
      </c>
      <c r="V342" s="434">
        <f>'Supply chain'!O95</f>
        <v>0</v>
      </c>
      <c r="W342" s="434">
        <f>'Supply chain'!P95</f>
        <v>0</v>
      </c>
      <c r="X342" s="434">
        <f>'Supply chain'!Q95</f>
        <v>0</v>
      </c>
      <c r="Y342" s="434">
        <f>'Supply chain'!R95</f>
        <v>0</v>
      </c>
      <c r="Z342" s="434">
        <f>'Supply chain'!S95</f>
        <v>0</v>
      </c>
      <c r="AA342" s="434">
        <f>'Supply chain'!T95</f>
        <v>0</v>
      </c>
      <c r="AB342" s="434">
        <f>'Supply chain'!U95</f>
        <v>0</v>
      </c>
      <c r="AC342" s="434">
        <f>'Supply chain'!V95</f>
        <v>0</v>
      </c>
      <c r="AE342" s="432">
        <f t="shared" ref="AE342:AE500" si="14">IF(AND(R342="",N342&lt;&gt;0),1,0)</f>
        <v>0</v>
      </c>
      <c r="AF342" s="432">
        <f t="shared" ref="AF342:AF500" si="15">IF(AND(S342="",N342&lt;&gt;0),1,0)</f>
        <v>0</v>
      </c>
    </row>
    <row r="343" spans="2:32" x14ac:dyDescent="0.35">
      <c r="B343" s="432" t="e">
        <f>"2024"&amp;MATCH(Totals!D343,OrgType,0)&amp;"_"&amp;MATCH(Totals!E343,Organisations,0)&amp;"_"&amp;LEFT(Totals!F343,1)&amp;"_"&amp;LEFT(G343,1)&amp;"_"&amp;COUNTIF($G$3:G343,G343)</f>
        <v>#N/A</v>
      </c>
      <c r="C343" s="432">
        <v>2024</v>
      </c>
      <c r="D343" s="432">
        <f>Introduction!$D$7</f>
        <v>0</v>
      </c>
      <c r="E343" s="432">
        <f>Introduction!$D$8</f>
        <v>0</v>
      </c>
      <c r="F343" s="432" t="s">
        <v>558</v>
      </c>
      <c r="G343" s="432" t="s">
        <v>558</v>
      </c>
      <c r="H343" s="433"/>
      <c r="I343" s="434" t="str">
        <f>'Supply chain'!B96</f>
        <v>Professional, scientific and technical activities</v>
      </c>
      <c r="J343" s="434">
        <f>'Supply chain'!C96</f>
        <v>73</v>
      </c>
      <c r="K343" s="434" t="str">
        <f>'Supply chain'!D96</f>
        <v xml:space="preserve">Advertising and market research services           </v>
      </c>
      <c r="L343" s="434" t="str">
        <f>'Supply chain'!E96</f>
        <v>Tier 1</v>
      </c>
      <c r="M343" s="434">
        <f>'Supply chain'!F96</f>
        <v>0.25</v>
      </c>
      <c r="N343" s="434">
        <f>'Supply chain'!G96</f>
        <v>0</v>
      </c>
      <c r="O343" s="434" t="str">
        <f>'Supply chain'!H96</f>
        <v>£</v>
      </c>
      <c r="P343" s="434">
        <f>'Supply chain'!I96</f>
        <v>0</v>
      </c>
      <c r="Q343" s="434" t="str">
        <f>'Supply chain'!J96</f>
        <v>£</v>
      </c>
      <c r="R343" s="434">
        <f>'Supply chain'!K96</f>
        <v>0.1101924211553026</v>
      </c>
      <c r="S343" s="434" t="str">
        <f>'Supply chain'!L96</f>
        <v/>
      </c>
      <c r="T343" s="434">
        <f>'Supply chain'!M96</f>
        <v>0</v>
      </c>
      <c r="U343" s="434">
        <f>'Supply chain'!N96</f>
        <v>0</v>
      </c>
      <c r="V343" s="434">
        <f>'Supply chain'!O96</f>
        <v>0</v>
      </c>
      <c r="W343" s="434">
        <f>'Supply chain'!P96</f>
        <v>0</v>
      </c>
      <c r="X343" s="434">
        <f>'Supply chain'!Q96</f>
        <v>0</v>
      </c>
      <c r="Y343" s="434">
        <f>'Supply chain'!R96</f>
        <v>0</v>
      </c>
      <c r="Z343" s="434">
        <f>'Supply chain'!S96</f>
        <v>0</v>
      </c>
      <c r="AA343" s="434">
        <f>'Supply chain'!T96</f>
        <v>0</v>
      </c>
      <c r="AB343" s="434">
        <f>'Supply chain'!U96</f>
        <v>0</v>
      </c>
      <c r="AC343" s="434">
        <f>'Supply chain'!V96</f>
        <v>0</v>
      </c>
      <c r="AE343" s="432">
        <f t="shared" si="14"/>
        <v>0</v>
      </c>
      <c r="AF343" s="432">
        <f t="shared" si="15"/>
        <v>0</v>
      </c>
    </row>
    <row r="344" spans="2:32" x14ac:dyDescent="0.35">
      <c r="B344" s="432" t="e">
        <f>"2024"&amp;MATCH(Totals!D344,OrgType,0)&amp;"_"&amp;MATCH(Totals!E344,Organisations,0)&amp;"_"&amp;LEFT(Totals!F344,1)&amp;"_"&amp;LEFT(G344,1)&amp;"_"&amp;COUNTIF($G$3:G344,G344)</f>
        <v>#N/A</v>
      </c>
      <c r="C344" s="432">
        <v>2024</v>
      </c>
      <c r="D344" s="432">
        <f>Introduction!$D$7</f>
        <v>0</v>
      </c>
      <c r="E344" s="432">
        <f>Introduction!$D$8</f>
        <v>0</v>
      </c>
      <c r="F344" s="432" t="s">
        <v>558</v>
      </c>
      <c r="G344" s="432" t="s">
        <v>558</v>
      </c>
      <c r="H344" s="433"/>
      <c r="I344" s="434" t="str">
        <f>'Supply chain'!B97</f>
        <v>Professional, scientific and technical activities</v>
      </c>
      <c r="J344" s="434">
        <f>'Supply chain'!C97</f>
        <v>74</v>
      </c>
      <c r="K344" s="434" t="str">
        <f>'Supply chain'!D97</f>
        <v xml:space="preserve">Other professional, scientific and technical services          </v>
      </c>
      <c r="L344" s="434" t="str">
        <f>'Supply chain'!E97</f>
        <v>Tier 1</v>
      </c>
      <c r="M344" s="434">
        <f>'Supply chain'!F97</f>
        <v>0.25</v>
      </c>
      <c r="N344" s="434">
        <f>'Supply chain'!G97</f>
        <v>0</v>
      </c>
      <c r="O344" s="434" t="str">
        <f>'Supply chain'!H97</f>
        <v>£</v>
      </c>
      <c r="P344" s="434">
        <f>'Supply chain'!I97</f>
        <v>0</v>
      </c>
      <c r="Q344" s="434" t="str">
        <f>'Supply chain'!J97</f>
        <v>£</v>
      </c>
      <c r="R344" s="434">
        <f>'Supply chain'!K97</f>
        <v>0.19142587698446711</v>
      </c>
      <c r="S344" s="434" t="str">
        <f>'Supply chain'!L97</f>
        <v/>
      </c>
      <c r="T344" s="434">
        <f>'Supply chain'!M97</f>
        <v>0</v>
      </c>
      <c r="U344" s="434">
        <f>'Supply chain'!N97</f>
        <v>0</v>
      </c>
      <c r="V344" s="434">
        <f>'Supply chain'!O97</f>
        <v>0</v>
      </c>
      <c r="W344" s="434">
        <f>'Supply chain'!P97</f>
        <v>0</v>
      </c>
      <c r="X344" s="434">
        <f>'Supply chain'!Q97</f>
        <v>0</v>
      </c>
      <c r="Y344" s="434">
        <f>'Supply chain'!R97</f>
        <v>0</v>
      </c>
      <c r="Z344" s="434">
        <f>'Supply chain'!S97</f>
        <v>0</v>
      </c>
      <c r="AA344" s="434">
        <f>'Supply chain'!T97</f>
        <v>0</v>
      </c>
      <c r="AB344" s="434">
        <f>'Supply chain'!U97</f>
        <v>0</v>
      </c>
      <c r="AC344" s="434">
        <f>'Supply chain'!V97</f>
        <v>0</v>
      </c>
      <c r="AE344" s="432">
        <f t="shared" si="14"/>
        <v>0</v>
      </c>
      <c r="AF344" s="432">
        <f t="shared" si="15"/>
        <v>0</v>
      </c>
    </row>
    <row r="345" spans="2:32" x14ac:dyDescent="0.35">
      <c r="B345" s="432" t="e">
        <f>"2024"&amp;MATCH(Totals!D345,OrgType,0)&amp;"_"&amp;MATCH(Totals!E345,Organisations,0)&amp;"_"&amp;LEFT(Totals!F345,1)&amp;"_"&amp;LEFT(G345,1)&amp;"_"&amp;COUNTIF($G$3:G345,G345)</f>
        <v>#N/A</v>
      </c>
      <c r="C345" s="432">
        <v>2024</v>
      </c>
      <c r="D345" s="432">
        <f>Introduction!$D$7</f>
        <v>0</v>
      </c>
      <c r="E345" s="432">
        <f>Introduction!$D$8</f>
        <v>0</v>
      </c>
      <c r="F345" s="432" t="s">
        <v>558</v>
      </c>
      <c r="G345" s="432" t="s">
        <v>558</v>
      </c>
      <c r="H345" s="433"/>
      <c r="I345" s="434" t="str">
        <f>'Supply chain'!B98</f>
        <v>Professional, scientific and technical activities</v>
      </c>
      <c r="J345" s="434">
        <f>'Supply chain'!C98</f>
        <v>75</v>
      </c>
      <c r="K345" s="434" t="str">
        <f>'Supply chain'!D98</f>
        <v xml:space="preserve">Veterinary services              </v>
      </c>
      <c r="L345" s="434" t="str">
        <f>'Supply chain'!E98</f>
        <v>Tier 1</v>
      </c>
      <c r="M345" s="434">
        <f>'Supply chain'!F98</f>
        <v>0.25</v>
      </c>
      <c r="N345" s="434">
        <f>'Supply chain'!G98</f>
        <v>0</v>
      </c>
      <c r="O345" s="434" t="str">
        <f>'Supply chain'!H98</f>
        <v>£</v>
      </c>
      <c r="P345" s="434">
        <f>'Supply chain'!I98</f>
        <v>0</v>
      </c>
      <c r="Q345" s="434" t="str">
        <f>'Supply chain'!J98</f>
        <v>£</v>
      </c>
      <c r="R345" s="434">
        <f>'Supply chain'!K98</f>
        <v>8.692953516743758E-2</v>
      </c>
      <c r="S345" s="434" t="str">
        <f>'Supply chain'!L98</f>
        <v/>
      </c>
      <c r="T345" s="434">
        <f>'Supply chain'!M98</f>
        <v>0</v>
      </c>
      <c r="U345" s="434">
        <f>'Supply chain'!N98</f>
        <v>0</v>
      </c>
      <c r="V345" s="434">
        <f>'Supply chain'!O98</f>
        <v>0</v>
      </c>
      <c r="W345" s="434">
        <f>'Supply chain'!P98</f>
        <v>0</v>
      </c>
      <c r="X345" s="434">
        <f>'Supply chain'!Q98</f>
        <v>0</v>
      </c>
      <c r="Y345" s="434">
        <f>'Supply chain'!R98</f>
        <v>0</v>
      </c>
      <c r="Z345" s="434">
        <f>'Supply chain'!S98</f>
        <v>0</v>
      </c>
      <c r="AA345" s="434">
        <f>'Supply chain'!T98</f>
        <v>0</v>
      </c>
      <c r="AB345" s="434">
        <f>'Supply chain'!U98</f>
        <v>0</v>
      </c>
      <c r="AC345" s="434">
        <f>'Supply chain'!V98</f>
        <v>0</v>
      </c>
      <c r="AE345" s="432">
        <f t="shared" si="14"/>
        <v>0</v>
      </c>
      <c r="AF345" s="432">
        <f t="shared" si="15"/>
        <v>0</v>
      </c>
    </row>
    <row r="346" spans="2:32" x14ac:dyDescent="0.35">
      <c r="B346" s="432" t="e">
        <f>"2024"&amp;MATCH(Totals!D346,OrgType,0)&amp;"_"&amp;MATCH(Totals!E346,Organisations,0)&amp;"_"&amp;LEFT(Totals!F346,1)&amp;"_"&amp;LEFT(G346,1)&amp;"_"&amp;COUNTIF($G$3:G346,G346)</f>
        <v>#N/A</v>
      </c>
      <c r="C346" s="432">
        <v>2024</v>
      </c>
      <c r="D346" s="432">
        <f>Introduction!$D$7</f>
        <v>0</v>
      </c>
      <c r="E346" s="432">
        <f>Introduction!$D$8</f>
        <v>0</v>
      </c>
      <c r="F346" s="432" t="s">
        <v>558</v>
      </c>
      <c r="G346" s="432" t="s">
        <v>558</v>
      </c>
      <c r="H346" s="433"/>
      <c r="I346" s="434" t="str">
        <f>'Supply chain'!B99</f>
        <v>Administrative and support service activities</v>
      </c>
      <c r="J346" s="434">
        <f>'Supply chain'!C99</f>
        <v>77</v>
      </c>
      <c r="K346" s="434" t="str">
        <f>'Supply chain'!D99</f>
        <v xml:space="preserve">Rental and leasing services            </v>
      </c>
      <c r="L346" s="434" t="str">
        <f>'Supply chain'!E99</f>
        <v>Tier 1</v>
      </c>
      <c r="M346" s="434">
        <f>'Supply chain'!F99</f>
        <v>0.25</v>
      </c>
      <c r="N346" s="434">
        <f>'Supply chain'!G99</f>
        <v>0</v>
      </c>
      <c r="O346" s="434" t="str">
        <f>'Supply chain'!H99</f>
        <v>£</v>
      </c>
      <c r="P346" s="434">
        <f>'Supply chain'!I99</f>
        <v>0</v>
      </c>
      <c r="Q346" s="434" t="str">
        <f>'Supply chain'!J99</f>
        <v>£</v>
      </c>
      <c r="R346" s="434">
        <f>'Supply chain'!K99</f>
        <v>0.13477794599811871</v>
      </c>
      <c r="S346" s="434" t="str">
        <f>'Supply chain'!L99</f>
        <v/>
      </c>
      <c r="T346" s="434">
        <f>'Supply chain'!M99</f>
        <v>0</v>
      </c>
      <c r="U346" s="434">
        <f>'Supply chain'!N99</f>
        <v>0</v>
      </c>
      <c r="V346" s="434">
        <f>'Supply chain'!O99</f>
        <v>0</v>
      </c>
      <c r="W346" s="434">
        <f>'Supply chain'!P99</f>
        <v>0</v>
      </c>
      <c r="X346" s="434">
        <f>'Supply chain'!Q99</f>
        <v>0</v>
      </c>
      <c r="Y346" s="434">
        <f>'Supply chain'!R99</f>
        <v>0</v>
      </c>
      <c r="Z346" s="434">
        <f>'Supply chain'!S99</f>
        <v>0</v>
      </c>
      <c r="AA346" s="434">
        <f>'Supply chain'!T99</f>
        <v>0</v>
      </c>
      <c r="AB346" s="434">
        <f>'Supply chain'!U99</f>
        <v>0</v>
      </c>
      <c r="AC346" s="434">
        <f>'Supply chain'!V99</f>
        <v>0</v>
      </c>
      <c r="AE346" s="432">
        <f t="shared" si="14"/>
        <v>0</v>
      </c>
      <c r="AF346" s="432">
        <f t="shared" si="15"/>
        <v>0</v>
      </c>
    </row>
    <row r="347" spans="2:32" x14ac:dyDescent="0.35">
      <c r="B347" s="432" t="e">
        <f>"2024"&amp;MATCH(Totals!D347,OrgType,0)&amp;"_"&amp;MATCH(Totals!E347,Organisations,0)&amp;"_"&amp;LEFT(Totals!F347,1)&amp;"_"&amp;LEFT(G347,1)&amp;"_"&amp;COUNTIF($G$3:G347,G347)</f>
        <v>#N/A</v>
      </c>
      <c r="C347" s="432">
        <v>2024</v>
      </c>
      <c r="D347" s="432">
        <f>Introduction!$D$7</f>
        <v>0</v>
      </c>
      <c r="E347" s="432">
        <f>Introduction!$D$8</f>
        <v>0</v>
      </c>
      <c r="F347" s="432" t="s">
        <v>558</v>
      </c>
      <c r="G347" s="432" t="s">
        <v>558</v>
      </c>
      <c r="H347" s="433"/>
      <c r="I347" s="434" t="str">
        <f>'Supply chain'!B100</f>
        <v>Administrative and support service activities</v>
      </c>
      <c r="J347" s="434">
        <f>'Supply chain'!C100</f>
        <v>78</v>
      </c>
      <c r="K347" s="434" t="str">
        <f>'Supply chain'!D100</f>
        <v xml:space="preserve">Employment services              </v>
      </c>
      <c r="L347" s="434" t="str">
        <f>'Supply chain'!E100</f>
        <v>Tier 1</v>
      </c>
      <c r="M347" s="434">
        <f>'Supply chain'!F100</f>
        <v>0.25</v>
      </c>
      <c r="N347" s="434">
        <f>'Supply chain'!G100</f>
        <v>0</v>
      </c>
      <c r="O347" s="434" t="str">
        <f>'Supply chain'!H100</f>
        <v>£</v>
      </c>
      <c r="P347" s="434">
        <f>'Supply chain'!I100</f>
        <v>0</v>
      </c>
      <c r="Q347" s="434" t="str">
        <f>'Supply chain'!J100</f>
        <v>£</v>
      </c>
      <c r="R347" s="434">
        <f>'Supply chain'!K100</f>
        <v>0.1176282196328419</v>
      </c>
      <c r="S347" s="434" t="str">
        <f>'Supply chain'!L100</f>
        <v/>
      </c>
      <c r="T347" s="434">
        <f>'Supply chain'!M100</f>
        <v>0</v>
      </c>
      <c r="U347" s="434">
        <f>'Supply chain'!N100</f>
        <v>0</v>
      </c>
      <c r="V347" s="434">
        <f>'Supply chain'!O100</f>
        <v>0</v>
      </c>
      <c r="W347" s="434">
        <f>'Supply chain'!P100</f>
        <v>0</v>
      </c>
      <c r="X347" s="434">
        <f>'Supply chain'!Q100</f>
        <v>0</v>
      </c>
      <c r="Y347" s="434">
        <f>'Supply chain'!R100</f>
        <v>0</v>
      </c>
      <c r="Z347" s="434">
        <f>'Supply chain'!S100</f>
        <v>0</v>
      </c>
      <c r="AA347" s="434">
        <f>'Supply chain'!T100</f>
        <v>0</v>
      </c>
      <c r="AB347" s="434">
        <f>'Supply chain'!U100</f>
        <v>0</v>
      </c>
      <c r="AC347" s="434">
        <f>'Supply chain'!V100</f>
        <v>0</v>
      </c>
      <c r="AE347" s="432">
        <f t="shared" si="14"/>
        <v>0</v>
      </c>
      <c r="AF347" s="432">
        <f t="shared" si="15"/>
        <v>0</v>
      </c>
    </row>
    <row r="348" spans="2:32" x14ac:dyDescent="0.35">
      <c r="B348" s="432" t="e">
        <f>"2024"&amp;MATCH(Totals!D348,OrgType,0)&amp;"_"&amp;MATCH(Totals!E348,Organisations,0)&amp;"_"&amp;LEFT(Totals!F348,1)&amp;"_"&amp;LEFT(G348,1)&amp;"_"&amp;COUNTIF($G$3:G348,G348)</f>
        <v>#N/A</v>
      </c>
      <c r="C348" s="432">
        <v>2024</v>
      </c>
      <c r="D348" s="432">
        <f>Introduction!$D$7</f>
        <v>0</v>
      </c>
      <c r="E348" s="432">
        <f>Introduction!$D$8</f>
        <v>0</v>
      </c>
      <c r="F348" s="432" t="s">
        <v>558</v>
      </c>
      <c r="G348" s="432" t="s">
        <v>558</v>
      </c>
      <c r="H348" s="433"/>
      <c r="I348" s="434" t="str">
        <f>'Supply chain'!B101</f>
        <v>Administrative and support service activities</v>
      </c>
      <c r="J348" s="434">
        <f>'Supply chain'!C101</f>
        <v>79</v>
      </c>
      <c r="K348" s="434" t="str">
        <f>'Supply chain'!D101</f>
        <v xml:space="preserve">Travel agency, tour operator and other reservation services and related services     </v>
      </c>
      <c r="L348" s="434" t="str">
        <f>'Supply chain'!E101</f>
        <v>Tier 1</v>
      </c>
      <c r="M348" s="434">
        <f>'Supply chain'!F101</f>
        <v>0.25</v>
      </c>
      <c r="N348" s="434">
        <f>'Supply chain'!G101</f>
        <v>0</v>
      </c>
      <c r="O348" s="434" t="str">
        <f>'Supply chain'!H101</f>
        <v>£</v>
      </c>
      <c r="P348" s="434">
        <f>'Supply chain'!I101</f>
        <v>0</v>
      </c>
      <c r="Q348" s="434" t="str">
        <f>'Supply chain'!J101</f>
        <v>£</v>
      </c>
      <c r="R348" s="434">
        <f>'Supply chain'!K101</f>
        <v>0.14046399701908621</v>
      </c>
      <c r="S348" s="434" t="str">
        <f>'Supply chain'!L101</f>
        <v/>
      </c>
      <c r="T348" s="434">
        <f>'Supply chain'!M101</f>
        <v>0</v>
      </c>
      <c r="U348" s="434">
        <f>'Supply chain'!N101</f>
        <v>0</v>
      </c>
      <c r="V348" s="434">
        <f>'Supply chain'!O101</f>
        <v>0</v>
      </c>
      <c r="W348" s="434">
        <f>'Supply chain'!P101</f>
        <v>0</v>
      </c>
      <c r="X348" s="434">
        <f>'Supply chain'!Q101</f>
        <v>0</v>
      </c>
      <c r="Y348" s="434">
        <f>'Supply chain'!R101</f>
        <v>0</v>
      </c>
      <c r="Z348" s="434">
        <f>'Supply chain'!S101</f>
        <v>0</v>
      </c>
      <c r="AA348" s="434">
        <f>'Supply chain'!T101</f>
        <v>0</v>
      </c>
      <c r="AB348" s="434">
        <f>'Supply chain'!U101</f>
        <v>0</v>
      </c>
      <c r="AC348" s="434">
        <f>'Supply chain'!V101</f>
        <v>0</v>
      </c>
      <c r="AE348" s="432">
        <f t="shared" si="14"/>
        <v>0</v>
      </c>
      <c r="AF348" s="432">
        <f t="shared" si="15"/>
        <v>0</v>
      </c>
    </row>
    <row r="349" spans="2:32" x14ac:dyDescent="0.35">
      <c r="B349" s="432" t="e">
        <f>"2024"&amp;MATCH(Totals!D349,OrgType,0)&amp;"_"&amp;MATCH(Totals!E349,Organisations,0)&amp;"_"&amp;LEFT(Totals!F349,1)&amp;"_"&amp;LEFT(G349,1)&amp;"_"&amp;COUNTIF($G$3:G349,G349)</f>
        <v>#N/A</v>
      </c>
      <c r="C349" s="432">
        <v>2024</v>
      </c>
      <c r="D349" s="432">
        <f>Introduction!$D$7</f>
        <v>0</v>
      </c>
      <c r="E349" s="432">
        <f>Introduction!$D$8</f>
        <v>0</v>
      </c>
      <c r="F349" s="432" t="s">
        <v>558</v>
      </c>
      <c r="G349" s="432" t="s">
        <v>558</v>
      </c>
      <c r="H349" s="433"/>
      <c r="I349" s="434" t="str">
        <f>'Supply chain'!B102</f>
        <v>Administrative and support service activities</v>
      </c>
      <c r="J349" s="434">
        <f>'Supply chain'!C102</f>
        <v>80</v>
      </c>
      <c r="K349" s="434" t="str">
        <f>'Supply chain'!D102</f>
        <v xml:space="preserve">Security and investigation services            </v>
      </c>
      <c r="L349" s="434" t="str">
        <f>'Supply chain'!E102</f>
        <v>Tier 1</v>
      </c>
      <c r="M349" s="434">
        <f>'Supply chain'!F102</f>
        <v>0.25</v>
      </c>
      <c r="N349" s="434">
        <f>'Supply chain'!G102</f>
        <v>0</v>
      </c>
      <c r="O349" s="434" t="str">
        <f>'Supply chain'!H102</f>
        <v>£</v>
      </c>
      <c r="P349" s="434">
        <f>'Supply chain'!I102</f>
        <v>0</v>
      </c>
      <c r="Q349" s="434" t="str">
        <f>'Supply chain'!J102</f>
        <v>£</v>
      </c>
      <c r="R349" s="434">
        <f>'Supply chain'!K102</f>
        <v>9.5408278947996958E-2</v>
      </c>
      <c r="S349" s="434" t="str">
        <f>'Supply chain'!L102</f>
        <v/>
      </c>
      <c r="T349" s="434">
        <f>'Supply chain'!M102</f>
        <v>0</v>
      </c>
      <c r="U349" s="434">
        <f>'Supply chain'!N102</f>
        <v>0</v>
      </c>
      <c r="V349" s="434">
        <f>'Supply chain'!O102</f>
        <v>0</v>
      </c>
      <c r="W349" s="434">
        <f>'Supply chain'!P102</f>
        <v>0</v>
      </c>
      <c r="X349" s="434">
        <f>'Supply chain'!Q102</f>
        <v>0</v>
      </c>
      <c r="Y349" s="434">
        <f>'Supply chain'!R102</f>
        <v>0</v>
      </c>
      <c r="Z349" s="434">
        <f>'Supply chain'!S102</f>
        <v>0</v>
      </c>
      <c r="AA349" s="434">
        <f>'Supply chain'!T102</f>
        <v>0</v>
      </c>
      <c r="AB349" s="434">
        <f>'Supply chain'!U102</f>
        <v>0</v>
      </c>
      <c r="AC349" s="434">
        <f>'Supply chain'!V102</f>
        <v>0</v>
      </c>
      <c r="AE349" s="432">
        <f t="shared" si="14"/>
        <v>0</v>
      </c>
      <c r="AF349" s="432">
        <f t="shared" si="15"/>
        <v>0</v>
      </c>
    </row>
    <row r="350" spans="2:32" x14ac:dyDescent="0.35">
      <c r="B350" s="432" t="e">
        <f>"2024"&amp;MATCH(Totals!D350,OrgType,0)&amp;"_"&amp;MATCH(Totals!E350,Organisations,0)&amp;"_"&amp;LEFT(Totals!F350,1)&amp;"_"&amp;LEFT(G350,1)&amp;"_"&amp;COUNTIF($G$3:G350,G350)</f>
        <v>#N/A</v>
      </c>
      <c r="C350" s="432">
        <v>2024</v>
      </c>
      <c r="D350" s="432">
        <f>Introduction!$D$7</f>
        <v>0</v>
      </c>
      <c r="E350" s="432">
        <f>Introduction!$D$8</f>
        <v>0</v>
      </c>
      <c r="F350" s="432" t="s">
        <v>558</v>
      </c>
      <c r="G350" s="432" t="s">
        <v>558</v>
      </c>
      <c r="H350" s="433"/>
      <c r="I350" s="434" t="str">
        <f>'Supply chain'!B103</f>
        <v>Administrative and support service activities</v>
      </c>
      <c r="J350" s="434">
        <f>'Supply chain'!C103</f>
        <v>81</v>
      </c>
      <c r="K350" s="434" t="str">
        <f>'Supply chain'!D103</f>
        <v xml:space="preserve">Services to buildings and landscape           </v>
      </c>
      <c r="L350" s="434" t="str">
        <f>'Supply chain'!E103</f>
        <v>Tier 1</v>
      </c>
      <c r="M350" s="434">
        <f>'Supply chain'!F103</f>
        <v>0.25</v>
      </c>
      <c r="N350" s="434">
        <f>'Supply chain'!G103</f>
        <v>0</v>
      </c>
      <c r="O350" s="434" t="str">
        <f>'Supply chain'!H103</f>
        <v>£</v>
      </c>
      <c r="P350" s="434">
        <f>'Supply chain'!I103</f>
        <v>0</v>
      </c>
      <c r="Q350" s="434" t="str">
        <f>'Supply chain'!J103</f>
        <v>£</v>
      </c>
      <c r="R350" s="434">
        <f>'Supply chain'!K103</f>
        <v>0.1712664478524781</v>
      </c>
      <c r="S350" s="434" t="str">
        <f>'Supply chain'!L103</f>
        <v/>
      </c>
      <c r="T350" s="434">
        <f>'Supply chain'!M103</f>
        <v>0</v>
      </c>
      <c r="U350" s="434">
        <f>'Supply chain'!N103</f>
        <v>0</v>
      </c>
      <c r="V350" s="434">
        <f>'Supply chain'!O103</f>
        <v>0</v>
      </c>
      <c r="W350" s="434">
        <f>'Supply chain'!P103</f>
        <v>0</v>
      </c>
      <c r="X350" s="434">
        <f>'Supply chain'!Q103</f>
        <v>0</v>
      </c>
      <c r="Y350" s="434">
        <f>'Supply chain'!R103</f>
        <v>0</v>
      </c>
      <c r="Z350" s="434">
        <f>'Supply chain'!S103</f>
        <v>0</v>
      </c>
      <c r="AA350" s="434">
        <f>'Supply chain'!T103</f>
        <v>0</v>
      </c>
      <c r="AB350" s="434">
        <f>'Supply chain'!U103</f>
        <v>0</v>
      </c>
      <c r="AC350" s="434">
        <f>'Supply chain'!V103</f>
        <v>0</v>
      </c>
      <c r="AE350" s="432">
        <f t="shared" si="14"/>
        <v>0</v>
      </c>
      <c r="AF350" s="432">
        <f t="shared" si="15"/>
        <v>0</v>
      </c>
    </row>
    <row r="351" spans="2:32" x14ac:dyDescent="0.35">
      <c r="B351" s="432" t="e">
        <f>"2024"&amp;MATCH(Totals!D351,OrgType,0)&amp;"_"&amp;MATCH(Totals!E351,Organisations,0)&amp;"_"&amp;LEFT(Totals!F351,1)&amp;"_"&amp;LEFT(G351,1)&amp;"_"&amp;COUNTIF($G$3:G351,G351)</f>
        <v>#N/A</v>
      </c>
      <c r="C351" s="432">
        <v>2024</v>
      </c>
      <c r="D351" s="432">
        <f>Introduction!$D$7</f>
        <v>0</v>
      </c>
      <c r="E351" s="432">
        <f>Introduction!$D$8</f>
        <v>0</v>
      </c>
      <c r="F351" s="432" t="s">
        <v>558</v>
      </c>
      <c r="G351" s="432" t="s">
        <v>558</v>
      </c>
      <c r="H351" s="433"/>
      <c r="I351" s="434" t="str">
        <f>'Supply chain'!B104</f>
        <v>Administrative and support service activities</v>
      </c>
      <c r="J351" s="434">
        <f>'Supply chain'!C104</f>
        <v>82</v>
      </c>
      <c r="K351" s="434" t="str">
        <f>'Supply chain'!D104</f>
        <v xml:space="preserve">Office administrative, office support and other business support services       </v>
      </c>
      <c r="L351" s="434" t="str">
        <f>'Supply chain'!E104</f>
        <v>Tier 1</v>
      </c>
      <c r="M351" s="434">
        <f>'Supply chain'!F104</f>
        <v>0.25</v>
      </c>
      <c r="N351" s="434">
        <f>'Supply chain'!G104</f>
        <v>0</v>
      </c>
      <c r="O351" s="434" t="str">
        <f>'Supply chain'!H104</f>
        <v>£</v>
      </c>
      <c r="P351" s="434">
        <f>'Supply chain'!I104</f>
        <v>0</v>
      </c>
      <c r="Q351" s="434" t="str">
        <f>'Supply chain'!J104</f>
        <v>£</v>
      </c>
      <c r="R351" s="434">
        <f>'Supply chain'!K104</f>
        <v>0.1180504360352973</v>
      </c>
      <c r="S351" s="434" t="str">
        <f>'Supply chain'!L104</f>
        <v/>
      </c>
      <c r="T351" s="434">
        <f>'Supply chain'!M104</f>
        <v>0</v>
      </c>
      <c r="U351" s="434">
        <f>'Supply chain'!N104</f>
        <v>0</v>
      </c>
      <c r="V351" s="434">
        <f>'Supply chain'!O104</f>
        <v>0</v>
      </c>
      <c r="W351" s="434">
        <f>'Supply chain'!P104</f>
        <v>0</v>
      </c>
      <c r="X351" s="434">
        <f>'Supply chain'!Q104</f>
        <v>0</v>
      </c>
      <c r="Y351" s="434">
        <f>'Supply chain'!R104</f>
        <v>0</v>
      </c>
      <c r="Z351" s="434">
        <f>'Supply chain'!S104</f>
        <v>0</v>
      </c>
      <c r="AA351" s="434">
        <f>'Supply chain'!T104</f>
        <v>0</v>
      </c>
      <c r="AB351" s="434">
        <f>'Supply chain'!U104</f>
        <v>0</v>
      </c>
      <c r="AC351" s="434">
        <f>'Supply chain'!V104</f>
        <v>0</v>
      </c>
      <c r="AE351" s="432">
        <f t="shared" si="14"/>
        <v>0</v>
      </c>
      <c r="AF351" s="432">
        <f t="shared" si="15"/>
        <v>0</v>
      </c>
    </row>
    <row r="352" spans="2:32" x14ac:dyDescent="0.35">
      <c r="B352" s="432" t="e">
        <f>"2024"&amp;MATCH(Totals!D352,OrgType,0)&amp;"_"&amp;MATCH(Totals!E352,Organisations,0)&amp;"_"&amp;LEFT(Totals!F352,1)&amp;"_"&amp;LEFT(G352,1)&amp;"_"&amp;COUNTIF($G$3:G352,G352)</f>
        <v>#N/A</v>
      </c>
      <c r="C352" s="432">
        <v>2024</v>
      </c>
      <c r="D352" s="432">
        <f>Introduction!$D$7</f>
        <v>0</v>
      </c>
      <c r="E352" s="432">
        <f>Introduction!$D$8</f>
        <v>0</v>
      </c>
      <c r="F352" s="432" t="s">
        <v>558</v>
      </c>
      <c r="G352" s="432" t="s">
        <v>558</v>
      </c>
      <c r="H352" s="433"/>
      <c r="I352" s="434" t="str">
        <f>'Supply chain'!B105</f>
        <v>Public administration and defence; compulsory social security</v>
      </c>
      <c r="J352" s="434">
        <f>'Supply chain'!C105</f>
        <v>84</v>
      </c>
      <c r="K352" s="434" t="str">
        <f>'Supply chain'!D105</f>
        <v xml:space="preserve">Public administration and defence services; compulsory social security services       </v>
      </c>
      <c r="L352" s="434" t="str">
        <f>'Supply chain'!E105</f>
        <v>Tier 1</v>
      </c>
      <c r="M352" s="434">
        <f>'Supply chain'!F105</f>
        <v>0.25</v>
      </c>
      <c r="N352" s="434">
        <f>'Supply chain'!G105</f>
        <v>0</v>
      </c>
      <c r="O352" s="434" t="str">
        <f>'Supply chain'!H105</f>
        <v>£</v>
      </c>
      <c r="P352" s="434">
        <f>'Supply chain'!I105</f>
        <v>0</v>
      </c>
      <c r="Q352" s="434" t="str">
        <f>'Supply chain'!J105</f>
        <v>£</v>
      </c>
      <c r="R352" s="434">
        <f>'Supply chain'!K105</f>
        <v>0.1703405261372164</v>
      </c>
      <c r="S352" s="434" t="str">
        <f>'Supply chain'!L105</f>
        <v/>
      </c>
      <c r="T352" s="434">
        <f>'Supply chain'!M105</f>
        <v>0</v>
      </c>
      <c r="U352" s="434">
        <f>'Supply chain'!N105</f>
        <v>0</v>
      </c>
      <c r="V352" s="434">
        <f>'Supply chain'!O105</f>
        <v>0</v>
      </c>
      <c r="W352" s="434">
        <f>'Supply chain'!P105</f>
        <v>0</v>
      </c>
      <c r="X352" s="434">
        <f>'Supply chain'!Q105</f>
        <v>0</v>
      </c>
      <c r="Y352" s="434">
        <f>'Supply chain'!R105</f>
        <v>0</v>
      </c>
      <c r="Z352" s="434">
        <f>'Supply chain'!S105</f>
        <v>0</v>
      </c>
      <c r="AA352" s="434">
        <f>'Supply chain'!T105</f>
        <v>0</v>
      </c>
      <c r="AB352" s="434">
        <f>'Supply chain'!U105</f>
        <v>0</v>
      </c>
      <c r="AC352" s="434">
        <f>'Supply chain'!V105</f>
        <v>0</v>
      </c>
      <c r="AE352" s="432">
        <f t="shared" si="14"/>
        <v>0</v>
      </c>
      <c r="AF352" s="432">
        <f t="shared" si="15"/>
        <v>0</v>
      </c>
    </row>
    <row r="353" spans="2:32" x14ac:dyDescent="0.35">
      <c r="B353" s="432" t="e">
        <f>"2024"&amp;MATCH(Totals!D353,OrgType,0)&amp;"_"&amp;MATCH(Totals!E353,Organisations,0)&amp;"_"&amp;LEFT(Totals!F353,1)&amp;"_"&amp;LEFT(G353,1)&amp;"_"&amp;COUNTIF($G$3:G353,G353)</f>
        <v>#N/A</v>
      </c>
      <c r="C353" s="432">
        <v>2024</v>
      </c>
      <c r="D353" s="432">
        <f>Introduction!$D$7</f>
        <v>0</v>
      </c>
      <c r="E353" s="432">
        <f>Introduction!$D$8</f>
        <v>0</v>
      </c>
      <c r="F353" s="432" t="s">
        <v>558</v>
      </c>
      <c r="G353" s="432" t="s">
        <v>558</v>
      </c>
      <c r="H353" s="433"/>
      <c r="I353" s="434" t="str">
        <f>'Supply chain'!B106</f>
        <v>Education</v>
      </c>
      <c r="J353" s="434">
        <f>'Supply chain'!C106</f>
        <v>85</v>
      </c>
      <c r="K353" s="434" t="str">
        <f>'Supply chain'!D106</f>
        <v xml:space="preserve">Education services              </v>
      </c>
      <c r="L353" s="434" t="str">
        <f>'Supply chain'!E106</f>
        <v>Tier 1</v>
      </c>
      <c r="M353" s="434">
        <f>'Supply chain'!F106</f>
        <v>0.25</v>
      </c>
      <c r="N353" s="434">
        <f>'Supply chain'!G106</f>
        <v>0</v>
      </c>
      <c r="O353" s="434" t="str">
        <f>'Supply chain'!H106</f>
        <v>£</v>
      </c>
      <c r="P353" s="434">
        <f>'Supply chain'!I106</f>
        <v>0</v>
      </c>
      <c r="Q353" s="434" t="str">
        <f>'Supply chain'!J106</f>
        <v>£</v>
      </c>
      <c r="R353" s="434">
        <f>'Supply chain'!K106</f>
        <v>0.10257966678326461</v>
      </c>
      <c r="S353" s="434" t="str">
        <f>'Supply chain'!L106</f>
        <v/>
      </c>
      <c r="T353" s="434">
        <f>'Supply chain'!M106</f>
        <v>0</v>
      </c>
      <c r="U353" s="434">
        <f>'Supply chain'!N106</f>
        <v>0</v>
      </c>
      <c r="V353" s="434">
        <f>'Supply chain'!O106</f>
        <v>0</v>
      </c>
      <c r="W353" s="434">
        <f>'Supply chain'!P106</f>
        <v>0</v>
      </c>
      <c r="X353" s="434">
        <f>'Supply chain'!Q106</f>
        <v>0</v>
      </c>
      <c r="Y353" s="434">
        <f>'Supply chain'!R106</f>
        <v>0</v>
      </c>
      <c r="Z353" s="434">
        <f>'Supply chain'!S106</f>
        <v>0</v>
      </c>
      <c r="AA353" s="434">
        <f>'Supply chain'!T106</f>
        <v>0</v>
      </c>
      <c r="AB353" s="434">
        <f>'Supply chain'!U106</f>
        <v>0</v>
      </c>
      <c r="AC353" s="434">
        <f>'Supply chain'!V106</f>
        <v>0</v>
      </c>
      <c r="AE353" s="432">
        <f t="shared" si="14"/>
        <v>0</v>
      </c>
      <c r="AF353" s="432">
        <f t="shared" si="15"/>
        <v>0</v>
      </c>
    </row>
    <row r="354" spans="2:32" x14ac:dyDescent="0.35">
      <c r="B354" s="432" t="e">
        <f>"2024"&amp;MATCH(Totals!D354,OrgType,0)&amp;"_"&amp;MATCH(Totals!E354,Organisations,0)&amp;"_"&amp;LEFT(Totals!F354,1)&amp;"_"&amp;LEFT(G354,1)&amp;"_"&amp;COUNTIF($G$3:G354,G354)</f>
        <v>#N/A</v>
      </c>
      <c r="C354" s="432">
        <v>2024</v>
      </c>
      <c r="D354" s="432">
        <f>Introduction!$D$7</f>
        <v>0</v>
      </c>
      <c r="E354" s="432">
        <f>Introduction!$D$8</f>
        <v>0</v>
      </c>
      <c r="F354" s="432" t="s">
        <v>558</v>
      </c>
      <c r="G354" s="432" t="s">
        <v>558</v>
      </c>
      <c r="H354" s="433"/>
      <c r="I354" s="434" t="str">
        <f>'Supply chain'!B107</f>
        <v>Human health and social work activities</v>
      </c>
      <c r="J354" s="434">
        <f>'Supply chain'!C107</f>
        <v>86</v>
      </c>
      <c r="K354" s="434" t="str">
        <f>'Supply chain'!D107</f>
        <v xml:space="preserve">Human health services             </v>
      </c>
      <c r="L354" s="434" t="str">
        <f>'Supply chain'!E107</f>
        <v>Tier 1</v>
      </c>
      <c r="M354" s="434">
        <f>'Supply chain'!F107</f>
        <v>0.25</v>
      </c>
      <c r="N354" s="434">
        <f>'Supply chain'!G107</f>
        <v>0</v>
      </c>
      <c r="O354" s="434" t="str">
        <f>'Supply chain'!H107</f>
        <v>£</v>
      </c>
      <c r="P354" s="434">
        <f>'Supply chain'!I107</f>
        <v>0</v>
      </c>
      <c r="Q354" s="434" t="str">
        <f>'Supply chain'!J107</f>
        <v>£</v>
      </c>
      <c r="R354" s="434">
        <f>'Supply chain'!K107</f>
        <v>0.29193168620018201</v>
      </c>
      <c r="S354" s="434" t="str">
        <f>'Supply chain'!L107</f>
        <v/>
      </c>
      <c r="T354" s="434">
        <f>'Supply chain'!M107</f>
        <v>0</v>
      </c>
      <c r="U354" s="434">
        <f>'Supply chain'!N107</f>
        <v>0</v>
      </c>
      <c r="V354" s="434">
        <f>'Supply chain'!O107</f>
        <v>0</v>
      </c>
      <c r="W354" s="434">
        <f>'Supply chain'!P107</f>
        <v>0</v>
      </c>
      <c r="X354" s="434">
        <f>'Supply chain'!Q107</f>
        <v>0</v>
      </c>
      <c r="Y354" s="434">
        <f>'Supply chain'!R107</f>
        <v>0</v>
      </c>
      <c r="Z354" s="434">
        <f>'Supply chain'!S107</f>
        <v>0</v>
      </c>
      <c r="AA354" s="434">
        <f>'Supply chain'!T107</f>
        <v>0</v>
      </c>
      <c r="AB354" s="434">
        <f>'Supply chain'!U107</f>
        <v>0</v>
      </c>
      <c r="AC354" s="434">
        <f>'Supply chain'!V107</f>
        <v>0</v>
      </c>
      <c r="AE354" s="432">
        <f t="shared" si="14"/>
        <v>0</v>
      </c>
      <c r="AF354" s="432">
        <f t="shared" si="15"/>
        <v>0</v>
      </c>
    </row>
    <row r="355" spans="2:32" x14ac:dyDescent="0.35">
      <c r="B355" s="432" t="e">
        <f>"2024"&amp;MATCH(Totals!D355,OrgType,0)&amp;"_"&amp;MATCH(Totals!E355,Organisations,0)&amp;"_"&amp;LEFT(Totals!F355,1)&amp;"_"&amp;LEFT(G355,1)&amp;"_"&amp;COUNTIF($G$3:G355,G355)</f>
        <v>#N/A</v>
      </c>
      <c r="C355" s="432">
        <v>2024</v>
      </c>
      <c r="D355" s="432">
        <f>Introduction!$D$7</f>
        <v>0</v>
      </c>
      <c r="E355" s="432">
        <f>Introduction!$D$8</f>
        <v>0</v>
      </c>
      <c r="F355" s="432" t="s">
        <v>558</v>
      </c>
      <c r="G355" s="432" t="s">
        <v>558</v>
      </c>
      <c r="H355" s="433"/>
      <c r="I355" s="434" t="str">
        <f>'Supply chain'!B108</f>
        <v>Human health and social work activities</v>
      </c>
      <c r="J355" s="434">
        <f>'Supply chain'!C108</f>
        <v>87</v>
      </c>
      <c r="K355" s="434" t="str">
        <f>'Supply chain'!D108</f>
        <v xml:space="preserve">Residential care services             </v>
      </c>
      <c r="L355" s="434" t="str">
        <f>'Supply chain'!E108</f>
        <v>Tier 1</v>
      </c>
      <c r="M355" s="434">
        <f>'Supply chain'!F108</f>
        <v>0.25</v>
      </c>
      <c r="N355" s="434">
        <f>'Supply chain'!G108</f>
        <v>0</v>
      </c>
      <c r="O355" s="434" t="str">
        <f>'Supply chain'!H108</f>
        <v>£</v>
      </c>
      <c r="P355" s="434">
        <f>'Supply chain'!I108</f>
        <v>0</v>
      </c>
      <c r="Q355" s="434" t="str">
        <f>'Supply chain'!J108</f>
        <v>£</v>
      </c>
      <c r="R355" s="434">
        <f>'Supply chain'!K108</f>
        <v>0.16514437058930551</v>
      </c>
      <c r="S355" s="434" t="str">
        <f>'Supply chain'!L108</f>
        <v/>
      </c>
      <c r="T355" s="434">
        <f>'Supply chain'!M108</f>
        <v>0</v>
      </c>
      <c r="U355" s="434">
        <f>'Supply chain'!N108</f>
        <v>0</v>
      </c>
      <c r="V355" s="434">
        <f>'Supply chain'!O108</f>
        <v>0</v>
      </c>
      <c r="W355" s="434">
        <f>'Supply chain'!P108</f>
        <v>0</v>
      </c>
      <c r="X355" s="434">
        <f>'Supply chain'!Q108</f>
        <v>0</v>
      </c>
      <c r="Y355" s="434">
        <f>'Supply chain'!R108</f>
        <v>0</v>
      </c>
      <c r="Z355" s="434">
        <f>'Supply chain'!S108</f>
        <v>0</v>
      </c>
      <c r="AA355" s="434">
        <f>'Supply chain'!T108</f>
        <v>0</v>
      </c>
      <c r="AB355" s="434">
        <f>'Supply chain'!U108</f>
        <v>0</v>
      </c>
      <c r="AC355" s="434">
        <f>'Supply chain'!V108</f>
        <v>0</v>
      </c>
      <c r="AE355" s="432">
        <f t="shared" si="14"/>
        <v>0</v>
      </c>
      <c r="AF355" s="432">
        <f t="shared" si="15"/>
        <v>0</v>
      </c>
    </row>
    <row r="356" spans="2:32" x14ac:dyDescent="0.35">
      <c r="B356" s="432" t="e">
        <f>"2024"&amp;MATCH(Totals!D356,OrgType,0)&amp;"_"&amp;MATCH(Totals!E356,Organisations,0)&amp;"_"&amp;LEFT(Totals!F356,1)&amp;"_"&amp;LEFT(G356,1)&amp;"_"&amp;COUNTIF($G$3:G356,G356)</f>
        <v>#N/A</v>
      </c>
      <c r="C356" s="432">
        <v>2024</v>
      </c>
      <c r="D356" s="432">
        <f>Introduction!$D$7</f>
        <v>0</v>
      </c>
      <c r="E356" s="432">
        <f>Introduction!$D$8</f>
        <v>0</v>
      </c>
      <c r="F356" s="432" t="s">
        <v>558</v>
      </c>
      <c r="G356" s="432" t="s">
        <v>558</v>
      </c>
      <c r="H356" s="433"/>
      <c r="I356" s="434" t="str">
        <f>'Supply chain'!B109</f>
        <v>Human health and social work activities</v>
      </c>
      <c r="J356" s="434">
        <f>'Supply chain'!C109</f>
        <v>88</v>
      </c>
      <c r="K356" s="434" t="str">
        <f>'Supply chain'!D109</f>
        <v xml:space="preserve">Social work services without accommodation           </v>
      </c>
      <c r="L356" s="434" t="str">
        <f>'Supply chain'!E109</f>
        <v>Tier 1</v>
      </c>
      <c r="M356" s="434">
        <f>'Supply chain'!F109</f>
        <v>0.25</v>
      </c>
      <c r="N356" s="434">
        <f>'Supply chain'!G109</f>
        <v>0</v>
      </c>
      <c r="O356" s="434" t="str">
        <f>'Supply chain'!H109</f>
        <v>£</v>
      </c>
      <c r="P356" s="434">
        <f>'Supply chain'!I109</f>
        <v>0</v>
      </c>
      <c r="Q356" s="434" t="str">
        <f>'Supply chain'!J109</f>
        <v>£</v>
      </c>
      <c r="R356" s="434">
        <f>'Supply chain'!K109</f>
        <v>0.12926092802643949</v>
      </c>
      <c r="S356" s="434" t="str">
        <f>'Supply chain'!L109</f>
        <v/>
      </c>
      <c r="T356" s="434">
        <f>'Supply chain'!M109</f>
        <v>0</v>
      </c>
      <c r="U356" s="434">
        <f>'Supply chain'!N109</f>
        <v>0</v>
      </c>
      <c r="V356" s="434">
        <f>'Supply chain'!O109</f>
        <v>0</v>
      </c>
      <c r="W356" s="434">
        <f>'Supply chain'!P109</f>
        <v>0</v>
      </c>
      <c r="X356" s="434">
        <f>'Supply chain'!Q109</f>
        <v>0</v>
      </c>
      <c r="Y356" s="434">
        <f>'Supply chain'!R109</f>
        <v>0</v>
      </c>
      <c r="Z356" s="434">
        <f>'Supply chain'!S109</f>
        <v>0</v>
      </c>
      <c r="AA356" s="434">
        <f>'Supply chain'!T109</f>
        <v>0</v>
      </c>
      <c r="AB356" s="434">
        <f>'Supply chain'!U109</f>
        <v>0</v>
      </c>
      <c r="AC356" s="434">
        <f>'Supply chain'!V109</f>
        <v>0</v>
      </c>
      <c r="AE356" s="432">
        <f t="shared" si="14"/>
        <v>0</v>
      </c>
      <c r="AF356" s="432">
        <f t="shared" si="15"/>
        <v>0</v>
      </c>
    </row>
    <row r="357" spans="2:32" x14ac:dyDescent="0.35">
      <c r="B357" s="432" t="e">
        <f>"2024"&amp;MATCH(Totals!D357,OrgType,0)&amp;"_"&amp;MATCH(Totals!E357,Organisations,0)&amp;"_"&amp;LEFT(Totals!F357,1)&amp;"_"&amp;LEFT(G357,1)&amp;"_"&amp;COUNTIF($G$3:G357,G357)</f>
        <v>#N/A</v>
      </c>
      <c r="C357" s="432">
        <v>2024</v>
      </c>
      <c r="D357" s="432">
        <f>Introduction!$D$7</f>
        <v>0</v>
      </c>
      <c r="E357" s="432">
        <f>Introduction!$D$8</f>
        <v>0</v>
      </c>
      <c r="F357" s="432" t="s">
        <v>558</v>
      </c>
      <c r="G357" s="432" t="s">
        <v>558</v>
      </c>
      <c r="H357" s="433"/>
      <c r="I357" s="434" t="str">
        <f>'Supply chain'!B110</f>
        <v>Arts, entertainment and recreation</v>
      </c>
      <c r="J357" s="434">
        <f>'Supply chain'!C110</f>
        <v>90</v>
      </c>
      <c r="K357" s="434" t="str">
        <f>'Supply chain'!D110</f>
        <v xml:space="preserve">Creative, arts and entertainment services           </v>
      </c>
      <c r="L357" s="434" t="str">
        <f>'Supply chain'!E110</f>
        <v>Tier 1</v>
      </c>
      <c r="M357" s="434">
        <f>'Supply chain'!F110</f>
        <v>0.25</v>
      </c>
      <c r="N357" s="434">
        <f>'Supply chain'!G110</f>
        <v>0</v>
      </c>
      <c r="O357" s="434" t="str">
        <f>'Supply chain'!H110</f>
        <v>£</v>
      </c>
      <c r="P357" s="434">
        <f>'Supply chain'!I110</f>
        <v>0</v>
      </c>
      <c r="Q357" s="434" t="str">
        <f>'Supply chain'!J110</f>
        <v>£</v>
      </c>
      <c r="R357" s="434">
        <f>'Supply chain'!K110</f>
        <v>0.2018836157509922</v>
      </c>
      <c r="S357" s="434" t="str">
        <f>'Supply chain'!L110</f>
        <v/>
      </c>
      <c r="T357" s="434">
        <f>'Supply chain'!M110</f>
        <v>0</v>
      </c>
      <c r="U357" s="434">
        <f>'Supply chain'!N110</f>
        <v>0</v>
      </c>
      <c r="V357" s="434">
        <f>'Supply chain'!O110</f>
        <v>0</v>
      </c>
      <c r="W357" s="434">
        <f>'Supply chain'!P110</f>
        <v>0</v>
      </c>
      <c r="X357" s="434">
        <f>'Supply chain'!Q110</f>
        <v>0</v>
      </c>
      <c r="Y357" s="434">
        <f>'Supply chain'!R110</f>
        <v>0</v>
      </c>
      <c r="Z357" s="434">
        <f>'Supply chain'!S110</f>
        <v>0</v>
      </c>
      <c r="AA357" s="434">
        <f>'Supply chain'!T110</f>
        <v>0</v>
      </c>
      <c r="AB357" s="434">
        <f>'Supply chain'!U110</f>
        <v>0</v>
      </c>
      <c r="AC357" s="434">
        <f>'Supply chain'!V110</f>
        <v>0</v>
      </c>
      <c r="AE357" s="432">
        <f t="shared" si="14"/>
        <v>0</v>
      </c>
      <c r="AF357" s="432">
        <f t="shared" si="15"/>
        <v>0</v>
      </c>
    </row>
    <row r="358" spans="2:32" x14ac:dyDescent="0.35">
      <c r="B358" s="432" t="e">
        <f>"2024"&amp;MATCH(Totals!D358,OrgType,0)&amp;"_"&amp;MATCH(Totals!E358,Organisations,0)&amp;"_"&amp;LEFT(Totals!F358,1)&amp;"_"&amp;LEFT(G358,1)&amp;"_"&amp;COUNTIF($G$3:G358,G358)</f>
        <v>#N/A</v>
      </c>
      <c r="C358" s="432">
        <v>2024</v>
      </c>
      <c r="D358" s="432">
        <f>Introduction!$D$7</f>
        <v>0</v>
      </c>
      <c r="E358" s="432">
        <f>Introduction!$D$8</f>
        <v>0</v>
      </c>
      <c r="F358" s="432" t="s">
        <v>558</v>
      </c>
      <c r="G358" s="432" t="s">
        <v>558</v>
      </c>
      <c r="H358" s="433"/>
      <c r="I358" s="434" t="str">
        <f>'Supply chain'!B111</f>
        <v>Arts, entertainment and recreation</v>
      </c>
      <c r="J358" s="434">
        <f>'Supply chain'!C111</f>
        <v>91</v>
      </c>
      <c r="K358" s="434" t="str">
        <f>'Supply chain'!D111</f>
        <v xml:space="preserve">Libraries, archives, museums and other cultural services         </v>
      </c>
      <c r="L358" s="434" t="str">
        <f>'Supply chain'!E111</f>
        <v>Tier 1</v>
      </c>
      <c r="M358" s="434">
        <f>'Supply chain'!F111</f>
        <v>0.25</v>
      </c>
      <c r="N358" s="434">
        <f>'Supply chain'!G111</f>
        <v>0</v>
      </c>
      <c r="O358" s="434" t="str">
        <f>'Supply chain'!H111</f>
        <v>£</v>
      </c>
      <c r="P358" s="434">
        <f>'Supply chain'!I111</f>
        <v>0</v>
      </c>
      <c r="Q358" s="434" t="str">
        <f>'Supply chain'!J111</f>
        <v>£</v>
      </c>
      <c r="R358" s="434">
        <f>'Supply chain'!K111</f>
        <v>0.1638049098676421</v>
      </c>
      <c r="S358" s="434" t="str">
        <f>'Supply chain'!L111</f>
        <v/>
      </c>
      <c r="T358" s="434">
        <f>'Supply chain'!M111</f>
        <v>0</v>
      </c>
      <c r="U358" s="434">
        <f>'Supply chain'!N111</f>
        <v>0</v>
      </c>
      <c r="V358" s="434">
        <f>'Supply chain'!O111</f>
        <v>0</v>
      </c>
      <c r="W358" s="434">
        <f>'Supply chain'!P111</f>
        <v>0</v>
      </c>
      <c r="X358" s="434">
        <f>'Supply chain'!Q111</f>
        <v>0</v>
      </c>
      <c r="Y358" s="434">
        <f>'Supply chain'!R111</f>
        <v>0</v>
      </c>
      <c r="Z358" s="434">
        <f>'Supply chain'!S111</f>
        <v>0</v>
      </c>
      <c r="AA358" s="434">
        <f>'Supply chain'!T111</f>
        <v>0</v>
      </c>
      <c r="AB358" s="434">
        <f>'Supply chain'!U111</f>
        <v>0</v>
      </c>
      <c r="AC358" s="434">
        <f>'Supply chain'!V111</f>
        <v>0</v>
      </c>
      <c r="AE358" s="432">
        <f t="shared" si="14"/>
        <v>0</v>
      </c>
      <c r="AF358" s="432">
        <f t="shared" si="15"/>
        <v>0</v>
      </c>
    </row>
    <row r="359" spans="2:32" x14ac:dyDescent="0.35">
      <c r="B359" s="432" t="e">
        <f>"2024"&amp;MATCH(Totals!D359,OrgType,0)&amp;"_"&amp;MATCH(Totals!E359,Organisations,0)&amp;"_"&amp;LEFT(Totals!F359,1)&amp;"_"&amp;LEFT(G359,1)&amp;"_"&amp;COUNTIF($G$3:G359,G359)</f>
        <v>#N/A</v>
      </c>
      <c r="C359" s="432">
        <v>2024</v>
      </c>
      <c r="D359" s="432">
        <f>Introduction!$D$7</f>
        <v>0</v>
      </c>
      <c r="E359" s="432">
        <f>Introduction!$D$8</f>
        <v>0</v>
      </c>
      <c r="F359" s="432" t="s">
        <v>558</v>
      </c>
      <c r="G359" s="432" t="s">
        <v>558</v>
      </c>
      <c r="H359" s="433"/>
      <c r="I359" s="434" t="str">
        <f>'Supply chain'!B112</f>
        <v>Arts, entertainment and recreation</v>
      </c>
      <c r="J359" s="434">
        <f>'Supply chain'!C112</f>
        <v>92</v>
      </c>
      <c r="K359" s="434" t="str">
        <f>'Supply chain'!D112</f>
        <v xml:space="preserve">Gambling and betting services            </v>
      </c>
      <c r="L359" s="434" t="str">
        <f>'Supply chain'!E112</f>
        <v>Tier 1</v>
      </c>
      <c r="M359" s="434">
        <f>'Supply chain'!F112</f>
        <v>0.25</v>
      </c>
      <c r="N359" s="434">
        <f>'Supply chain'!G112</f>
        <v>0</v>
      </c>
      <c r="O359" s="434" t="str">
        <f>'Supply chain'!H112</f>
        <v>£</v>
      </c>
      <c r="P359" s="434">
        <f>'Supply chain'!I112</f>
        <v>0</v>
      </c>
      <c r="Q359" s="434" t="str">
        <f>'Supply chain'!J112</f>
        <v>£</v>
      </c>
      <c r="R359" s="434">
        <f>'Supply chain'!K112</f>
        <v>9.4972651851191595E-2</v>
      </c>
      <c r="S359" s="434" t="str">
        <f>'Supply chain'!L112</f>
        <v/>
      </c>
      <c r="T359" s="434">
        <f>'Supply chain'!M112</f>
        <v>0</v>
      </c>
      <c r="U359" s="434">
        <f>'Supply chain'!N112</f>
        <v>0</v>
      </c>
      <c r="V359" s="434">
        <f>'Supply chain'!O112</f>
        <v>0</v>
      </c>
      <c r="W359" s="434">
        <f>'Supply chain'!P112</f>
        <v>0</v>
      </c>
      <c r="X359" s="434">
        <f>'Supply chain'!Q112</f>
        <v>0</v>
      </c>
      <c r="Y359" s="434">
        <f>'Supply chain'!R112</f>
        <v>0</v>
      </c>
      <c r="Z359" s="434">
        <f>'Supply chain'!S112</f>
        <v>0</v>
      </c>
      <c r="AA359" s="434">
        <f>'Supply chain'!T112</f>
        <v>0</v>
      </c>
      <c r="AB359" s="434">
        <f>'Supply chain'!U112</f>
        <v>0</v>
      </c>
      <c r="AC359" s="434">
        <f>'Supply chain'!V112</f>
        <v>0</v>
      </c>
      <c r="AE359" s="432">
        <f t="shared" si="14"/>
        <v>0</v>
      </c>
      <c r="AF359" s="432">
        <f t="shared" si="15"/>
        <v>0</v>
      </c>
    </row>
    <row r="360" spans="2:32" x14ac:dyDescent="0.35">
      <c r="B360" s="432" t="e">
        <f>"2024"&amp;MATCH(Totals!D360,OrgType,0)&amp;"_"&amp;MATCH(Totals!E360,Organisations,0)&amp;"_"&amp;LEFT(Totals!F360,1)&amp;"_"&amp;LEFT(G360,1)&amp;"_"&amp;COUNTIF($G$3:G360,G360)</f>
        <v>#N/A</v>
      </c>
      <c r="C360" s="432">
        <v>2024</v>
      </c>
      <c r="D360" s="432">
        <f>Introduction!$D$7</f>
        <v>0</v>
      </c>
      <c r="E360" s="432">
        <f>Introduction!$D$8</f>
        <v>0</v>
      </c>
      <c r="F360" s="432" t="s">
        <v>558</v>
      </c>
      <c r="G360" s="432" t="s">
        <v>558</v>
      </c>
      <c r="H360" s="433"/>
      <c r="I360" s="434" t="str">
        <f>'Supply chain'!B113</f>
        <v>Arts, entertainment and recreation</v>
      </c>
      <c r="J360" s="434">
        <f>'Supply chain'!C113</f>
        <v>93</v>
      </c>
      <c r="K360" s="434" t="str">
        <f>'Supply chain'!D113</f>
        <v xml:space="preserve">Sports services and amusement and recreation services         </v>
      </c>
      <c r="L360" s="434" t="str">
        <f>'Supply chain'!E113</f>
        <v>Tier 1</v>
      </c>
      <c r="M360" s="434">
        <f>'Supply chain'!F113</f>
        <v>0.25</v>
      </c>
      <c r="N360" s="434">
        <f>'Supply chain'!G113</f>
        <v>0</v>
      </c>
      <c r="O360" s="434" t="str">
        <f>'Supply chain'!H113</f>
        <v>£</v>
      </c>
      <c r="P360" s="434">
        <f>'Supply chain'!I113</f>
        <v>0</v>
      </c>
      <c r="Q360" s="434" t="str">
        <f>'Supply chain'!J113</f>
        <v>£</v>
      </c>
      <c r="R360" s="434">
        <f>'Supply chain'!K113</f>
        <v>0.22280360830166321</v>
      </c>
      <c r="S360" s="434" t="str">
        <f>'Supply chain'!L113</f>
        <v/>
      </c>
      <c r="T360" s="434">
        <f>'Supply chain'!M113</f>
        <v>0</v>
      </c>
      <c r="U360" s="434">
        <f>'Supply chain'!N113</f>
        <v>0</v>
      </c>
      <c r="V360" s="434">
        <f>'Supply chain'!O113</f>
        <v>0</v>
      </c>
      <c r="W360" s="434">
        <f>'Supply chain'!P113</f>
        <v>0</v>
      </c>
      <c r="X360" s="434">
        <f>'Supply chain'!Q113</f>
        <v>0</v>
      </c>
      <c r="Y360" s="434">
        <f>'Supply chain'!R113</f>
        <v>0</v>
      </c>
      <c r="Z360" s="434">
        <f>'Supply chain'!S113</f>
        <v>0</v>
      </c>
      <c r="AA360" s="434">
        <f>'Supply chain'!T113</f>
        <v>0</v>
      </c>
      <c r="AB360" s="434">
        <f>'Supply chain'!U113</f>
        <v>0</v>
      </c>
      <c r="AC360" s="434">
        <f>'Supply chain'!V113</f>
        <v>0</v>
      </c>
      <c r="AE360" s="432">
        <f t="shared" si="14"/>
        <v>0</v>
      </c>
      <c r="AF360" s="432">
        <f t="shared" si="15"/>
        <v>0</v>
      </c>
    </row>
    <row r="361" spans="2:32" x14ac:dyDescent="0.35">
      <c r="B361" s="432" t="e">
        <f>"2024"&amp;MATCH(Totals!D361,OrgType,0)&amp;"_"&amp;MATCH(Totals!E361,Organisations,0)&amp;"_"&amp;LEFT(Totals!F361,1)&amp;"_"&amp;LEFT(G361,1)&amp;"_"&amp;COUNTIF($G$3:G361,G361)</f>
        <v>#N/A</v>
      </c>
      <c r="C361" s="432">
        <v>2024</v>
      </c>
      <c r="D361" s="432">
        <f>Introduction!$D$7</f>
        <v>0</v>
      </c>
      <c r="E361" s="432">
        <f>Introduction!$D$8</f>
        <v>0</v>
      </c>
      <c r="F361" s="432" t="s">
        <v>558</v>
      </c>
      <c r="G361" s="432" t="s">
        <v>558</v>
      </c>
      <c r="H361" s="433"/>
      <c r="I361" s="434" t="str">
        <f>'Supply chain'!B114</f>
        <v>Other service activities</v>
      </c>
      <c r="J361" s="434">
        <f>'Supply chain'!C114</f>
        <v>94</v>
      </c>
      <c r="K361" s="434" t="str">
        <f>'Supply chain'!D114</f>
        <v xml:space="preserve">Services furnished by membership organisations           </v>
      </c>
      <c r="L361" s="434" t="str">
        <f>'Supply chain'!E114</f>
        <v>Tier 1</v>
      </c>
      <c r="M361" s="434">
        <f>'Supply chain'!F114</f>
        <v>0.25</v>
      </c>
      <c r="N361" s="434">
        <f>'Supply chain'!G114</f>
        <v>0</v>
      </c>
      <c r="O361" s="434" t="str">
        <f>'Supply chain'!H114</f>
        <v>£</v>
      </c>
      <c r="P361" s="434">
        <f>'Supply chain'!I114</f>
        <v>0</v>
      </c>
      <c r="Q361" s="434" t="str">
        <f>'Supply chain'!J114</f>
        <v>£</v>
      </c>
      <c r="R361" s="434">
        <f>'Supply chain'!K114</f>
        <v>0.1210358880635142</v>
      </c>
      <c r="S361" s="434" t="str">
        <f>'Supply chain'!L114</f>
        <v/>
      </c>
      <c r="T361" s="434">
        <f>'Supply chain'!M114</f>
        <v>0</v>
      </c>
      <c r="U361" s="434">
        <f>'Supply chain'!N114</f>
        <v>0</v>
      </c>
      <c r="V361" s="434">
        <f>'Supply chain'!O114</f>
        <v>0</v>
      </c>
      <c r="W361" s="434">
        <f>'Supply chain'!P114</f>
        <v>0</v>
      </c>
      <c r="X361" s="434">
        <f>'Supply chain'!Q114</f>
        <v>0</v>
      </c>
      <c r="Y361" s="434">
        <f>'Supply chain'!R114</f>
        <v>0</v>
      </c>
      <c r="Z361" s="434">
        <f>'Supply chain'!S114</f>
        <v>0</v>
      </c>
      <c r="AA361" s="434">
        <f>'Supply chain'!T114</f>
        <v>0</v>
      </c>
      <c r="AB361" s="434">
        <f>'Supply chain'!U114</f>
        <v>0</v>
      </c>
      <c r="AC361" s="434">
        <f>'Supply chain'!V114</f>
        <v>0</v>
      </c>
      <c r="AE361" s="432">
        <f t="shared" si="14"/>
        <v>0</v>
      </c>
      <c r="AF361" s="432">
        <f t="shared" si="15"/>
        <v>0</v>
      </c>
    </row>
    <row r="362" spans="2:32" x14ac:dyDescent="0.35">
      <c r="B362" s="432" t="e">
        <f>"2024"&amp;MATCH(Totals!D362,OrgType,0)&amp;"_"&amp;MATCH(Totals!E362,Organisations,0)&amp;"_"&amp;LEFT(Totals!F362,1)&amp;"_"&amp;LEFT(G362,1)&amp;"_"&amp;COUNTIF($G$3:G362,G362)</f>
        <v>#N/A</v>
      </c>
      <c r="C362" s="432">
        <v>2024</v>
      </c>
      <c r="D362" s="432">
        <f>Introduction!$D$7</f>
        <v>0</v>
      </c>
      <c r="E362" s="432">
        <f>Introduction!$D$8</f>
        <v>0</v>
      </c>
      <c r="F362" s="432" t="s">
        <v>558</v>
      </c>
      <c r="G362" s="432" t="s">
        <v>558</v>
      </c>
      <c r="H362" s="433"/>
      <c r="I362" s="434" t="str">
        <f>'Supply chain'!B115</f>
        <v>Other service activities</v>
      </c>
      <c r="J362" s="434">
        <f>'Supply chain'!C115</f>
        <v>95</v>
      </c>
      <c r="K362" s="434" t="str">
        <f>'Supply chain'!D115</f>
        <v xml:space="preserve">Repair services of computers and personal and household goods       </v>
      </c>
      <c r="L362" s="434" t="str">
        <f>'Supply chain'!E115</f>
        <v>Tier 1</v>
      </c>
      <c r="M362" s="434">
        <f>'Supply chain'!F115</f>
        <v>0.25</v>
      </c>
      <c r="N362" s="434">
        <f>'Supply chain'!G115</f>
        <v>0</v>
      </c>
      <c r="O362" s="434" t="str">
        <f>'Supply chain'!H115</f>
        <v>£</v>
      </c>
      <c r="P362" s="434">
        <f>'Supply chain'!I115</f>
        <v>0</v>
      </c>
      <c r="Q362" s="434" t="str">
        <f>'Supply chain'!J115</f>
        <v>£</v>
      </c>
      <c r="R362" s="434">
        <f>'Supply chain'!K115</f>
        <v>0.109537934139032</v>
      </c>
      <c r="S362" s="434" t="str">
        <f>'Supply chain'!L115</f>
        <v/>
      </c>
      <c r="T362" s="434">
        <f>'Supply chain'!M115</f>
        <v>0</v>
      </c>
      <c r="U362" s="434">
        <f>'Supply chain'!N115</f>
        <v>0</v>
      </c>
      <c r="V362" s="434">
        <f>'Supply chain'!O115</f>
        <v>0</v>
      </c>
      <c r="W362" s="434">
        <f>'Supply chain'!P115</f>
        <v>0</v>
      </c>
      <c r="X362" s="434">
        <f>'Supply chain'!Q115</f>
        <v>0</v>
      </c>
      <c r="Y362" s="434">
        <f>'Supply chain'!R115</f>
        <v>0</v>
      </c>
      <c r="Z362" s="434">
        <f>'Supply chain'!S115</f>
        <v>0</v>
      </c>
      <c r="AA362" s="434">
        <f>'Supply chain'!T115</f>
        <v>0</v>
      </c>
      <c r="AB362" s="434">
        <f>'Supply chain'!U115</f>
        <v>0</v>
      </c>
      <c r="AC362" s="434">
        <f>'Supply chain'!V115</f>
        <v>0</v>
      </c>
      <c r="AE362" s="432">
        <f t="shared" si="14"/>
        <v>0</v>
      </c>
      <c r="AF362" s="432">
        <f t="shared" si="15"/>
        <v>0</v>
      </c>
    </row>
    <row r="363" spans="2:32" x14ac:dyDescent="0.35">
      <c r="B363" s="432" t="e">
        <f>"2024"&amp;MATCH(Totals!D363,OrgType,0)&amp;"_"&amp;MATCH(Totals!E363,Organisations,0)&amp;"_"&amp;LEFT(Totals!F363,1)&amp;"_"&amp;LEFT(G363,1)&amp;"_"&amp;COUNTIF($G$3:G363,G363)</f>
        <v>#N/A</v>
      </c>
      <c r="C363" s="432">
        <v>2024</v>
      </c>
      <c r="D363" s="432">
        <f>Introduction!$D$7</f>
        <v>0</v>
      </c>
      <c r="E363" s="432">
        <f>Introduction!$D$8</f>
        <v>0</v>
      </c>
      <c r="F363" s="432" t="s">
        <v>558</v>
      </c>
      <c r="G363" s="432" t="s">
        <v>558</v>
      </c>
      <c r="H363" s="433"/>
      <c r="I363" s="434" t="str">
        <f>'Supply chain'!B116</f>
        <v>Other service activities</v>
      </c>
      <c r="J363" s="434">
        <f>'Supply chain'!C116</f>
        <v>96</v>
      </c>
      <c r="K363" s="434" t="str">
        <f>'Supply chain'!D116</f>
        <v xml:space="preserve">Other personal services             </v>
      </c>
      <c r="L363" s="434" t="str">
        <f>'Supply chain'!E116</f>
        <v>Tier 1</v>
      </c>
      <c r="M363" s="434">
        <f>'Supply chain'!F116</f>
        <v>0.25</v>
      </c>
      <c r="N363" s="434">
        <f>'Supply chain'!G116</f>
        <v>0</v>
      </c>
      <c r="O363" s="434" t="str">
        <f>'Supply chain'!H116</f>
        <v>£</v>
      </c>
      <c r="P363" s="434">
        <f>'Supply chain'!I116</f>
        <v>0</v>
      </c>
      <c r="Q363" s="434" t="str">
        <f>'Supply chain'!J116</f>
        <v>£</v>
      </c>
      <c r="R363" s="434">
        <f>'Supply chain'!K116</f>
        <v>7.6712791957121843E-2</v>
      </c>
      <c r="S363" s="434" t="str">
        <f>'Supply chain'!L116</f>
        <v/>
      </c>
      <c r="T363" s="434">
        <f>'Supply chain'!M116</f>
        <v>0</v>
      </c>
      <c r="U363" s="434">
        <f>'Supply chain'!N116</f>
        <v>0</v>
      </c>
      <c r="V363" s="434">
        <f>'Supply chain'!O116</f>
        <v>0</v>
      </c>
      <c r="W363" s="434">
        <f>'Supply chain'!P116</f>
        <v>0</v>
      </c>
      <c r="X363" s="434">
        <f>'Supply chain'!Q116</f>
        <v>0</v>
      </c>
      <c r="Y363" s="434">
        <f>'Supply chain'!R116</f>
        <v>0</v>
      </c>
      <c r="Z363" s="434">
        <f>'Supply chain'!S116</f>
        <v>0</v>
      </c>
      <c r="AA363" s="434">
        <f>'Supply chain'!T116</f>
        <v>0</v>
      </c>
      <c r="AB363" s="434">
        <f>'Supply chain'!U116</f>
        <v>0</v>
      </c>
      <c r="AC363" s="434">
        <f>'Supply chain'!V116</f>
        <v>0</v>
      </c>
      <c r="AE363" s="432">
        <f t="shared" si="14"/>
        <v>0</v>
      </c>
      <c r="AF363" s="432">
        <f t="shared" si="15"/>
        <v>0</v>
      </c>
    </row>
    <row r="364" spans="2:32" x14ac:dyDescent="0.35">
      <c r="B364" s="432" t="e">
        <f>"2024"&amp;MATCH(Totals!D364,OrgType,0)&amp;"_"&amp;MATCH(Totals!E364,Organisations,0)&amp;"_"&amp;LEFT(Totals!F364,1)&amp;"_"&amp;LEFT(G364,1)&amp;"_"&amp;COUNTIF($G$3:G364,G364)</f>
        <v>#N/A</v>
      </c>
      <c r="C364" s="432">
        <v>2024</v>
      </c>
      <c r="D364" s="432">
        <f>Introduction!$D$7</f>
        <v>0</v>
      </c>
      <c r="E364" s="432">
        <f>Introduction!$D$8</f>
        <v>0</v>
      </c>
      <c r="F364" s="432" t="s">
        <v>558</v>
      </c>
      <c r="G364" s="432" t="s">
        <v>558</v>
      </c>
      <c r="H364" s="433"/>
      <c r="I364" s="434" t="str">
        <f>'Supply chain'!B117</f>
        <v>Activities of households as employers; undifferentiated goods- and services-producing activities of households for own use</v>
      </c>
      <c r="J364" s="434">
        <f>'Supply chain'!C117</f>
        <v>97</v>
      </c>
      <c r="K364" s="434" t="str">
        <f>'Supply chain'!D117</f>
        <v xml:space="preserve">Services of households as employers of domestic personnel        </v>
      </c>
      <c r="L364" s="434" t="str">
        <f>'Supply chain'!E117</f>
        <v>Tier 1</v>
      </c>
      <c r="M364" s="434">
        <f>'Supply chain'!F117</f>
        <v>0.25</v>
      </c>
      <c r="N364" s="434">
        <f>'Supply chain'!G117</f>
        <v>0</v>
      </c>
      <c r="O364" s="434" t="str">
        <f>'Supply chain'!H117</f>
        <v>£</v>
      </c>
      <c r="P364" s="434">
        <f>'Supply chain'!I117</f>
        <v>0</v>
      </c>
      <c r="Q364" s="434" t="str">
        <f>'Supply chain'!J117</f>
        <v>£</v>
      </c>
      <c r="R364" s="434">
        <f>'Supply chain'!K117</f>
        <v>8.8811726947321118E-3</v>
      </c>
      <c r="S364" s="434" t="str">
        <f>'Supply chain'!L117</f>
        <v/>
      </c>
      <c r="T364" s="434">
        <f>'Supply chain'!M117</f>
        <v>0</v>
      </c>
      <c r="U364" s="434">
        <f>'Supply chain'!N117</f>
        <v>0</v>
      </c>
      <c r="V364" s="434">
        <f>'Supply chain'!O117</f>
        <v>0</v>
      </c>
      <c r="W364" s="434">
        <f>'Supply chain'!P117</f>
        <v>0</v>
      </c>
      <c r="X364" s="434">
        <f>'Supply chain'!Q117</f>
        <v>0</v>
      </c>
      <c r="Y364" s="434">
        <f>'Supply chain'!R117</f>
        <v>0</v>
      </c>
      <c r="Z364" s="434">
        <f>'Supply chain'!S117</f>
        <v>0</v>
      </c>
      <c r="AA364" s="434">
        <f>'Supply chain'!T117</f>
        <v>0</v>
      </c>
      <c r="AB364" s="434">
        <f>'Supply chain'!U117</f>
        <v>0</v>
      </c>
      <c r="AC364" s="434">
        <f>'Supply chain'!V117</f>
        <v>0</v>
      </c>
      <c r="AE364" s="432">
        <f t="shared" si="14"/>
        <v>0</v>
      </c>
      <c r="AF364" s="432">
        <f t="shared" si="15"/>
        <v>0</v>
      </c>
    </row>
    <row r="365" spans="2:32" x14ac:dyDescent="0.35">
      <c r="B365" s="432" t="e">
        <f>"2024"&amp;MATCH(Totals!D365,OrgType,0)&amp;"_"&amp;MATCH(Totals!E365,Organisations,0)&amp;"_"&amp;LEFT(Totals!F365,1)&amp;"_"&amp;LEFT(G365,1)&amp;"_"&amp;COUNTIF($G$3:G365,G365)</f>
        <v>#N/A</v>
      </c>
      <c r="C365" s="432">
        <v>2024</v>
      </c>
      <c r="D365" s="432">
        <f>Introduction!$D$7</f>
        <v>0</v>
      </c>
      <c r="E365" s="432">
        <f>Introduction!$D$8</f>
        <v>0</v>
      </c>
      <c r="F365" s="432" t="s">
        <v>558</v>
      </c>
      <c r="G365" s="432" t="s">
        <v>558</v>
      </c>
      <c r="H365" s="433"/>
      <c r="I365" s="435" t="str">
        <f>'Supply chain'!B124</f>
        <v/>
      </c>
      <c r="J365" s="435" t="str">
        <f>'Supply chain'!C124</f>
        <v/>
      </c>
      <c r="K365" s="435">
        <f>'Supply chain'!D124</f>
        <v>0</v>
      </c>
      <c r="L365" s="435" t="str">
        <f>'Supply chain'!E124</f>
        <v>Tier 2</v>
      </c>
      <c r="M365" s="435">
        <f>'Supply chain'!F124</f>
        <v>0</v>
      </c>
      <c r="N365" s="435">
        <f>'Supply chain'!G124</f>
        <v>0</v>
      </c>
      <c r="O365" s="435" t="str">
        <f>'Supply chain'!H124</f>
        <v>£</v>
      </c>
      <c r="P365" s="435">
        <f>'Supply chain'!I124</f>
        <v>0</v>
      </c>
      <c r="Q365" s="435" t="str">
        <f>'Supply chain'!J124</f>
        <v>£</v>
      </c>
      <c r="R365" s="435" t="str">
        <f>'Supply chain'!K124</f>
        <v/>
      </c>
      <c r="S365" s="435">
        <f>'Supply chain'!L124</f>
        <v>0</v>
      </c>
      <c r="T365" s="435">
        <f>'Supply chain'!M124</f>
        <v>0</v>
      </c>
      <c r="U365" s="435">
        <f>'Supply chain'!N124</f>
        <v>0</v>
      </c>
      <c r="V365" s="435">
        <f>'Supply chain'!O124</f>
        <v>0</v>
      </c>
      <c r="W365" s="435">
        <f>'Supply chain'!P124</f>
        <v>0</v>
      </c>
      <c r="X365" s="435">
        <f>'Supply chain'!Q124</f>
        <v>0</v>
      </c>
      <c r="Y365" s="435">
        <f>'Supply chain'!R124</f>
        <v>0</v>
      </c>
      <c r="Z365" s="435">
        <f>'Supply chain'!S124</f>
        <v>0</v>
      </c>
      <c r="AA365" s="435" t="str">
        <f>'Supply chain'!T124</f>
        <v/>
      </c>
      <c r="AB365" s="435" t="str">
        <f>'Supply chain'!U124</f>
        <v/>
      </c>
      <c r="AC365" s="435">
        <f>'Supply chain'!V124</f>
        <v>0</v>
      </c>
      <c r="AE365" s="432">
        <f t="shared" si="14"/>
        <v>0</v>
      </c>
      <c r="AF365" s="432">
        <f t="shared" si="15"/>
        <v>0</v>
      </c>
    </row>
    <row r="366" spans="2:32" x14ac:dyDescent="0.35">
      <c r="B366" s="432" t="e">
        <f>"2024"&amp;MATCH(Totals!D366,OrgType,0)&amp;"_"&amp;MATCH(Totals!E366,Organisations,0)&amp;"_"&amp;LEFT(Totals!F366,1)&amp;"_"&amp;LEFT(G366,1)&amp;"_"&amp;COUNTIF($G$3:G366,G366)</f>
        <v>#N/A</v>
      </c>
      <c r="C366" s="432">
        <v>2024</v>
      </c>
      <c r="D366" s="432">
        <f>Introduction!$D$7</f>
        <v>0</v>
      </c>
      <c r="E366" s="432">
        <f>Introduction!$D$8</f>
        <v>0</v>
      </c>
      <c r="F366" s="432" t="s">
        <v>558</v>
      </c>
      <c r="G366" s="432" t="s">
        <v>558</v>
      </c>
      <c r="H366" s="433"/>
      <c r="I366" s="435" t="str">
        <f>'Supply chain'!B125</f>
        <v/>
      </c>
      <c r="J366" s="435" t="str">
        <f>'Supply chain'!C125</f>
        <v/>
      </c>
      <c r="K366" s="435">
        <f>'Supply chain'!D125</f>
        <v>0</v>
      </c>
      <c r="L366" s="435" t="str">
        <f>'Supply chain'!E125</f>
        <v>Tier 2</v>
      </c>
      <c r="M366" s="435">
        <f>'Supply chain'!F125</f>
        <v>0</v>
      </c>
      <c r="N366" s="435">
        <f>'Supply chain'!G125</f>
        <v>0</v>
      </c>
      <c r="O366" s="435" t="str">
        <f>'Supply chain'!H125</f>
        <v>£</v>
      </c>
      <c r="P366" s="435">
        <f>'Supply chain'!I125</f>
        <v>0</v>
      </c>
      <c r="Q366" s="435" t="str">
        <f>'Supply chain'!J125</f>
        <v>£</v>
      </c>
      <c r="R366" s="435" t="str">
        <f>'Supply chain'!K125</f>
        <v/>
      </c>
      <c r="S366" s="435">
        <f>'Supply chain'!L125</f>
        <v>0</v>
      </c>
      <c r="T366" s="435">
        <f>'Supply chain'!M125</f>
        <v>0</v>
      </c>
      <c r="U366" s="435">
        <f>'Supply chain'!N125</f>
        <v>0</v>
      </c>
      <c r="V366" s="435">
        <f>'Supply chain'!O125</f>
        <v>0</v>
      </c>
      <c r="W366" s="435">
        <f>'Supply chain'!P125</f>
        <v>0</v>
      </c>
      <c r="X366" s="435">
        <f>'Supply chain'!Q125</f>
        <v>0</v>
      </c>
      <c r="Y366" s="435">
        <f>'Supply chain'!R125</f>
        <v>0</v>
      </c>
      <c r="Z366" s="435">
        <f>'Supply chain'!S125</f>
        <v>0</v>
      </c>
      <c r="AA366" s="435" t="str">
        <f>'Supply chain'!T125</f>
        <v/>
      </c>
      <c r="AB366" s="435" t="str">
        <f>'Supply chain'!U125</f>
        <v/>
      </c>
      <c r="AC366" s="435">
        <f>'Supply chain'!V125</f>
        <v>0</v>
      </c>
      <c r="AE366" s="432">
        <f t="shared" si="14"/>
        <v>0</v>
      </c>
      <c r="AF366" s="432">
        <f t="shared" si="15"/>
        <v>0</v>
      </c>
    </row>
    <row r="367" spans="2:32" x14ac:dyDescent="0.35">
      <c r="B367" s="432" t="e">
        <f>"2024"&amp;MATCH(Totals!D367,OrgType,0)&amp;"_"&amp;MATCH(Totals!E367,Organisations,0)&amp;"_"&amp;LEFT(Totals!F367,1)&amp;"_"&amp;LEFT(G367,1)&amp;"_"&amp;COUNTIF($G$3:G367,G367)</f>
        <v>#N/A</v>
      </c>
      <c r="C367" s="432">
        <v>2024</v>
      </c>
      <c r="D367" s="432">
        <f>Introduction!$D$7</f>
        <v>0</v>
      </c>
      <c r="E367" s="432">
        <f>Introduction!$D$8</f>
        <v>0</v>
      </c>
      <c r="F367" s="432" t="s">
        <v>558</v>
      </c>
      <c r="G367" s="432" t="s">
        <v>558</v>
      </c>
      <c r="H367" s="433"/>
      <c r="I367" s="435" t="str">
        <f>'Supply chain'!B126</f>
        <v/>
      </c>
      <c r="J367" s="435" t="str">
        <f>'Supply chain'!C126</f>
        <v/>
      </c>
      <c r="K367" s="435">
        <f>'Supply chain'!D126</f>
        <v>0</v>
      </c>
      <c r="L367" s="435" t="str">
        <f>'Supply chain'!E126</f>
        <v>Tier 2</v>
      </c>
      <c r="M367" s="435">
        <f>'Supply chain'!F126</f>
        <v>0</v>
      </c>
      <c r="N367" s="435">
        <f>'Supply chain'!G126</f>
        <v>0</v>
      </c>
      <c r="O367" s="435" t="str">
        <f>'Supply chain'!H126</f>
        <v>£</v>
      </c>
      <c r="P367" s="435">
        <f>'Supply chain'!I126</f>
        <v>0</v>
      </c>
      <c r="Q367" s="435" t="str">
        <f>'Supply chain'!J126</f>
        <v>£</v>
      </c>
      <c r="R367" s="435" t="str">
        <f>'Supply chain'!K126</f>
        <v/>
      </c>
      <c r="S367" s="435">
        <f>'Supply chain'!L126</f>
        <v>0</v>
      </c>
      <c r="T367" s="435">
        <f>'Supply chain'!M126</f>
        <v>0</v>
      </c>
      <c r="U367" s="435">
        <f>'Supply chain'!N126</f>
        <v>0</v>
      </c>
      <c r="V367" s="435">
        <f>'Supply chain'!O126</f>
        <v>0</v>
      </c>
      <c r="W367" s="435">
        <f>'Supply chain'!P126</f>
        <v>0</v>
      </c>
      <c r="X367" s="435">
        <f>'Supply chain'!Q126</f>
        <v>0</v>
      </c>
      <c r="Y367" s="435">
        <f>'Supply chain'!R126</f>
        <v>0</v>
      </c>
      <c r="Z367" s="435">
        <f>'Supply chain'!S126</f>
        <v>0</v>
      </c>
      <c r="AA367" s="435" t="str">
        <f>'Supply chain'!T126</f>
        <v/>
      </c>
      <c r="AB367" s="435" t="str">
        <f>'Supply chain'!U126</f>
        <v/>
      </c>
      <c r="AC367" s="435">
        <f>'Supply chain'!V126</f>
        <v>0</v>
      </c>
      <c r="AE367" s="432">
        <f t="shared" si="14"/>
        <v>0</v>
      </c>
      <c r="AF367" s="432">
        <f t="shared" si="15"/>
        <v>0</v>
      </c>
    </row>
    <row r="368" spans="2:32" x14ac:dyDescent="0.35">
      <c r="B368" s="432" t="e">
        <f>"2024"&amp;MATCH(Totals!D368,OrgType,0)&amp;"_"&amp;MATCH(Totals!E368,Organisations,0)&amp;"_"&amp;LEFT(Totals!F368,1)&amp;"_"&amp;LEFT(G368,1)&amp;"_"&amp;COUNTIF($G$3:G368,G368)</f>
        <v>#N/A</v>
      </c>
      <c r="C368" s="432">
        <v>2024</v>
      </c>
      <c r="D368" s="432">
        <f>Introduction!$D$7</f>
        <v>0</v>
      </c>
      <c r="E368" s="432">
        <f>Introduction!$D$8</f>
        <v>0</v>
      </c>
      <c r="F368" s="432" t="s">
        <v>558</v>
      </c>
      <c r="G368" s="432" t="s">
        <v>558</v>
      </c>
      <c r="H368" s="433"/>
      <c r="I368" s="435" t="str">
        <f>'Supply chain'!B127</f>
        <v/>
      </c>
      <c r="J368" s="435" t="str">
        <f>'Supply chain'!C127</f>
        <v/>
      </c>
      <c r="K368" s="435">
        <f>'Supply chain'!D127</f>
        <v>0</v>
      </c>
      <c r="L368" s="435" t="str">
        <f>'Supply chain'!E127</f>
        <v>Tier 2</v>
      </c>
      <c r="M368" s="435">
        <f>'Supply chain'!F127</f>
        <v>0</v>
      </c>
      <c r="N368" s="435">
        <f>'Supply chain'!G127</f>
        <v>0</v>
      </c>
      <c r="O368" s="435" t="str">
        <f>'Supply chain'!H127</f>
        <v>£</v>
      </c>
      <c r="P368" s="435">
        <f>'Supply chain'!I127</f>
        <v>0</v>
      </c>
      <c r="Q368" s="435" t="str">
        <f>'Supply chain'!J127</f>
        <v>£</v>
      </c>
      <c r="R368" s="435" t="str">
        <f>'Supply chain'!K127</f>
        <v/>
      </c>
      <c r="S368" s="435">
        <f>'Supply chain'!L127</f>
        <v>0</v>
      </c>
      <c r="T368" s="435">
        <f>'Supply chain'!M127</f>
        <v>0</v>
      </c>
      <c r="U368" s="435">
        <f>'Supply chain'!N127</f>
        <v>0</v>
      </c>
      <c r="V368" s="435">
        <f>'Supply chain'!O127</f>
        <v>0</v>
      </c>
      <c r="W368" s="435">
        <f>'Supply chain'!P127</f>
        <v>0</v>
      </c>
      <c r="X368" s="435">
        <f>'Supply chain'!Q127</f>
        <v>0</v>
      </c>
      <c r="Y368" s="435">
        <f>'Supply chain'!R127</f>
        <v>0</v>
      </c>
      <c r="Z368" s="435">
        <f>'Supply chain'!S127</f>
        <v>0</v>
      </c>
      <c r="AA368" s="435" t="str">
        <f>'Supply chain'!T127</f>
        <v/>
      </c>
      <c r="AB368" s="435" t="str">
        <f>'Supply chain'!U127</f>
        <v/>
      </c>
      <c r="AC368" s="435">
        <f>'Supply chain'!V127</f>
        <v>0</v>
      </c>
      <c r="AE368" s="432">
        <f t="shared" si="14"/>
        <v>0</v>
      </c>
      <c r="AF368" s="432">
        <f t="shared" si="15"/>
        <v>0</v>
      </c>
    </row>
    <row r="369" spans="2:32" x14ac:dyDescent="0.35">
      <c r="B369" s="432" t="e">
        <f>"2024"&amp;MATCH(Totals!D369,OrgType,0)&amp;"_"&amp;MATCH(Totals!E369,Organisations,0)&amp;"_"&amp;LEFT(Totals!F369,1)&amp;"_"&amp;LEFT(G369,1)&amp;"_"&amp;COUNTIF($G$3:G369,G369)</f>
        <v>#N/A</v>
      </c>
      <c r="C369" s="432">
        <v>2024</v>
      </c>
      <c r="D369" s="432">
        <f>Introduction!$D$7</f>
        <v>0</v>
      </c>
      <c r="E369" s="432">
        <f>Introduction!$D$8</f>
        <v>0</v>
      </c>
      <c r="F369" s="432" t="s">
        <v>558</v>
      </c>
      <c r="G369" s="432" t="s">
        <v>558</v>
      </c>
      <c r="H369" s="433"/>
      <c r="I369" s="435" t="str">
        <f>'Supply chain'!B128</f>
        <v/>
      </c>
      <c r="J369" s="435" t="str">
        <f>'Supply chain'!C128</f>
        <v/>
      </c>
      <c r="K369" s="435">
        <f>'Supply chain'!D128</f>
        <v>0</v>
      </c>
      <c r="L369" s="435" t="str">
        <f>'Supply chain'!E128</f>
        <v>Tier 2</v>
      </c>
      <c r="M369" s="435">
        <f>'Supply chain'!F128</f>
        <v>0</v>
      </c>
      <c r="N369" s="435">
        <f>'Supply chain'!G128</f>
        <v>0</v>
      </c>
      <c r="O369" s="435" t="str">
        <f>'Supply chain'!H128</f>
        <v>£</v>
      </c>
      <c r="P369" s="435">
        <f>'Supply chain'!I128</f>
        <v>0</v>
      </c>
      <c r="Q369" s="435" t="str">
        <f>'Supply chain'!J128</f>
        <v>£</v>
      </c>
      <c r="R369" s="435" t="str">
        <f>'Supply chain'!K128</f>
        <v/>
      </c>
      <c r="S369" s="435">
        <f>'Supply chain'!L128</f>
        <v>0</v>
      </c>
      <c r="T369" s="435">
        <f>'Supply chain'!M128</f>
        <v>0</v>
      </c>
      <c r="U369" s="435">
        <f>'Supply chain'!N128</f>
        <v>0</v>
      </c>
      <c r="V369" s="435">
        <f>'Supply chain'!O128</f>
        <v>0</v>
      </c>
      <c r="W369" s="435">
        <f>'Supply chain'!P128</f>
        <v>0</v>
      </c>
      <c r="X369" s="435">
        <f>'Supply chain'!Q128</f>
        <v>0</v>
      </c>
      <c r="Y369" s="435">
        <f>'Supply chain'!R128</f>
        <v>0</v>
      </c>
      <c r="Z369" s="435">
        <f>'Supply chain'!S128</f>
        <v>0</v>
      </c>
      <c r="AA369" s="435" t="str">
        <f>'Supply chain'!T128</f>
        <v/>
      </c>
      <c r="AB369" s="435" t="str">
        <f>'Supply chain'!U128</f>
        <v/>
      </c>
      <c r="AC369" s="435">
        <f>'Supply chain'!V128</f>
        <v>0</v>
      </c>
      <c r="AE369" s="432">
        <f t="shared" si="14"/>
        <v>0</v>
      </c>
      <c r="AF369" s="432">
        <f t="shared" si="15"/>
        <v>0</v>
      </c>
    </row>
    <row r="370" spans="2:32" x14ac:dyDescent="0.35">
      <c r="B370" s="432" t="e">
        <f>"2024"&amp;MATCH(Totals!D370,OrgType,0)&amp;"_"&amp;MATCH(Totals!E370,Organisations,0)&amp;"_"&amp;LEFT(Totals!F370,1)&amp;"_"&amp;LEFT(G370,1)&amp;"_"&amp;COUNTIF($G$3:G370,G370)</f>
        <v>#N/A</v>
      </c>
      <c r="C370" s="432">
        <v>2024</v>
      </c>
      <c r="D370" s="432">
        <f>Introduction!$D$7</f>
        <v>0</v>
      </c>
      <c r="E370" s="432">
        <f>Introduction!$D$8</f>
        <v>0</v>
      </c>
      <c r="F370" s="432" t="s">
        <v>558</v>
      </c>
      <c r="G370" s="432" t="s">
        <v>558</v>
      </c>
      <c r="H370" s="433"/>
      <c r="I370" s="435" t="str">
        <f>'Supply chain'!B129</f>
        <v/>
      </c>
      <c r="J370" s="435" t="str">
        <f>'Supply chain'!C129</f>
        <v/>
      </c>
      <c r="K370" s="435">
        <f>'Supply chain'!D129</f>
        <v>0</v>
      </c>
      <c r="L370" s="435" t="str">
        <f>'Supply chain'!E129</f>
        <v>Tier 2</v>
      </c>
      <c r="M370" s="435">
        <f>'Supply chain'!F129</f>
        <v>0</v>
      </c>
      <c r="N370" s="435">
        <f>'Supply chain'!G129</f>
        <v>0</v>
      </c>
      <c r="O370" s="435" t="str">
        <f>'Supply chain'!H129</f>
        <v>£</v>
      </c>
      <c r="P370" s="435">
        <f>'Supply chain'!I129</f>
        <v>0</v>
      </c>
      <c r="Q370" s="435" t="str">
        <f>'Supply chain'!J129</f>
        <v>£</v>
      </c>
      <c r="R370" s="435" t="str">
        <f>'Supply chain'!K129</f>
        <v/>
      </c>
      <c r="S370" s="435">
        <f>'Supply chain'!L129</f>
        <v>0</v>
      </c>
      <c r="T370" s="435">
        <f>'Supply chain'!M129</f>
        <v>0</v>
      </c>
      <c r="U370" s="435">
        <f>'Supply chain'!N129</f>
        <v>0</v>
      </c>
      <c r="V370" s="435">
        <f>'Supply chain'!O129</f>
        <v>0</v>
      </c>
      <c r="W370" s="435">
        <f>'Supply chain'!P129</f>
        <v>0</v>
      </c>
      <c r="X370" s="435">
        <f>'Supply chain'!Q129</f>
        <v>0</v>
      </c>
      <c r="Y370" s="435">
        <f>'Supply chain'!R129</f>
        <v>0</v>
      </c>
      <c r="Z370" s="435">
        <f>'Supply chain'!S129</f>
        <v>0</v>
      </c>
      <c r="AA370" s="435" t="str">
        <f>'Supply chain'!T129</f>
        <v/>
      </c>
      <c r="AB370" s="435" t="str">
        <f>'Supply chain'!U129</f>
        <v/>
      </c>
      <c r="AC370" s="435">
        <f>'Supply chain'!V129</f>
        <v>0</v>
      </c>
      <c r="AE370" s="432">
        <f t="shared" si="14"/>
        <v>0</v>
      </c>
      <c r="AF370" s="432">
        <f t="shared" si="15"/>
        <v>0</v>
      </c>
    </row>
    <row r="371" spans="2:32" x14ac:dyDescent="0.35">
      <c r="B371" s="432" t="e">
        <f>"2024"&amp;MATCH(Totals!D371,OrgType,0)&amp;"_"&amp;MATCH(Totals!E371,Organisations,0)&amp;"_"&amp;LEFT(Totals!F371,1)&amp;"_"&amp;LEFT(G371,1)&amp;"_"&amp;COUNTIF($G$3:G371,G371)</f>
        <v>#N/A</v>
      </c>
      <c r="C371" s="432">
        <v>2024</v>
      </c>
      <c r="D371" s="432">
        <f>Introduction!$D$7</f>
        <v>0</v>
      </c>
      <c r="E371" s="432">
        <f>Introduction!$D$8</f>
        <v>0</v>
      </c>
      <c r="F371" s="432" t="s">
        <v>558</v>
      </c>
      <c r="G371" s="432" t="s">
        <v>558</v>
      </c>
      <c r="H371" s="433"/>
      <c r="I371" s="435" t="str">
        <f>'Supply chain'!B130</f>
        <v/>
      </c>
      <c r="J371" s="435" t="str">
        <f>'Supply chain'!C130</f>
        <v/>
      </c>
      <c r="K371" s="435">
        <f>'Supply chain'!D130</f>
        <v>0</v>
      </c>
      <c r="L371" s="435" t="str">
        <f>'Supply chain'!E130</f>
        <v>Tier 2</v>
      </c>
      <c r="M371" s="435">
        <f>'Supply chain'!F130</f>
        <v>0</v>
      </c>
      <c r="N371" s="435">
        <f>'Supply chain'!G130</f>
        <v>0</v>
      </c>
      <c r="O371" s="435" t="str">
        <f>'Supply chain'!H130</f>
        <v>£</v>
      </c>
      <c r="P371" s="435">
        <f>'Supply chain'!I130</f>
        <v>0</v>
      </c>
      <c r="Q371" s="435" t="str">
        <f>'Supply chain'!J130</f>
        <v>£</v>
      </c>
      <c r="R371" s="435" t="str">
        <f>'Supply chain'!K130</f>
        <v/>
      </c>
      <c r="S371" s="435">
        <f>'Supply chain'!L130</f>
        <v>0</v>
      </c>
      <c r="T371" s="435">
        <f>'Supply chain'!M130</f>
        <v>0</v>
      </c>
      <c r="U371" s="435">
        <f>'Supply chain'!N130</f>
        <v>0</v>
      </c>
      <c r="V371" s="435">
        <f>'Supply chain'!O130</f>
        <v>0</v>
      </c>
      <c r="W371" s="435">
        <f>'Supply chain'!P130</f>
        <v>0</v>
      </c>
      <c r="X371" s="435">
        <f>'Supply chain'!Q130</f>
        <v>0</v>
      </c>
      <c r="Y371" s="435">
        <f>'Supply chain'!R130</f>
        <v>0</v>
      </c>
      <c r="Z371" s="435">
        <f>'Supply chain'!S130</f>
        <v>0</v>
      </c>
      <c r="AA371" s="435" t="str">
        <f>'Supply chain'!T130</f>
        <v/>
      </c>
      <c r="AB371" s="435" t="str">
        <f>'Supply chain'!U130</f>
        <v/>
      </c>
      <c r="AC371" s="435">
        <f>'Supply chain'!V130</f>
        <v>0</v>
      </c>
      <c r="AE371" s="432">
        <f t="shared" si="14"/>
        <v>0</v>
      </c>
      <c r="AF371" s="432">
        <f t="shared" si="15"/>
        <v>0</v>
      </c>
    </row>
    <row r="372" spans="2:32" x14ac:dyDescent="0.35">
      <c r="B372" s="432" t="e">
        <f>"2024"&amp;MATCH(Totals!D372,OrgType,0)&amp;"_"&amp;MATCH(Totals!E372,Organisations,0)&amp;"_"&amp;LEFT(Totals!F372,1)&amp;"_"&amp;LEFT(G372,1)&amp;"_"&amp;COUNTIF($G$3:G372,G372)</f>
        <v>#N/A</v>
      </c>
      <c r="C372" s="432">
        <v>2024</v>
      </c>
      <c r="D372" s="432">
        <f>Introduction!$D$7</f>
        <v>0</v>
      </c>
      <c r="E372" s="432">
        <f>Introduction!$D$8</f>
        <v>0</v>
      </c>
      <c r="F372" s="432" t="s">
        <v>558</v>
      </c>
      <c r="G372" s="432" t="s">
        <v>558</v>
      </c>
      <c r="H372" s="433"/>
      <c r="I372" s="435" t="str">
        <f>'Supply chain'!B131</f>
        <v/>
      </c>
      <c r="J372" s="435" t="str">
        <f>'Supply chain'!C131</f>
        <v/>
      </c>
      <c r="K372" s="435">
        <f>'Supply chain'!D131</f>
        <v>0</v>
      </c>
      <c r="L372" s="435" t="str">
        <f>'Supply chain'!E131</f>
        <v>Tier 2</v>
      </c>
      <c r="M372" s="435">
        <f>'Supply chain'!F131</f>
        <v>0</v>
      </c>
      <c r="N372" s="435">
        <f>'Supply chain'!G131</f>
        <v>0</v>
      </c>
      <c r="O372" s="435" t="str">
        <f>'Supply chain'!H131</f>
        <v>£</v>
      </c>
      <c r="P372" s="435">
        <f>'Supply chain'!I131</f>
        <v>0</v>
      </c>
      <c r="Q372" s="435" t="str">
        <f>'Supply chain'!J131</f>
        <v>£</v>
      </c>
      <c r="R372" s="435" t="str">
        <f>'Supply chain'!K131</f>
        <v/>
      </c>
      <c r="S372" s="435">
        <f>'Supply chain'!L131</f>
        <v>0</v>
      </c>
      <c r="T372" s="435">
        <f>'Supply chain'!M131</f>
        <v>0</v>
      </c>
      <c r="U372" s="435">
        <f>'Supply chain'!N131</f>
        <v>0</v>
      </c>
      <c r="V372" s="435">
        <f>'Supply chain'!O131</f>
        <v>0</v>
      </c>
      <c r="W372" s="435">
        <f>'Supply chain'!P131</f>
        <v>0</v>
      </c>
      <c r="X372" s="435">
        <f>'Supply chain'!Q131</f>
        <v>0</v>
      </c>
      <c r="Y372" s="435">
        <f>'Supply chain'!R131</f>
        <v>0</v>
      </c>
      <c r="Z372" s="435">
        <f>'Supply chain'!S131</f>
        <v>0</v>
      </c>
      <c r="AA372" s="435" t="str">
        <f>'Supply chain'!T131</f>
        <v/>
      </c>
      <c r="AB372" s="435" t="str">
        <f>'Supply chain'!U131</f>
        <v/>
      </c>
      <c r="AC372" s="435">
        <f>'Supply chain'!V131</f>
        <v>0</v>
      </c>
      <c r="AE372" s="432">
        <f t="shared" si="14"/>
        <v>0</v>
      </c>
      <c r="AF372" s="432">
        <f t="shared" si="15"/>
        <v>0</v>
      </c>
    </row>
    <row r="373" spans="2:32" x14ac:dyDescent="0.35">
      <c r="B373" s="432" t="e">
        <f>"2024"&amp;MATCH(Totals!D373,OrgType,0)&amp;"_"&amp;MATCH(Totals!E373,Organisations,0)&amp;"_"&amp;LEFT(Totals!F373,1)&amp;"_"&amp;LEFT(G373,1)&amp;"_"&amp;COUNTIF($G$3:G373,G373)</f>
        <v>#N/A</v>
      </c>
      <c r="C373" s="432">
        <v>2024</v>
      </c>
      <c r="D373" s="432">
        <f>Introduction!$D$7</f>
        <v>0</v>
      </c>
      <c r="E373" s="432">
        <f>Introduction!$D$8</f>
        <v>0</v>
      </c>
      <c r="F373" s="432" t="s">
        <v>558</v>
      </c>
      <c r="G373" s="432" t="s">
        <v>558</v>
      </c>
      <c r="H373" s="433"/>
      <c r="I373" s="435" t="str">
        <f>'Supply chain'!B132</f>
        <v/>
      </c>
      <c r="J373" s="435" t="str">
        <f>'Supply chain'!C132</f>
        <v/>
      </c>
      <c r="K373" s="435">
        <f>'Supply chain'!D132</f>
        <v>0</v>
      </c>
      <c r="L373" s="435" t="str">
        <f>'Supply chain'!E132</f>
        <v>Tier 2</v>
      </c>
      <c r="M373" s="435">
        <f>'Supply chain'!F132</f>
        <v>0</v>
      </c>
      <c r="N373" s="435">
        <f>'Supply chain'!G132</f>
        <v>0</v>
      </c>
      <c r="O373" s="435" t="str">
        <f>'Supply chain'!H132</f>
        <v>£</v>
      </c>
      <c r="P373" s="435">
        <f>'Supply chain'!I132</f>
        <v>0</v>
      </c>
      <c r="Q373" s="435" t="str">
        <f>'Supply chain'!J132</f>
        <v>£</v>
      </c>
      <c r="R373" s="435" t="str">
        <f>'Supply chain'!K132</f>
        <v/>
      </c>
      <c r="S373" s="435">
        <f>'Supply chain'!L132</f>
        <v>0</v>
      </c>
      <c r="T373" s="435">
        <f>'Supply chain'!M132</f>
        <v>0</v>
      </c>
      <c r="U373" s="435">
        <f>'Supply chain'!N132</f>
        <v>0</v>
      </c>
      <c r="V373" s="435">
        <f>'Supply chain'!O132</f>
        <v>0</v>
      </c>
      <c r="W373" s="435">
        <f>'Supply chain'!P132</f>
        <v>0</v>
      </c>
      <c r="X373" s="435">
        <f>'Supply chain'!Q132</f>
        <v>0</v>
      </c>
      <c r="Y373" s="435">
        <f>'Supply chain'!R132</f>
        <v>0</v>
      </c>
      <c r="Z373" s="435">
        <f>'Supply chain'!S132</f>
        <v>0</v>
      </c>
      <c r="AA373" s="435" t="str">
        <f>'Supply chain'!T132</f>
        <v/>
      </c>
      <c r="AB373" s="435" t="str">
        <f>'Supply chain'!U132</f>
        <v/>
      </c>
      <c r="AC373" s="435">
        <f>'Supply chain'!V132</f>
        <v>0</v>
      </c>
      <c r="AE373" s="432">
        <f t="shared" si="14"/>
        <v>0</v>
      </c>
      <c r="AF373" s="432">
        <f t="shared" si="15"/>
        <v>0</v>
      </c>
    </row>
    <row r="374" spans="2:32" x14ac:dyDescent="0.35">
      <c r="B374" s="432" t="e">
        <f>"2024"&amp;MATCH(Totals!D374,OrgType,0)&amp;"_"&amp;MATCH(Totals!E374,Organisations,0)&amp;"_"&amp;LEFT(Totals!F374,1)&amp;"_"&amp;LEFT(G374,1)&amp;"_"&amp;COUNTIF($G$3:G374,G374)</f>
        <v>#N/A</v>
      </c>
      <c r="C374" s="432">
        <v>2024</v>
      </c>
      <c r="D374" s="432">
        <f>Introduction!$D$7</f>
        <v>0</v>
      </c>
      <c r="E374" s="432">
        <f>Introduction!$D$8</f>
        <v>0</v>
      </c>
      <c r="F374" s="432" t="s">
        <v>558</v>
      </c>
      <c r="G374" s="432" t="s">
        <v>558</v>
      </c>
      <c r="H374" s="433"/>
      <c r="I374" s="435" t="str">
        <f>'Supply chain'!B133</f>
        <v/>
      </c>
      <c r="J374" s="435" t="str">
        <f>'Supply chain'!C133</f>
        <v/>
      </c>
      <c r="K374" s="435">
        <f>'Supply chain'!D133</f>
        <v>0</v>
      </c>
      <c r="L374" s="435" t="str">
        <f>'Supply chain'!E133</f>
        <v>Tier 2</v>
      </c>
      <c r="M374" s="435">
        <f>'Supply chain'!F133</f>
        <v>0</v>
      </c>
      <c r="N374" s="435">
        <f>'Supply chain'!G133</f>
        <v>0</v>
      </c>
      <c r="O374" s="435" t="str">
        <f>'Supply chain'!H133</f>
        <v>£</v>
      </c>
      <c r="P374" s="435">
        <f>'Supply chain'!I133</f>
        <v>0</v>
      </c>
      <c r="Q374" s="435" t="str">
        <f>'Supply chain'!J133</f>
        <v>£</v>
      </c>
      <c r="R374" s="435" t="str">
        <f>'Supply chain'!K133</f>
        <v/>
      </c>
      <c r="S374" s="435">
        <f>'Supply chain'!L133</f>
        <v>0</v>
      </c>
      <c r="T374" s="435">
        <f>'Supply chain'!M133</f>
        <v>0</v>
      </c>
      <c r="U374" s="435">
        <f>'Supply chain'!N133</f>
        <v>0</v>
      </c>
      <c r="V374" s="435">
        <f>'Supply chain'!O133</f>
        <v>0</v>
      </c>
      <c r="W374" s="435">
        <f>'Supply chain'!P133</f>
        <v>0</v>
      </c>
      <c r="X374" s="435">
        <f>'Supply chain'!Q133</f>
        <v>0</v>
      </c>
      <c r="Y374" s="435">
        <f>'Supply chain'!R133</f>
        <v>0</v>
      </c>
      <c r="Z374" s="435">
        <f>'Supply chain'!S133</f>
        <v>0</v>
      </c>
      <c r="AA374" s="435" t="str">
        <f>'Supply chain'!T133</f>
        <v/>
      </c>
      <c r="AB374" s="435" t="str">
        <f>'Supply chain'!U133</f>
        <v/>
      </c>
      <c r="AC374" s="435">
        <f>'Supply chain'!V133</f>
        <v>0</v>
      </c>
      <c r="AE374" s="432">
        <f t="shared" si="14"/>
        <v>0</v>
      </c>
      <c r="AF374" s="432">
        <f t="shared" si="15"/>
        <v>0</v>
      </c>
    </row>
    <row r="375" spans="2:32" x14ac:dyDescent="0.35">
      <c r="B375" s="432" t="e">
        <f>"2024"&amp;MATCH(Totals!D375,OrgType,0)&amp;"_"&amp;MATCH(Totals!E375,Organisations,0)&amp;"_"&amp;LEFT(Totals!F375,1)&amp;"_"&amp;LEFT(G375,1)&amp;"_"&amp;COUNTIF($G$3:G375,G375)</f>
        <v>#N/A</v>
      </c>
      <c r="C375" s="432">
        <v>2024</v>
      </c>
      <c r="D375" s="432">
        <f>Introduction!$D$7</f>
        <v>0</v>
      </c>
      <c r="E375" s="432">
        <f>Introduction!$D$8</f>
        <v>0</v>
      </c>
      <c r="F375" s="432" t="s">
        <v>558</v>
      </c>
      <c r="G375" s="432" t="s">
        <v>558</v>
      </c>
      <c r="H375" s="433"/>
      <c r="I375" s="435" t="str">
        <f>'Supply chain'!B134</f>
        <v/>
      </c>
      <c r="J375" s="435" t="str">
        <f>'Supply chain'!C134</f>
        <v/>
      </c>
      <c r="K375" s="435">
        <f>'Supply chain'!D134</f>
        <v>0</v>
      </c>
      <c r="L375" s="435" t="str">
        <f>'Supply chain'!E134</f>
        <v>Tier 2</v>
      </c>
      <c r="M375" s="435">
        <f>'Supply chain'!F134</f>
        <v>0</v>
      </c>
      <c r="N375" s="435">
        <f>'Supply chain'!G134</f>
        <v>0</v>
      </c>
      <c r="O375" s="435" t="str">
        <f>'Supply chain'!H134</f>
        <v>£</v>
      </c>
      <c r="P375" s="435">
        <f>'Supply chain'!I134</f>
        <v>0</v>
      </c>
      <c r="Q375" s="435" t="str">
        <f>'Supply chain'!J134</f>
        <v>£</v>
      </c>
      <c r="R375" s="435" t="str">
        <f>'Supply chain'!K134</f>
        <v/>
      </c>
      <c r="S375" s="435">
        <f>'Supply chain'!L134</f>
        <v>0</v>
      </c>
      <c r="T375" s="435">
        <f>'Supply chain'!M134</f>
        <v>0</v>
      </c>
      <c r="U375" s="435">
        <f>'Supply chain'!N134</f>
        <v>0</v>
      </c>
      <c r="V375" s="435">
        <f>'Supply chain'!O134</f>
        <v>0</v>
      </c>
      <c r="W375" s="435">
        <f>'Supply chain'!P134</f>
        <v>0</v>
      </c>
      <c r="X375" s="435">
        <f>'Supply chain'!Q134</f>
        <v>0</v>
      </c>
      <c r="Y375" s="435">
        <f>'Supply chain'!R134</f>
        <v>0</v>
      </c>
      <c r="Z375" s="435">
        <f>'Supply chain'!S134</f>
        <v>0</v>
      </c>
      <c r="AA375" s="435" t="str">
        <f>'Supply chain'!T134</f>
        <v/>
      </c>
      <c r="AB375" s="435" t="str">
        <f>'Supply chain'!U134</f>
        <v/>
      </c>
      <c r="AC375" s="435">
        <f>'Supply chain'!V134</f>
        <v>0</v>
      </c>
      <c r="AE375" s="432">
        <f t="shared" si="14"/>
        <v>0</v>
      </c>
      <c r="AF375" s="432">
        <f t="shared" si="15"/>
        <v>0</v>
      </c>
    </row>
    <row r="376" spans="2:32" x14ac:dyDescent="0.35">
      <c r="B376" s="432" t="e">
        <f>"2024"&amp;MATCH(Totals!D376,OrgType,0)&amp;"_"&amp;MATCH(Totals!E376,Organisations,0)&amp;"_"&amp;LEFT(Totals!F376,1)&amp;"_"&amp;LEFT(G376,1)&amp;"_"&amp;COUNTIF($G$3:G376,G376)</f>
        <v>#N/A</v>
      </c>
      <c r="C376" s="432">
        <v>2024</v>
      </c>
      <c r="D376" s="432">
        <f>Introduction!$D$7</f>
        <v>0</v>
      </c>
      <c r="E376" s="432">
        <f>Introduction!$D$8</f>
        <v>0</v>
      </c>
      <c r="F376" s="432" t="s">
        <v>558</v>
      </c>
      <c r="G376" s="432" t="s">
        <v>558</v>
      </c>
      <c r="H376" s="433"/>
      <c r="I376" s="435" t="str">
        <f>'Supply chain'!B135</f>
        <v/>
      </c>
      <c r="J376" s="435" t="str">
        <f>'Supply chain'!C135</f>
        <v/>
      </c>
      <c r="K376" s="435">
        <f>'Supply chain'!D135</f>
        <v>0</v>
      </c>
      <c r="L376" s="435" t="str">
        <f>'Supply chain'!E135</f>
        <v>Tier 2</v>
      </c>
      <c r="M376" s="435">
        <f>'Supply chain'!F135</f>
        <v>0</v>
      </c>
      <c r="N376" s="435">
        <f>'Supply chain'!G135</f>
        <v>0</v>
      </c>
      <c r="O376" s="435" t="str">
        <f>'Supply chain'!H135</f>
        <v>£</v>
      </c>
      <c r="P376" s="435">
        <f>'Supply chain'!I135</f>
        <v>0</v>
      </c>
      <c r="Q376" s="435" t="str">
        <f>'Supply chain'!J135</f>
        <v>£</v>
      </c>
      <c r="R376" s="435" t="str">
        <f>'Supply chain'!K135</f>
        <v/>
      </c>
      <c r="S376" s="435">
        <f>'Supply chain'!L135</f>
        <v>0</v>
      </c>
      <c r="T376" s="435">
        <f>'Supply chain'!M135</f>
        <v>0</v>
      </c>
      <c r="U376" s="435">
        <f>'Supply chain'!N135</f>
        <v>0</v>
      </c>
      <c r="V376" s="435">
        <f>'Supply chain'!O135</f>
        <v>0</v>
      </c>
      <c r="W376" s="435">
        <f>'Supply chain'!P135</f>
        <v>0</v>
      </c>
      <c r="X376" s="435">
        <f>'Supply chain'!Q135</f>
        <v>0</v>
      </c>
      <c r="Y376" s="435">
        <f>'Supply chain'!R135</f>
        <v>0</v>
      </c>
      <c r="Z376" s="435">
        <f>'Supply chain'!S135</f>
        <v>0</v>
      </c>
      <c r="AA376" s="435" t="str">
        <f>'Supply chain'!T135</f>
        <v/>
      </c>
      <c r="AB376" s="435" t="str">
        <f>'Supply chain'!U135</f>
        <v/>
      </c>
      <c r="AC376" s="435">
        <f>'Supply chain'!V135</f>
        <v>0</v>
      </c>
      <c r="AE376" s="432">
        <f t="shared" si="14"/>
        <v>0</v>
      </c>
      <c r="AF376" s="432">
        <f t="shared" si="15"/>
        <v>0</v>
      </c>
    </row>
    <row r="377" spans="2:32" x14ac:dyDescent="0.35">
      <c r="B377" s="432" t="e">
        <f>"2024"&amp;MATCH(Totals!D377,OrgType,0)&amp;"_"&amp;MATCH(Totals!E377,Organisations,0)&amp;"_"&amp;LEFT(Totals!F377,1)&amp;"_"&amp;LEFT(G377,1)&amp;"_"&amp;COUNTIF($G$3:G377,G377)</f>
        <v>#N/A</v>
      </c>
      <c r="C377" s="432">
        <v>2024</v>
      </c>
      <c r="D377" s="432">
        <f>Introduction!$D$7</f>
        <v>0</v>
      </c>
      <c r="E377" s="432">
        <f>Introduction!$D$8</f>
        <v>0</v>
      </c>
      <c r="F377" s="432" t="s">
        <v>558</v>
      </c>
      <c r="G377" s="432" t="s">
        <v>558</v>
      </c>
      <c r="H377" s="433"/>
      <c r="I377" s="435" t="str">
        <f>'Supply chain'!B136</f>
        <v/>
      </c>
      <c r="J377" s="435" t="str">
        <f>'Supply chain'!C136</f>
        <v/>
      </c>
      <c r="K377" s="435">
        <f>'Supply chain'!D136</f>
        <v>0</v>
      </c>
      <c r="L377" s="435" t="str">
        <f>'Supply chain'!E136</f>
        <v>Tier 2</v>
      </c>
      <c r="M377" s="435">
        <f>'Supply chain'!F136</f>
        <v>0</v>
      </c>
      <c r="N377" s="435">
        <f>'Supply chain'!G136</f>
        <v>0</v>
      </c>
      <c r="O377" s="435" t="str">
        <f>'Supply chain'!H136</f>
        <v>£</v>
      </c>
      <c r="P377" s="435">
        <f>'Supply chain'!I136</f>
        <v>0</v>
      </c>
      <c r="Q377" s="435" t="str">
        <f>'Supply chain'!J136</f>
        <v>£</v>
      </c>
      <c r="R377" s="435" t="str">
        <f>'Supply chain'!K136</f>
        <v/>
      </c>
      <c r="S377" s="435">
        <f>'Supply chain'!L136</f>
        <v>0</v>
      </c>
      <c r="T377" s="435">
        <f>'Supply chain'!M136</f>
        <v>0</v>
      </c>
      <c r="U377" s="435">
        <f>'Supply chain'!N136</f>
        <v>0</v>
      </c>
      <c r="V377" s="435">
        <f>'Supply chain'!O136</f>
        <v>0</v>
      </c>
      <c r="W377" s="435">
        <f>'Supply chain'!P136</f>
        <v>0</v>
      </c>
      <c r="X377" s="435">
        <f>'Supply chain'!Q136</f>
        <v>0</v>
      </c>
      <c r="Y377" s="435">
        <f>'Supply chain'!R136</f>
        <v>0</v>
      </c>
      <c r="Z377" s="435">
        <f>'Supply chain'!S136</f>
        <v>0</v>
      </c>
      <c r="AA377" s="435" t="str">
        <f>'Supply chain'!T136</f>
        <v/>
      </c>
      <c r="AB377" s="435" t="str">
        <f>'Supply chain'!U136</f>
        <v/>
      </c>
      <c r="AC377" s="435">
        <f>'Supply chain'!V136</f>
        <v>0</v>
      </c>
      <c r="AE377" s="432">
        <f t="shared" si="14"/>
        <v>0</v>
      </c>
      <c r="AF377" s="432">
        <f t="shared" si="15"/>
        <v>0</v>
      </c>
    </row>
    <row r="378" spans="2:32" x14ac:dyDescent="0.35">
      <c r="B378" s="432" t="e">
        <f>"2024"&amp;MATCH(Totals!D378,OrgType,0)&amp;"_"&amp;MATCH(Totals!E378,Organisations,0)&amp;"_"&amp;LEFT(Totals!F378,1)&amp;"_"&amp;LEFT(G378,1)&amp;"_"&amp;COUNTIF($G$3:G378,G378)</f>
        <v>#N/A</v>
      </c>
      <c r="C378" s="432">
        <v>2024</v>
      </c>
      <c r="D378" s="432">
        <f>Introduction!$D$7</f>
        <v>0</v>
      </c>
      <c r="E378" s="432">
        <f>Introduction!$D$8</f>
        <v>0</v>
      </c>
      <c r="F378" s="432" t="s">
        <v>558</v>
      </c>
      <c r="G378" s="432" t="s">
        <v>558</v>
      </c>
      <c r="H378" s="433"/>
      <c r="I378" s="435" t="str">
        <f>'Supply chain'!B137</f>
        <v/>
      </c>
      <c r="J378" s="435" t="str">
        <f>'Supply chain'!C137</f>
        <v/>
      </c>
      <c r="K378" s="435">
        <f>'Supply chain'!D137</f>
        <v>0</v>
      </c>
      <c r="L378" s="435" t="str">
        <f>'Supply chain'!E137</f>
        <v>Tier 2</v>
      </c>
      <c r="M378" s="435">
        <f>'Supply chain'!F137</f>
        <v>0</v>
      </c>
      <c r="N378" s="435">
        <f>'Supply chain'!G137</f>
        <v>0</v>
      </c>
      <c r="O378" s="435" t="str">
        <f>'Supply chain'!H137</f>
        <v>£</v>
      </c>
      <c r="P378" s="435">
        <f>'Supply chain'!I137</f>
        <v>0</v>
      </c>
      <c r="Q378" s="435" t="str">
        <f>'Supply chain'!J137</f>
        <v>£</v>
      </c>
      <c r="R378" s="435" t="str">
        <f>'Supply chain'!K137</f>
        <v/>
      </c>
      <c r="S378" s="435">
        <f>'Supply chain'!L137</f>
        <v>0</v>
      </c>
      <c r="T378" s="435">
        <f>'Supply chain'!M137</f>
        <v>0</v>
      </c>
      <c r="U378" s="435">
        <f>'Supply chain'!N137</f>
        <v>0</v>
      </c>
      <c r="V378" s="435">
        <f>'Supply chain'!O137</f>
        <v>0</v>
      </c>
      <c r="W378" s="435">
        <f>'Supply chain'!P137</f>
        <v>0</v>
      </c>
      <c r="X378" s="435">
        <f>'Supply chain'!Q137</f>
        <v>0</v>
      </c>
      <c r="Y378" s="435">
        <f>'Supply chain'!R137</f>
        <v>0</v>
      </c>
      <c r="Z378" s="435">
        <f>'Supply chain'!S137</f>
        <v>0</v>
      </c>
      <c r="AA378" s="435" t="str">
        <f>'Supply chain'!T137</f>
        <v/>
      </c>
      <c r="AB378" s="435" t="str">
        <f>'Supply chain'!U137</f>
        <v/>
      </c>
      <c r="AC378" s="435">
        <f>'Supply chain'!V137</f>
        <v>0</v>
      </c>
      <c r="AE378" s="432">
        <f t="shared" si="14"/>
        <v>0</v>
      </c>
      <c r="AF378" s="432">
        <f t="shared" si="15"/>
        <v>0</v>
      </c>
    </row>
    <row r="379" spans="2:32" x14ac:dyDescent="0.35">
      <c r="B379" s="432" t="e">
        <f>"2024"&amp;MATCH(Totals!D379,OrgType,0)&amp;"_"&amp;MATCH(Totals!E379,Organisations,0)&amp;"_"&amp;LEFT(Totals!F379,1)&amp;"_"&amp;LEFT(G379,1)&amp;"_"&amp;COUNTIF($G$3:G379,G379)</f>
        <v>#N/A</v>
      </c>
      <c r="C379" s="432">
        <v>2024</v>
      </c>
      <c r="D379" s="432">
        <f>Introduction!$D$7</f>
        <v>0</v>
      </c>
      <c r="E379" s="432">
        <f>Introduction!$D$8</f>
        <v>0</v>
      </c>
      <c r="F379" s="432" t="s">
        <v>558</v>
      </c>
      <c r="G379" s="432" t="s">
        <v>558</v>
      </c>
      <c r="H379" s="433"/>
      <c r="I379" s="435" t="str">
        <f>'Supply chain'!B138</f>
        <v/>
      </c>
      <c r="J379" s="435" t="str">
        <f>'Supply chain'!C138</f>
        <v/>
      </c>
      <c r="K379" s="435">
        <f>'Supply chain'!D138</f>
        <v>0</v>
      </c>
      <c r="L379" s="435" t="str">
        <f>'Supply chain'!E138</f>
        <v>Tier 2</v>
      </c>
      <c r="M379" s="435">
        <f>'Supply chain'!F138</f>
        <v>0</v>
      </c>
      <c r="N379" s="435">
        <f>'Supply chain'!G138</f>
        <v>0</v>
      </c>
      <c r="O379" s="435" t="str">
        <f>'Supply chain'!H138</f>
        <v>£</v>
      </c>
      <c r="P379" s="435">
        <f>'Supply chain'!I138</f>
        <v>0</v>
      </c>
      <c r="Q379" s="435" t="str">
        <f>'Supply chain'!J138</f>
        <v>£</v>
      </c>
      <c r="R379" s="435" t="str">
        <f>'Supply chain'!K138</f>
        <v/>
      </c>
      <c r="S379" s="435">
        <f>'Supply chain'!L138</f>
        <v>0</v>
      </c>
      <c r="T379" s="435">
        <f>'Supply chain'!M138</f>
        <v>0</v>
      </c>
      <c r="U379" s="435">
        <f>'Supply chain'!N138</f>
        <v>0</v>
      </c>
      <c r="V379" s="435">
        <f>'Supply chain'!O138</f>
        <v>0</v>
      </c>
      <c r="W379" s="435">
        <f>'Supply chain'!P138</f>
        <v>0</v>
      </c>
      <c r="X379" s="435">
        <f>'Supply chain'!Q138</f>
        <v>0</v>
      </c>
      <c r="Y379" s="435">
        <f>'Supply chain'!R138</f>
        <v>0</v>
      </c>
      <c r="Z379" s="435">
        <f>'Supply chain'!S138</f>
        <v>0</v>
      </c>
      <c r="AA379" s="435" t="str">
        <f>'Supply chain'!T138</f>
        <v/>
      </c>
      <c r="AB379" s="435" t="str">
        <f>'Supply chain'!U138</f>
        <v/>
      </c>
      <c r="AC379" s="435">
        <f>'Supply chain'!V138</f>
        <v>0</v>
      </c>
      <c r="AE379" s="432">
        <f t="shared" si="14"/>
        <v>0</v>
      </c>
      <c r="AF379" s="432">
        <f t="shared" si="15"/>
        <v>0</v>
      </c>
    </row>
    <row r="380" spans="2:32" x14ac:dyDescent="0.35">
      <c r="B380" s="432" t="e">
        <f>"2024"&amp;MATCH(Totals!D380,OrgType,0)&amp;"_"&amp;MATCH(Totals!E380,Organisations,0)&amp;"_"&amp;LEFT(Totals!F380,1)&amp;"_"&amp;LEFT(G380,1)&amp;"_"&amp;COUNTIF($G$3:G380,G380)</f>
        <v>#N/A</v>
      </c>
      <c r="C380" s="432">
        <v>2024</v>
      </c>
      <c r="D380" s="432">
        <f>Introduction!$D$7</f>
        <v>0</v>
      </c>
      <c r="E380" s="432">
        <f>Introduction!$D$8</f>
        <v>0</v>
      </c>
      <c r="F380" s="432" t="s">
        <v>558</v>
      </c>
      <c r="G380" s="432" t="s">
        <v>558</v>
      </c>
      <c r="H380" s="433"/>
      <c r="I380" s="435" t="str">
        <f>'Supply chain'!B139</f>
        <v/>
      </c>
      <c r="J380" s="435" t="str">
        <f>'Supply chain'!C139</f>
        <v/>
      </c>
      <c r="K380" s="435">
        <f>'Supply chain'!D139</f>
        <v>0</v>
      </c>
      <c r="L380" s="435" t="str">
        <f>'Supply chain'!E139</f>
        <v>Tier 2</v>
      </c>
      <c r="M380" s="435">
        <f>'Supply chain'!F139</f>
        <v>0</v>
      </c>
      <c r="N380" s="435">
        <f>'Supply chain'!G139</f>
        <v>0</v>
      </c>
      <c r="O380" s="435" t="str">
        <f>'Supply chain'!H139</f>
        <v>£</v>
      </c>
      <c r="P380" s="435">
        <f>'Supply chain'!I139</f>
        <v>0</v>
      </c>
      <c r="Q380" s="435" t="str">
        <f>'Supply chain'!J139</f>
        <v>£</v>
      </c>
      <c r="R380" s="435" t="str">
        <f>'Supply chain'!K139</f>
        <v/>
      </c>
      <c r="S380" s="435">
        <f>'Supply chain'!L139</f>
        <v>0</v>
      </c>
      <c r="T380" s="435">
        <f>'Supply chain'!M139</f>
        <v>0</v>
      </c>
      <c r="U380" s="435">
        <f>'Supply chain'!N139</f>
        <v>0</v>
      </c>
      <c r="V380" s="435">
        <f>'Supply chain'!O139</f>
        <v>0</v>
      </c>
      <c r="W380" s="435">
        <f>'Supply chain'!P139</f>
        <v>0</v>
      </c>
      <c r="X380" s="435">
        <f>'Supply chain'!Q139</f>
        <v>0</v>
      </c>
      <c r="Y380" s="435">
        <f>'Supply chain'!R139</f>
        <v>0</v>
      </c>
      <c r="Z380" s="435">
        <f>'Supply chain'!S139</f>
        <v>0</v>
      </c>
      <c r="AA380" s="435" t="str">
        <f>'Supply chain'!T139</f>
        <v/>
      </c>
      <c r="AB380" s="435" t="str">
        <f>'Supply chain'!U139</f>
        <v/>
      </c>
      <c r="AC380" s="435">
        <f>'Supply chain'!V139</f>
        <v>0</v>
      </c>
      <c r="AE380" s="432">
        <f t="shared" si="14"/>
        <v>0</v>
      </c>
      <c r="AF380" s="432">
        <f t="shared" si="15"/>
        <v>0</v>
      </c>
    </row>
    <row r="381" spans="2:32" x14ac:dyDescent="0.35">
      <c r="B381" s="432" t="e">
        <f>"2024"&amp;MATCH(Totals!D381,OrgType,0)&amp;"_"&amp;MATCH(Totals!E381,Organisations,0)&amp;"_"&amp;LEFT(Totals!F381,1)&amp;"_"&amp;LEFT(G381,1)&amp;"_"&amp;COUNTIF($G$3:G381,G381)</f>
        <v>#N/A</v>
      </c>
      <c r="C381" s="432">
        <v>2024</v>
      </c>
      <c r="D381" s="432">
        <f>Introduction!$D$7</f>
        <v>0</v>
      </c>
      <c r="E381" s="432">
        <f>Introduction!$D$8</f>
        <v>0</v>
      </c>
      <c r="F381" s="432" t="s">
        <v>558</v>
      </c>
      <c r="G381" s="432" t="s">
        <v>558</v>
      </c>
      <c r="H381" s="433"/>
      <c r="I381" s="435" t="str">
        <f>'Supply chain'!B140</f>
        <v/>
      </c>
      <c r="J381" s="435" t="str">
        <f>'Supply chain'!C140</f>
        <v/>
      </c>
      <c r="K381" s="435">
        <f>'Supply chain'!D140</f>
        <v>0</v>
      </c>
      <c r="L381" s="435" t="str">
        <f>'Supply chain'!E140</f>
        <v>Tier 2</v>
      </c>
      <c r="M381" s="435">
        <f>'Supply chain'!F140</f>
        <v>0</v>
      </c>
      <c r="N381" s="435">
        <f>'Supply chain'!G140</f>
        <v>0</v>
      </c>
      <c r="O381" s="435" t="str">
        <f>'Supply chain'!H140</f>
        <v>£</v>
      </c>
      <c r="P381" s="435">
        <f>'Supply chain'!I140</f>
        <v>0</v>
      </c>
      <c r="Q381" s="435" t="str">
        <f>'Supply chain'!J140</f>
        <v>£</v>
      </c>
      <c r="R381" s="435" t="str">
        <f>'Supply chain'!K140</f>
        <v/>
      </c>
      <c r="S381" s="435">
        <f>'Supply chain'!L140</f>
        <v>0</v>
      </c>
      <c r="T381" s="435">
        <f>'Supply chain'!M140</f>
        <v>0</v>
      </c>
      <c r="U381" s="435">
        <f>'Supply chain'!N140</f>
        <v>0</v>
      </c>
      <c r="V381" s="435">
        <f>'Supply chain'!O140</f>
        <v>0</v>
      </c>
      <c r="W381" s="435">
        <f>'Supply chain'!P140</f>
        <v>0</v>
      </c>
      <c r="X381" s="435">
        <f>'Supply chain'!Q140</f>
        <v>0</v>
      </c>
      <c r="Y381" s="435">
        <f>'Supply chain'!R140</f>
        <v>0</v>
      </c>
      <c r="Z381" s="435">
        <f>'Supply chain'!S140</f>
        <v>0</v>
      </c>
      <c r="AA381" s="435" t="str">
        <f>'Supply chain'!T140</f>
        <v/>
      </c>
      <c r="AB381" s="435" t="str">
        <f>'Supply chain'!U140</f>
        <v/>
      </c>
      <c r="AC381" s="435">
        <f>'Supply chain'!V140</f>
        <v>0</v>
      </c>
      <c r="AE381" s="432">
        <f t="shared" si="14"/>
        <v>0</v>
      </c>
      <c r="AF381" s="432">
        <f t="shared" si="15"/>
        <v>0</v>
      </c>
    </row>
    <row r="382" spans="2:32" x14ac:dyDescent="0.35">
      <c r="B382" s="432" t="e">
        <f>"2024"&amp;MATCH(Totals!D382,OrgType,0)&amp;"_"&amp;MATCH(Totals!E382,Organisations,0)&amp;"_"&amp;LEFT(Totals!F382,1)&amp;"_"&amp;LEFT(G382,1)&amp;"_"&amp;COUNTIF($G$3:G382,G382)</f>
        <v>#N/A</v>
      </c>
      <c r="C382" s="432">
        <v>2024</v>
      </c>
      <c r="D382" s="432">
        <f>Introduction!$D$7</f>
        <v>0</v>
      </c>
      <c r="E382" s="432">
        <f>Introduction!$D$8</f>
        <v>0</v>
      </c>
      <c r="F382" s="432" t="s">
        <v>558</v>
      </c>
      <c r="G382" s="432" t="s">
        <v>558</v>
      </c>
      <c r="H382" s="433"/>
      <c r="I382" s="435" t="str">
        <f>'Supply chain'!B141</f>
        <v/>
      </c>
      <c r="J382" s="435" t="str">
        <f>'Supply chain'!C141</f>
        <v/>
      </c>
      <c r="K382" s="435">
        <f>'Supply chain'!D141</f>
        <v>0</v>
      </c>
      <c r="L382" s="435" t="str">
        <f>'Supply chain'!E141</f>
        <v>Tier 2</v>
      </c>
      <c r="M382" s="435">
        <f>'Supply chain'!F141</f>
        <v>0</v>
      </c>
      <c r="N382" s="435">
        <f>'Supply chain'!G141</f>
        <v>0</v>
      </c>
      <c r="O382" s="435" t="str">
        <f>'Supply chain'!H141</f>
        <v>£</v>
      </c>
      <c r="P382" s="435">
        <f>'Supply chain'!I141</f>
        <v>0</v>
      </c>
      <c r="Q382" s="435" t="str">
        <f>'Supply chain'!J141</f>
        <v>£</v>
      </c>
      <c r="R382" s="435" t="str">
        <f>'Supply chain'!K141</f>
        <v/>
      </c>
      <c r="S382" s="435">
        <f>'Supply chain'!L141</f>
        <v>0</v>
      </c>
      <c r="T382" s="435">
        <f>'Supply chain'!M141</f>
        <v>0</v>
      </c>
      <c r="U382" s="435">
        <f>'Supply chain'!N141</f>
        <v>0</v>
      </c>
      <c r="V382" s="435">
        <f>'Supply chain'!O141</f>
        <v>0</v>
      </c>
      <c r="W382" s="435">
        <f>'Supply chain'!P141</f>
        <v>0</v>
      </c>
      <c r="X382" s="435">
        <f>'Supply chain'!Q141</f>
        <v>0</v>
      </c>
      <c r="Y382" s="435">
        <f>'Supply chain'!R141</f>
        <v>0</v>
      </c>
      <c r="Z382" s="435">
        <f>'Supply chain'!S141</f>
        <v>0</v>
      </c>
      <c r="AA382" s="435" t="str">
        <f>'Supply chain'!T141</f>
        <v/>
      </c>
      <c r="AB382" s="435" t="str">
        <f>'Supply chain'!U141</f>
        <v/>
      </c>
      <c r="AC382" s="435">
        <f>'Supply chain'!V141</f>
        <v>0</v>
      </c>
      <c r="AE382" s="432">
        <f t="shared" si="14"/>
        <v>0</v>
      </c>
      <c r="AF382" s="432">
        <f t="shared" si="15"/>
        <v>0</v>
      </c>
    </row>
    <row r="383" spans="2:32" x14ac:dyDescent="0.35">
      <c r="B383" s="432" t="e">
        <f>"2024"&amp;MATCH(Totals!D383,OrgType,0)&amp;"_"&amp;MATCH(Totals!E383,Organisations,0)&amp;"_"&amp;LEFT(Totals!F383,1)&amp;"_"&amp;LEFT(G383,1)&amp;"_"&amp;COUNTIF($G$3:G383,G383)</f>
        <v>#N/A</v>
      </c>
      <c r="C383" s="432">
        <v>2024</v>
      </c>
      <c r="D383" s="432">
        <f>Introduction!$D$7</f>
        <v>0</v>
      </c>
      <c r="E383" s="432">
        <f>Introduction!$D$8</f>
        <v>0</v>
      </c>
      <c r="F383" s="432" t="s">
        <v>558</v>
      </c>
      <c r="G383" s="432" t="s">
        <v>558</v>
      </c>
      <c r="H383" s="433"/>
      <c r="I383" s="435" t="str">
        <f>'Supply chain'!B142</f>
        <v/>
      </c>
      <c r="J383" s="435" t="str">
        <f>'Supply chain'!C142</f>
        <v/>
      </c>
      <c r="K383" s="435">
        <f>'Supply chain'!D142</f>
        <v>0</v>
      </c>
      <c r="L383" s="435" t="str">
        <f>'Supply chain'!E142</f>
        <v>Tier 2</v>
      </c>
      <c r="M383" s="435">
        <f>'Supply chain'!F142</f>
        <v>0</v>
      </c>
      <c r="N383" s="435">
        <f>'Supply chain'!G142</f>
        <v>0</v>
      </c>
      <c r="O383" s="435" t="str">
        <f>'Supply chain'!H142</f>
        <v>£</v>
      </c>
      <c r="P383" s="435">
        <f>'Supply chain'!I142</f>
        <v>0</v>
      </c>
      <c r="Q383" s="435" t="str">
        <f>'Supply chain'!J142</f>
        <v>£</v>
      </c>
      <c r="R383" s="435" t="str">
        <f>'Supply chain'!K142</f>
        <v/>
      </c>
      <c r="S383" s="435">
        <f>'Supply chain'!L142</f>
        <v>0</v>
      </c>
      <c r="T383" s="435">
        <f>'Supply chain'!M142</f>
        <v>0</v>
      </c>
      <c r="U383" s="435">
        <f>'Supply chain'!N142</f>
        <v>0</v>
      </c>
      <c r="V383" s="435">
        <f>'Supply chain'!O142</f>
        <v>0</v>
      </c>
      <c r="W383" s="435">
        <f>'Supply chain'!P142</f>
        <v>0</v>
      </c>
      <c r="X383" s="435">
        <f>'Supply chain'!Q142</f>
        <v>0</v>
      </c>
      <c r="Y383" s="435">
        <f>'Supply chain'!R142</f>
        <v>0</v>
      </c>
      <c r="Z383" s="435">
        <f>'Supply chain'!S142</f>
        <v>0</v>
      </c>
      <c r="AA383" s="435" t="str">
        <f>'Supply chain'!T142</f>
        <v/>
      </c>
      <c r="AB383" s="435" t="str">
        <f>'Supply chain'!U142</f>
        <v/>
      </c>
      <c r="AC383" s="435">
        <f>'Supply chain'!V142</f>
        <v>0</v>
      </c>
      <c r="AE383" s="432">
        <f t="shared" si="14"/>
        <v>0</v>
      </c>
      <c r="AF383" s="432">
        <f t="shared" si="15"/>
        <v>0</v>
      </c>
    </row>
    <row r="384" spans="2:32" x14ac:dyDescent="0.35">
      <c r="B384" s="432" t="e">
        <f>"2024"&amp;MATCH(Totals!D384,OrgType,0)&amp;"_"&amp;MATCH(Totals!E384,Organisations,0)&amp;"_"&amp;LEFT(Totals!F384,1)&amp;"_"&amp;LEFT(G384,1)&amp;"_"&amp;COUNTIF($G$3:G384,G384)</f>
        <v>#N/A</v>
      </c>
      <c r="C384" s="432">
        <v>2024</v>
      </c>
      <c r="D384" s="432">
        <f>Introduction!$D$7</f>
        <v>0</v>
      </c>
      <c r="E384" s="432">
        <f>Introduction!$D$8</f>
        <v>0</v>
      </c>
      <c r="F384" s="432" t="s">
        <v>558</v>
      </c>
      <c r="G384" s="432" t="s">
        <v>558</v>
      </c>
      <c r="H384" s="433"/>
      <c r="I384" s="435" t="str">
        <f>'Supply chain'!B143</f>
        <v/>
      </c>
      <c r="J384" s="435" t="str">
        <f>'Supply chain'!C143</f>
        <v/>
      </c>
      <c r="K384" s="435">
        <f>'Supply chain'!D143</f>
        <v>0</v>
      </c>
      <c r="L384" s="435" t="str">
        <f>'Supply chain'!E143</f>
        <v>Tier 2</v>
      </c>
      <c r="M384" s="435">
        <f>'Supply chain'!F143</f>
        <v>0</v>
      </c>
      <c r="N384" s="435">
        <f>'Supply chain'!G143</f>
        <v>0</v>
      </c>
      <c r="O384" s="435" t="str">
        <f>'Supply chain'!H143</f>
        <v>£</v>
      </c>
      <c r="P384" s="435">
        <f>'Supply chain'!I143</f>
        <v>0</v>
      </c>
      <c r="Q384" s="435" t="str">
        <f>'Supply chain'!J143</f>
        <v>£</v>
      </c>
      <c r="R384" s="435" t="str">
        <f>'Supply chain'!K143</f>
        <v/>
      </c>
      <c r="S384" s="435">
        <f>'Supply chain'!L143</f>
        <v>0</v>
      </c>
      <c r="T384" s="435">
        <f>'Supply chain'!M143</f>
        <v>0</v>
      </c>
      <c r="U384" s="435">
        <f>'Supply chain'!N143</f>
        <v>0</v>
      </c>
      <c r="V384" s="435">
        <f>'Supply chain'!O143</f>
        <v>0</v>
      </c>
      <c r="W384" s="435">
        <f>'Supply chain'!P143</f>
        <v>0</v>
      </c>
      <c r="X384" s="435">
        <f>'Supply chain'!Q143</f>
        <v>0</v>
      </c>
      <c r="Y384" s="435">
        <f>'Supply chain'!R143</f>
        <v>0</v>
      </c>
      <c r="Z384" s="435">
        <f>'Supply chain'!S143</f>
        <v>0</v>
      </c>
      <c r="AA384" s="435" t="str">
        <f>'Supply chain'!T143</f>
        <v/>
      </c>
      <c r="AB384" s="435" t="str">
        <f>'Supply chain'!U143</f>
        <v/>
      </c>
      <c r="AC384" s="435">
        <f>'Supply chain'!V143</f>
        <v>0</v>
      </c>
      <c r="AE384" s="432">
        <f t="shared" si="14"/>
        <v>0</v>
      </c>
      <c r="AF384" s="432">
        <f t="shared" si="15"/>
        <v>0</v>
      </c>
    </row>
    <row r="385" spans="2:32" x14ac:dyDescent="0.35">
      <c r="B385" s="432" t="e">
        <f>"2024"&amp;MATCH(Totals!D385,OrgType,0)&amp;"_"&amp;MATCH(Totals!E385,Organisations,0)&amp;"_"&amp;LEFT(Totals!F385,1)&amp;"_"&amp;LEFT(G385,1)&amp;"_"&amp;COUNTIF($G$3:G385,G385)</f>
        <v>#N/A</v>
      </c>
      <c r="C385" s="432">
        <v>2024</v>
      </c>
      <c r="D385" s="432">
        <f>Introduction!$D$7</f>
        <v>0</v>
      </c>
      <c r="E385" s="432">
        <f>Introduction!$D$8</f>
        <v>0</v>
      </c>
      <c r="F385" s="432" t="s">
        <v>558</v>
      </c>
      <c r="G385" s="432" t="s">
        <v>558</v>
      </c>
      <c r="H385" s="433"/>
      <c r="I385" s="435" t="str">
        <f>'Supply chain'!B144</f>
        <v/>
      </c>
      <c r="J385" s="435" t="str">
        <f>'Supply chain'!C144</f>
        <v/>
      </c>
      <c r="K385" s="435">
        <f>'Supply chain'!D144</f>
        <v>0</v>
      </c>
      <c r="L385" s="435" t="str">
        <f>'Supply chain'!E144</f>
        <v>Tier 2</v>
      </c>
      <c r="M385" s="435">
        <f>'Supply chain'!F144</f>
        <v>0</v>
      </c>
      <c r="N385" s="435">
        <f>'Supply chain'!G144</f>
        <v>0</v>
      </c>
      <c r="O385" s="435" t="str">
        <f>'Supply chain'!H144</f>
        <v>£</v>
      </c>
      <c r="P385" s="435">
        <f>'Supply chain'!I144</f>
        <v>0</v>
      </c>
      <c r="Q385" s="435" t="str">
        <f>'Supply chain'!J144</f>
        <v>£</v>
      </c>
      <c r="R385" s="435" t="str">
        <f>'Supply chain'!K144</f>
        <v/>
      </c>
      <c r="S385" s="435">
        <f>'Supply chain'!L144</f>
        <v>0</v>
      </c>
      <c r="T385" s="435">
        <f>'Supply chain'!M144</f>
        <v>0</v>
      </c>
      <c r="U385" s="435">
        <f>'Supply chain'!N144</f>
        <v>0</v>
      </c>
      <c r="V385" s="435">
        <f>'Supply chain'!O144</f>
        <v>0</v>
      </c>
      <c r="W385" s="435">
        <f>'Supply chain'!P144</f>
        <v>0</v>
      </c>
      <c r="X385" s="435">
        <f>'Supply chain'!Q144</f>
        <v>0</v>
      </c>
      <c r="Y385" s="435">
        <f>'Supply chain'!R144</f>
        <v>0</v>
      </c>
      <c r="Z385" s="435">
        <f>'Supply chain'!S144</f>
        <v>0</v>
      </c>
      <c r="AA385" s="435" t="str">
        <f>'Supply chain'!T144</f>
        <v/>
      </c>
      <c r="AB385" s="435" t="str">
        <f>'Supply chain'!U144</f>
        <v/>
      </c>
      <c r="AC385" s="435">
        <f>'Supply chain'!V144</f>
        <v>0</v>
      </c>
      <c r="AE385" s="432">
        <f t="shared" si="14"/>
        <v>0</v>
      </c>
      <c r="AF385" s="432">
        <f t="shared" si="15"/>
        <v>0</v>
      </c>
    </row>
    <row r="386" spans="2:32" x14ac:dyDescent="0.35">
      <c r="B386" s="432" t="e">
        <f>"2024"&amp;MATCH(Totals!D386,OrgType,0)&amp;"_"&amp;MATCH(Totals!E386,Organisations,0)&amp;"_"&amp;LEFT(Totals!F386,1)&amp;"_"&amp;LEFT(G386,1)&amp;"_"&amp;COUNTIF($G$3:G386,G386)</f>
        <v>#N/A</v>
      </c>
      <c r="C386" s="432">
        <v>2024</v>
      </c>
      <c r="D386" s="432">
        <f>Introduction!$D$7</f>
        <v>0</v>
      </c>
      <c r="E386" s="432">
        <f>Introduction!$D$8</f>
        <v>0</v>
      </c>
      <c r="F386" s="432" t="s">
        <v>558</v>
      </c>
      <c r="G386" s="432" t="s">
        <v>558</v>
      </c>
      <c r="H386" s="433"/>
      <c r="I386" s="435" t="str">
        <f>'Supply chain'!B145</f>
        <v/>
      </c>
      <c r="J386" s="435" t="str">
        <f>'Supply chain'!C145</f>
        <v/>
      </c>
      <c r="K386" s="435">
        <f>'Supply chain'!D145</f>
        <v>0</v>
      </c>
      <c r="L386" s="435" t="str">
        <f>'Supply chain'!E145</f>
        <v>Tier 2</v>
      </c>
      <c r="M386" s="435">
        <f>'Supply chain'!F145</f>
        <v>0</v>
      </c>
      <c r="N386" s="435">
        <f>'Supply chain'!G145</f>
        <v>0</v>
      </c>
      <c r="O386" s="435" t="str">
        <f>'Supply chain'!H145</f>
        <v>£</v>
      </c>
      <c r="P386" s="435">
        <f>'Supply chain'!I145</f>
        <v>0</v>
      </c>
      <c r="Q386" s="435" t="str">
        <f>'Supply chain'!J145</f>
        <v>£</v>
      </c>
      <c r="R386" s="435" t="str">
        <f>'Supply chain'!K145</f>
        <v/>
      </c>
      <c r="S386" s="435">
        <f>'Supply chain'!L145</f>
        <v>0</v>
      </c>
      <c r="T386" s="435">
        <f>'Supply chain'!M145</f>
        <v>0</v>
      </c>
      <c r="U386" s="435">
        <f>'Supply chain'!N145</f>
        <v>0</v>
      </c>
      <c r="V386" s="435">
        <f>'Supply chain'!O145</f>
        <v>0</v>
      </c>
      <c r="W386" s="435">
        <f>'Supply chain'!P145</f>
        <v>0</v>
      </c>
      <c r="X386" s="435">
        <f>'Supply chain'!Q145</f>
        <v>0</v>
      </c>
      <c r="Y386" s="435">
        <f>'Supply chain'!R145</f>
        <v>0</v>
      </c>
      <c r="Z386" s="435">
        <f>'Supply chain'!S145</f>
        <v>0</v>
      </c>
      <c r="AA386" s="435" t="str">
        <f>'Supply chain'!T145</f>
        <v/>
      </c>
      <c r="AB386" s="435" t="str">
        <f>'Supply chain'!U145</f>
        <v/>
      </c>
      <c r="AC386" s="435">
        <f>'Supply chain'!V145</f>
        <v>0</v>
      </c>
      <c r="AE386" s="432">
        <f t="shared" si="14"/>
        <v>0</v>
      </c>
      <c r="AF386" s="432">
        <f t="shared" si="15"/>
        <v>0</v>
      </c>
    </row>
    <row r="387" spans="2:32" x14ac:dyDescent="0.35">
      <c r="B387" s="432" t="e">
        <f>"2024"&amp;MATCH(Totals!D387,OrgType,0)&amp;"_"&amp;MATCH(Totals!E387,Organisations,0)&amp;"_"&amp;LEFT(Totals!F387,1)&amp;"_"&amp;LEFT(G387,1)&amp;"_"&amp;COUNTIF($G$3:G387,G387)</f>
        <v>#N/A</v>
      </c>
      <c r="C387" s="432">
        <v>2024</v>
      </c>
      <c r="D387" s="432">
        <f>Introduction!$D$7</f>
        <v>0</v>
      </c>
      <c r="E387" s="432">
        <f>Introduction!$D$8</f>
        <v>0</v>
      </c>
      <c r="F387" s="432" t="s">
        <v>558</v>
      </c>
      <c r="G387" s="432" t="s">
        <v>558</v>
      </c>
      <c r="H387" s="433"/>
      <c r="I387" s="435" t="str">
        <f>'Supply chain'!B146</f>
        <v/>
      </c>
      <c r="J387" s="435" t="str">
        <f>'Supply chain'!C146</f>
        <v/>
      </c>
      <c r="K387" s="435">
        <f>'Supply chain'!D146</f>
        <v>0</v>
      </c>
      <c r="L387" s="435" t="str">
        <f>'Supply chain'!E146</f>
        <v>Tier 2</v>
      </c>
      <c r="M387" s="435">
        <f>'Supply chain'!F146</f>
        <v>0</v>
      </c>
      <c r="N387" s="435">
        <f>'Supply chain'!G146</f>
        <v>0</v>
      </c>
      <c r="O387" s="435" t="str">
        <f>'Supply chain'!H146</f>
        <v>£</v>
      </c>
      <c r="P387" s="435">
        <f>'Supply chain'!I146</f>
        <v>0</v>
      </c>
      <c r="Q387" s="435" t="str">
        <f>'Supply chain'!J146</f>
        <v>£</v>
      </c>
      <c r="R387" s="435" t="str">
        <f>'Supply chain'!K146</f>
        <v/>
      </c>
      <c r="S387" s="435">
        <f>'Supply chain'!L146</f>
        <v>0</v>
      </c>
      <c r="T387" s="435">
        <f>'Supply chain'!M146</f>
        <v>0</v>
      </c>
      <c r="U387" s="435">
        <f>'Supply chain'!N146</f>
        <v>0</v>
      </c>
      <c r="V387" s="435">
        <f>'Supply chain'!O146</f>
        <v>0</v>
      </c>
      <c r="W387" s="435">
        <f>'Supply chain'!P146</f>
        <v>0</v>
      </c>
      <c r="X387" s="435">
        <f>'Supply chain'!Q146</f>
        <v>0</v>
      </c>
      <c r="Y387" s="435">
        <f>'Supply chain'!R146</f>
        <v>0</v>
      </c>
      <c r="Z387" s="435">
        <f>'Supply chain'!S146</f>
        <v>0</v>
      </c>
      <c r="AA387" s="435" t="str">
        <f>'Supply chain'!T146</f>
        <v/>
      </c>
      <c r="AB387" s="435" t="str">
        <f>'Supply chain'!U146</f>
        <v/>
      </c>
      <c r="AC387" s="435">
        <f>'Supply chain'!V146</f>
        <v>0</v>
      </c>
      <c r="AE387" s="432">
        <f t="shared" si="14"/>
        <v>0</v>
      </c>
      <c r="AF387" s="432">
        <f t="shared" si="15"/>
        <v>0</v>
      </c>
    </row>
    <row r="388" spans="2:32" x14ac:dyDescent="0.35">
      <c r="B388" s="432" t="e">
        <f>"2024"&amp;MATCH(Totals!D388,OrgType,0)&amp;"_"&amp;MATCH(Totals!E388,Organisations,0)&amp;"_"&amp;LEFT(Totals!F388,1)&amp;"_"&amp;LEFT(G388,1)&amp;"_"&amp;COUNTIF($G$3:G388,G388)</f>
        <v>#N/A</v>
      </c>
      <c r="C388" s="432">
        <v>2024</v>
      </c>
      <c r="D388" s="432">
        <f>Introduction!$D$7</f>
        <v>0</v>
      </c>
      <c r="E388" s="432">
        <f>Introduction!$D$8</f>
        <v>0</v>
      </c>
      <c r="F388" s="432" t="s">
        <v>558</v>
      </c>
      <c r="G388" s="432" t="s">
        <v>558</v>
      </c>
      <c r="H388" s="433"/>
      <c r="I388" s="435" t="str">
        <f>'Supply chain'!B147</f>
        <v/>
      </c>
      <c r="J388" s="435" t="str">
        <f>'Supply chain'!C147</f>
        <v/>
      </c>
      <c r="K388" s="435">
        <f>'Supply chain'!D147</f>
        <v>0</v>
      </c>
      <c r="L388" s="435" t="str">
        <f>'Supply chain'!E147</f>
        <v>Tier 2</v>
      </c>
      <c r="M388" s="435">
        <f>'Supply chain'!F147</f>
        <v>0</v>
      </c>
      <c r="N388" s="435">
        <f>'Supply chain'!G147</f>
        <v>0</v>
      </c>
      <c r="O388" s="435" t="str">
        <f>'Supply chain'!H147</f>
        <v>£</v>
      </c>
      <c r="P388" s="435">
        <f>'Supply chain'!I147</f>
        <v>0</v>
      </c>
      <c r="Q388" s="435" t="str">
        <f>'Supply chain'!J147</f>
        <v>£</v>
      </c>
      <c r="R388" s="435" t="str">
        <f>'Supply chain'!K147</f>
        <v/>
      </c>
      <c r="S388" s="435">
        <f>'Supply chain'!L147</f>
        <v>0</v>
      </c>
      <c r="T388" s="435">
        <f>'Supply chain'!M147</f>
        <v>0</v>
      </c>
      <c r="U388" s="435">
        <f>'Supply chain'!N147</f>
        <v>0</v>
      </c>
      <c r="V388" s="435">
        <f>'Supply chain'!O147</f>
        <v>0</v>
      </c>
      <c r="W388" s="435">
        <f>'Supply chain'!P147</f>
        <v>0</v>
      </c>
      <c r="X388" s="435">
        <f>'Supply chain'!Q147</f>
        <v>0</v>
      </c>
      <c r="Y388" s="435">
        <f>'Supply chain'!R147</f>
        <v>0</v>
      </c>
      <c r="Z388" s="435">
        <f>'Supply chain'!S147</f>
        <v>0</v>
      </c>
      <c r="AA388" s="435" t="str">
        <f>'Supply chain'!T147</f>
        <v/>
      </c>
      <c r="AB388" s="435" t="str">
        <f>'Supply chain'!U147</f>
        <v/>
      </c>
      <c r="AC388" s="435">
        <f>'Supply chain'!V147</f>
        <v>0</v>
      </c>
      <c r="AE388" s="432">
        <f t="shared" si="14"/>
        <v>0</v>
      </c>
      <c r="AF388" s="432">
        <f t="shared" si="15"/>
        <v>0</v>
      </c>
    </row>
    <row r="389" spans="2:32" x14ac:dyDescent="0.35">
      <c r="B389" s="432" t="e">
        <f>"2024"&amp;MATCH(Totals!D389,OrgType,0)&amp;"_"&amp;MATCH(Totals!E389,Organisations,0)&amp;"_"&amp;LEFT(Totals!F389,1)&amp;"_"&amp;LEFT(G389,1)&amp;"_"&amp;COUNTIF($G$3:G389,G389)</f>
        <v>#N/A</v>
      </c>
      <c r="C389" s="432">
        <v>2024</v>
      </c>
      <c r="D389" s="432">
        <f>Introduction!$D$7</f>
        <v>0</v>
      </c>
      <c r="E389" s="432">
        <f>Introduction!$D$8</f>
        <v>0</v>
      </c>
      <c r="F389" s="432" t="s">
        <v>558</v>
      </c>
      <c r="G389" s="432" t="s">
        <v>558</v>
      </c>
      <c r="H389" s="433"/>
      <c r="I389" s="435" t="str">
        <f>'Supply chain'!B148</f>
        <v/>
      </c>
      <c r="J389" s="435" t="str">
        <f>'Supply chain'!C148</f>
        <v/>
      </c>
      <c r="K389" s="435">
        <f>'Supply chain'!D148</f>
        <v>0</v>
      </c>
      <c r="L389" s="435" t="str">
        <f>'Supply chain'!E148</f>
        <v>Tier 2</v>
      </c>
      <c r="M389" s="435">
        <f>'Supply chain'!F148</f>
        <v>0</v>
      </c>
      <c r="N389" s="435">
        <f>'Supply chain'!G148</f>
        <v>0</v>
      </c>
      <c r="O389" s="435" t="str">
        <f>'Supply chain'!H148</f>
        <v>£</v>
      </c>
      <c r="P389" s="435">
        <f>'Supply chain'!I148</f>
        <v>0</v>
      </c>
      <c r="Q389" s="435" t="str">
        <f>'Supply chain'!J148</f>
        <v>£</v>
      </c>
      <c r="R389" s="435" t="str">
        <f>'Supply chain'!K148</f>
        <v/>
      </c>
      <c r="S389" s="435">
        <f>'Supply chain'!L148</f>
        <v>0</v>
      </c>
      <c r="T389" s="435">
        <f>'Supply chain'!M148</f>
        <v>0</v>
      </c>
      <c r="U389" s="435">
        <f>'Supply chain'!N148</f>
        <v>0</v>
      </c>
      <c r="V389" s="435">
        <f>'Supply chain'!O148</f>
        <v>0</v>
      </c>
      <c r="W389" s="435">
        <f>'Supply chain'!P148</f>
        <v>0</v>
      </c>
      <c r="X389" s="435">
        <f>'Supply chain'!Q148</f>
        <v>0</v>
      </c>
      <c r="Y389" s="435">
        <f>'Supply chain'!R148</f>
        <v>0</v>
      </c>
      <c r="Z389" s="435">
        <f>'Supply chain'!S148</f>
        <v>0</v>
      </c>
      <c r="AA389" s="435" t="str">
        <f>'Supply chain'!T148</f>
        <v/>
      </c>
      <c r="AB389" s="435" t="str">
        <f>'Supply chain'!U148</f>
        <v/>
      </c>
      <c r="AC389" s="435">
        <f>'Supply chain'!V148</f>
        <v>0</v>
      </c>
      <c r="AE389" s="432">
        <f t="shared" si="14"/>
        <v>0</v>
      </c>
      <c r="AF389" s="432">
        <f t="shared" si="15"/>
        <v>0</v>
      </c>
    </row>
    <row r="390" spans="2:32" x14ac:dyDescent="0.35">
      <c r="B390" s="432" t="e">
        <f>"2024"&amp;MATCH(Totals!D390,OrgType,0)&amp;"_"&amp;MATCH(Totals!E390,Organisations,0)&amp;"_"&amp;LEFT(Totals!F390,1)&amp;"_"&amp;LEFT(G390,1)&amp;"_"&amp;COUNTIF($G$3:G390,G390)</f>
        <v>#N/A</v>
      </c>
      <c r="C390" s="432">
        <v>2024</v>
      </c>
      <c r="D390" s="432">
        <f>Introduction!$D$7</f>
        <v>0</v>
      </c>
      <c r="E390" s="432">
        <f>Introduction!$D$8</f>
        <v>0</v>
      </c>
      <c r="F390" s="432" t="s">
        <v>558</v>
      </c>
      <c r="G390" s="432" t="s">
        <v>558</v>
      </c>
      <c r="H390" s="433"/>
      <c r="I390" s="435" t="str">
        <f>'Supply chain'!B149</f>
        <v/>
      </c>
      <c r="J390" s="435" t="str">
        <f>'Supply chain'!C149</f>
        <v/>
      </c>
      <c r="K390" s="435">
        <f>'Supply chain'!D149</f>
        <v>0</v>
      </c>
      <c r="L390" s="435" t="str">
        <f>'Supply chain'!E149</f>
        <v>Tier 2</v>
      </c>
      <c r="M390" s="435">
        <f>'Supply chain'!F149</f>
        <v>0</v>
      </c>
      <c r="N390" s="435">
        <f>'Supply chain'!G149</f>
        <v>0</v>
      </c>
      <c r="O390" s="435" t="str">
        <f>'Supply chain'!H149</f>
        <v>£</v>
      </c>
      <c r="P390" s="435">
        <f>'Supply chain'!I149</f>
        <v>0</v>
      </c>
      <c r="Q390" s="435" t="str">
        <f>'Supply chain'!J149</f>
        <v>£</v>
      </c>
      <c r="R390" s="435" t="str">
        <f>'Supply chain'!K149</f>
        <v/>
      </c>
      <c r="S390" s="435">
        <f>'Supply chain'!L149</f>
        <v>0</v>
      </c>
      <c r="T390" s="435">
        <f>'Supply chain'!M149</f>
        <v>0</v>
      </c>
      <c r="U390" s="435">
        <f>'Supply chain'!N149</f>
        <v>0</v>
      </c>
      <c r="V390" s="435">
        <f>'Supply chain'!O149</f>
        <v>0</v>
      </c>
      <c r="W390" s="435">
        <f>'Supply chain'!P149</f>
        <v>0</v>
      </c>
      <c r="X390" s="435">
        <f>'Supply chain'!Q149</f>
        <v>0</v>
      </c>
      <c r="Y390" s="435">
        <f>'Supply chain'!R149</f>
        <v>0</v>
      </c>
      <c r="Z390" s="435">
        <f>'Supply chain'!S149</f>
        <v>0</v>
      </c>
      <c r="AA390" s="435" t="str">
        <f>'Supply chain'!T149</f>
        <v/>
      </c>
      <c r="AB390" s="435" t="str">
        <f>'Supply chain'!U149</f>
        <v/>
      </c>
      <c r="AC390" s="435">
        <f>'Supply chain'!V149</f>
        <v>0</v>
      </c>
      <c r="AE390" s="432">
        <f t="shared" si="14"/>
        <v>0</v>
      </c>
      <c r="AF390" s="432">
        <f t="shared" si="15"/>
        <v>0</v>
      </c>
    </row>
    <row r="391" spans="2:32" x14ac:dyDescent="0.35">
      <c r="B391" s="432" t="e">
        <f>"2024"&amp;MATCH(Totals!D391,OrgType,0)&amp;"_"&amp;MATCH(Totals!E391,Organisations,0)&amp;"_"&amp;LEFT(Totals!F391,1)&amp;"_"&amp;LEFT(G391,1)&amp;"_"&amp;COUNTIF($G$3:G391,G391)</f>
        <v>#N/A</v>
      </c>
      <c r="C391" s="432">
        <v>2024</v>
      </c>
      <c r="D391" s="432">
        <f>Introduction!$D$7</f>
        <v>0</v>
      </c>
      <c r="E391" s="432">
        <f>Introduction!$D$8</f>
        <v>0</v>
      </c>
      <c r="F391" s="432" t="s">
        <v>558</v>
      </c>
      <c r="G391" s="432" t="s">
        <v>558</v>
      </c>
      <c r="H391" s="433"/>
      <c r="I391" s="435" t="str">
        <f>'Supply chain'!B150</f>
        <v/>
      </c>
      <c r="J391" s="435" t="str">
        <f>'Supply chain'!C150</f>
        <v/>
      </c>
      <c r="K391" s="435">
        <f>'Supply chain'!D150</f>
        <v>0</v>
      </c>
      <c r="L391" s="435" t="str">
        <f>'Supply chain'!E150</f>
        <v>Tier 2</v>
      </c>
      <c r="M391" s="435">
        <f>'Supply chain'!F150</f>
        <v>0</v>
      </c>
      <c r="N391" s="435">
        <f>'Supply chain'!G150</f>
        <v>0</v>
      </c>
      <c r="O391" s="435" t="str">
        <f>'Supply chain'!H150</f>
        <v>£</v>
      </c>
      <c r="P391" s="435">
        <f>'Supply chain'!I150</f>
        <v>0</v>
      </c>
      <c r="Q391" s="435" t="str">
        <f>'Supply chain'!J150</f>
        <v>£</v>
      </c>
      <c r="R391" s="435" t="str">
        <f>'Supply chain'!K150</f>
        <v/>
      </c>
      <c r="S391" s="435">
        <f>'Supply chain'!L150</f>
        <v>0</v>
      </c>
      <c r="T391" s="435">
        <f>'Supply chain'!M150</f>
        <v>0</v>
      </c>
      <c r="U391" s="435">
        <f>'Supply chain'!N150</f>
        <v>0</v>
      </c>
      <c r="V391" s="435">
        <f>'Supply chain'!O150</f>
        <v>0</v>
      </c>
      <c r="W391" s="435">
        <f>'Supply chain'!P150</f>
        <v>0</v>
      </c>
      <c r="X391" s="435">
        <f>'Supply chain'!Q150</f>
        <v>0</v>
      </c>
      <c r="Y391" s="435">
        <f>'Supply chain'!R150</f>
        <v>0</v>
      </c>
      <c r="Z391" s="435">
        <f>'Supply chain'!S150</f>
        <v>0</v>
      </c>
      <c r="AA391" s="435" t="str">
        <f>'Supply chain'!T150</f>
        <v/>
      </c>
      <c r="AB391" s="435" t="str">
        <f>'Supply chain'!U150</f>
        <v/>
      </c>
      <c r="AC391" s="435">
        <f>'Supply chain'!V150</f>
        <v>0</v>
      </c>
      <c r="AE391" s="432">
        <f t="shared" si="14"/>
        <v>0</v>
      </c>
      <c r="AF391" s="432">
        <f t="shared" si="15"/>
        <v>0</v>
      </c>
    </row>
    <row r="392" spans="2:32" x14ac:dyDescent="0.35">
      <c r="B392" s="432" t="e">
        <f>"2024"&amp;MATCH(Totals!D392,OrgType,0)&amp;"_"&amp;MATCH(Totals!E392,Organisations,0)&amp;"_"&amp;LEFT(Totals!F392,1)&amp;"_"&amp;LEFT(G392,1)&amp;"_"&amp;COUNTIF($G$3:G392,G392)</f>
        <v>#N/A</v>
      </c>
      <c r="C392" s="432">
        <v>2024</v>
      </c>
      <c r="D392" s="432">
        <f>Introduction!$D$7</f>
        <v>0</v>
      </c>
      <c r="E392" s="432">
        <f>Introduction!$D$8</f>
        <v>0</v>
      </c>
      <c r="F392" s="432" t="s">
        <v>558</v>
      </c>
      <c r="G392" s="432" t="s">
        <v>558</v>
      </c>
      <c r="H392" s="433"/>
      <c r="I392" s="435" t="str">
        <f>'Supply chain'!B151</f>
        <v/>
      </c>
      <c r="J392" s="435" t="str">
        <f>'Supply chain'!C151</f>
        <v/>
      </c>
      <c r="K392" s="435">
        <f>'Supply chain'!D151</f>
        <v>0</v>
      </c>
      <c r="L392" s="435" t="str">
        <f>'Supply chain'!E151</f>
        <v>Tier 2</v>
      </c>
      <c r="M392" s="435">
        <f>'Supply chain'!F151</f>
        <v>0</v>
      </c>
      <c r="N392" s="435">
        <f>'Supply chain'!G151</f>
        <v>0</v>
      </c>
      <c r="O392" s="435" t="str">
        <f>'Supply chain'!H151</f>
        <v>£</v>
      </c>
      <c r="P392" s="435">
        <f>'Supply chain'!I151</f>
        <v>0</v>
      </c>
      <c r="Q392" s="435" t="str">
        <f>'Supply chain'!J151</f>
        <v>£</v>
      </c>
      <c r="R392" s="435" t="str">
        <f>'Supply chain'!K151</f>
        <v/>
      </c>
      <c r="S392" s="435">
        <f>'Supply chain'!L151</f>
        <v>0</v>
      </c>
      <c r="T392" s="435">
        <f>'Supply chain'!M151</f>
        <v>0</v>
      </c>
      <c r="U392" s="435">
        <f>'Supply chain'!N151</f>
        <v>0</v>
      </c>
      <c r="V392" s="435">
        <f>'Supply chain'!O151</f>
        <v>0</v>
      </c>
      <c r="W392" s="435">
        <f>'Supply chain'!P151</f>
        <v>0</v>
      </c>
      <c r="X392" s="435">
        <f>'Supply chain'!Q151</f>
        <v>0</v>
      </c>
      <c r="Y392" s="435">
        <f>'Supply chain'!R151</f>
        <v>0</v>
      </c>
      <c r="Z392" s="435">
        <f>'Supply chain'!S151</f>
        <v>0</v>
      </c>
      <c r="AA392" s="435" t="str">
        <f>'Supply chain'!T151</f>
        <v/>
      </c>
      <c r="AB392" s="435" t="str">
        <f>'Supply chain'!U151</f>
        <v/>
      </c>
      <c r="AC392" s="435">
        <f>'Supply chain'!V151</f>
        <v>0</v>
      </c>
      <c r="AE392" s="432">
        <f t="shared" si="14"/>
        <v>0</v>
      </c>
      <c r="AF392" s="432">
        <f t="shared" si="15"/>
        <v>0</v>
      </c>
    </row>
    <row r="393" spans="2:32" x14ac:dyDescent="0.35">
      <c r="B393" s="432" t="e">
        <f>"2024"&amp;MATCH(Totals!D393,OrgType,0)&amp;"_"&amp;MATCH(Totals!E393,Organisations,0)&amp;"_"&amp;LEFT(Totals!F393,1)&amp;"_"&amp;LEFT(G393,1)&amp;"_"&amp;COUNTIF($G$3:G393,G393)</f>
        <v>#N/A</v>
      </c>
      <c r="C393" s="432">
        <v>2024</v>
      </c>
      <c r="D393" s="432">
        <f>Introduction!$D$7</f>
        <v>0</v>
      </c>
      <c r="E393" s="432">
        <f>Introduction!$D$8</f>
        <v>0</v>
      </c>
      <c r="F393" s="432" t="s">
        <v>558</v>
      </c>
      <c r="G393" s="432" t="s">
        <v>558</v>
      </c>
      <c r="H393" s="433"/>
      <c r="I393" s="435" t="str">
        <f>'Supply chain'!B152</f>
        <v/>
      </c>
      <c r="J393" s="435" t="str">
        <f>'Supply chain'!C152</f>
        <v/>
      </c>
      <c r="K393" s="435">
        <f>'Supply chain'!D152</f>
        <v>0</v>
      </c>
      <c r="L393" s="435" t="str">
        <f>'Supply chain'!E152</f>
        <v>Tier 2</v>
      </c>
      <c r="M393" s="435">
        <f>'Supply chain'!F152</f>
        <v>0</v>
      </c>
      <c r="N393" s="435">
        <f>'Supply chain'!G152</f>
        <v>0</v>
      </c>
      <c r="O393" s="435" t="str">
        <f>'Supply chain'!H152</f>
        <v>£</v>
      </c>
      <c r="P393" s="435">
        <f>'Supply chain'!I152</f>
        <v>0</v>
      </c>
      <c r="Q393" s="435" t="str">
        <f>'Supply chain'!J152</f>
        <v>£</v>
      </c>
      <c r="R393" s="435" t="str">
        <f>'Supply chain'!K152</f>
        <v/>
      </c>
      <c r="S393" s="435">
        <f>'Supply chain'!L152</f>
        <v>0</v>
      </c>
      <c r="T393" s="435">
        <f>'Supply chain'!M152</f>
        <v>0</v>
      </c>
      <c r="U393" s="435">
        <f>'Supply chain'!N152</f>
        <v>0</v>
      </c>
      <c r="V393" s="435">
        <f>'Supply chain'!O152</f>
        <v>0</v>
      </c>
      <c r="W393" s="435">
        <f>'Supply chain'!P152</f>
        <v>0</v>
      </c>
      <c r="X393" s="435">
        <f>'Supply chain'!Q152</f>
        <v>0</v>
      </c>
      <c r="Y393" s="435">
        <f>'Supply chain'!R152</f>
        <v>0</v>
      </c>
      <c r="Z393" s="435">
        <f>'Supply chain'!S152</f>
        <v>0</v>
      </c>
      <c r="AA393" s="435" t="str">
        <f>'Supply chain'!T152</f>
        <v/>
      </c>
      <c r="AB393" s="435" t="str">
        <f>'Supply chain'!U152</f>
        <v/>
      </c>
      <c r="AC393" s="435">
        <f>'Supply chain'!V152</f>
        <v>0</v>
      </c>
      <c r="AE393" s="432">
        <f t="shared" si="14"/>
        <v>0</v>
      </c>
      <c r="AF393" s="432">
        <f t="shared" si="15"/>
        <v>0</v>
      </c>
    </row>
    <row r="394" spans="2:32" x14ac:dyDescent="0.35">
      <c r="B394" s="432" t="e">
        <f>"2024"&amp;MATCH(Totals!D394,OrgType,0)&amp;"_"&amp;MATCH(Totals!E394,Organisations,0)&amp;"_"&amp;LEFT(Totals!F394,1)&amp;"_"&amp;LEFT(G394,1)&amp;"_"&amp;COUNTIF($G$3:G394,G394)</f>
        <v>#N/A</v>
      </c>
      <c r="C394" s="432">
        <v>2024</v>
      </c>
      <c r="D394" s="432">
        <f>Introduction!$D$7</f>
        <v>0</v>
      </c>
      <c r="E394" s="432">
        <f>Introduction!$D$8</f>
        <v>0</v>
      </c>
      <c r="F394" s="432" t="s">
        <v>558</v>
      </c>
      <c r="G394" s="432" t="s">
        <v>558</v>
      </c>
      <c r="H394" s="433"/>
      <c r="I394" s="435" t="str">
        <f>'Supply chain'!B153</f>
        <v/>
      </c>
      <c r="J394" s="435" t="str">
        <f>'Supply chain'!C153</f>
        <v/>
      </c>
      <c r="K394" s="435">
        <f>'Supply chain'!D153</f>
        <v>0</v>
      </c>
      <c r="L394" s="435" t="str">
        <f>'Supply chain'!E153</f>
        <v>Tier 2</v>
      </c>
      <c r="M394" s="435">
        <f>'Supply chain'!F153</f>
        <v>0</v>
      </c>
      <c r="N394" s="435">
        <f>'Supply chain'!G153</f>
        <v>0</v>
      </c>
      <c r="O394" s="435" t="str">
        <f>'Supply chain'!H153</f>
        <v>£</v>
      </c>
      <c r="P394" s="435">
        <f>'Supply chain'!I153</f>
        <v>0</v>
      </c>
      <c r="Q394" s="435" t="str">
        <f>'Supply chain'!J153</f>
        <v>£</v>
      </c>
      <c r="R394" s="435" t="str">
        <f>'Supply chain'!K153</f>
        <v/>
      </c>
      <c r="S394" s="435">
        <f>'Supply chain'!L153</f>
        <v>0</v>
      </c>
      <c r="T394" s="435">
        <f>'Supply chain'!M153</f>
        <v>0</v>
      </c>
      <c r="U394" s="435">
        <f>'Supply chain'!N153</f>
        <v>0</v>
      </c>
      <c r="V394" s="435">
        <f>'Supply chain'!O153</f>
        <v>0</v>
      </c>
      <c r="W394" s="435">
        <f>'Supply chain'!P153</f>
        <v>0</v>
      </c>
      <c r="X394" s="435">
        <f>'Supply chain'!Q153</f>
        <v>0</v>
      </c>
      <c r="Y394" s="435">
        <f>'Supply chain'!R153</f>
        <v>0</v>
      </c>
      <c r="Z394" s="435">
        <f>'Supply chain'!S153</f>
        <v>0</v>
      </c>
      <c r="AA394" s="435" t="str">
        <f>'Supply chain'!T153</f>
        <v/>
      </c>
      <c r="AB394" s="435" t="str">
        <f>'Supply chain'!U153</f>
        <v/>
      </c>
      <c r="AC394" s="435">
        <f>'Supply chain'!V153</f>
        <v>0</v>
      </c>
      <c r="AE394" s="432">
        <f t="shared" si="14"/>
        <v>0</v>
      </c>
      <c r="AF394" s="432">
        <f t="shared" si="15"/>
        <v>0</v>
      </c>
    </row>
    <row r="395" spans="2:32" x14ac:dyDescent="0.35">
      <c r="B395" s="432" t="e">
        <f>"2024"&amp;MATCH(Totals!D395,OrgType,0)&amp;"_"&amp;MATCH(Totals!E395,Organisations,0)&amp;"_"&amp;LEFT(Totals!F395,1)&amp;"_"&amp;LEFT(G395,1)&amp;"_"&amp;COUNTIF($G$3:G395,G395)</f>
        <v>#N/A</v>
      </c>
      <c r="C395" s="432">
        <v>2024</v>
      </c>
      <c r="D395" s="432">
        <f>Introduction!$D$7</f>
        <v>0</v>
      </c>
      <c r="E395" s="432">
        <f>Introduction!$D$8</f>
        <v>0</v>
      </c>
      <c r="F395" s="432" t="s">
        <v>558</v>
      </c>
      <c r="G395" s="432" t="s">
        <v>558</v>
      </c>
      <c r="H395" s="433"/>
      <c r="I395" s="435" t="str">
        <f>'Supply chain'!B154</f>
        <v/>
      </c>
      <c r="J395" s="435" t="str">
        <f>'Supply chain'!C154</f>
        <v/>
      </c>
      <c r="K395" s="435">
        <f>'Supply chain'!D154</f>
        <v>0</v>
      </c>
      <c r="L395" s="435" t="str">
        <f>'Supply chain'!E154</f>
        <v>Tier 2</v>
      </c>
      <c r="M395" s="435">
        <f>'Supply chain'!F154</f>
        <v>0</v>
      </c>
      <c r="N395" s="435">
        <f>'Supply chain'!G154</f>
        <v>0</v>
      </c>
      <c r="O395" s="435" t="str">
        <f>'Supply chain'!H154</f>
        <v>£</v>
      </c>
      <c r="P395" s="435">
        <f>'Supply chain'!I154</f>
        <v>0</v>
      </c>
      <c r="Q395" s="435" t="str">
        <f>'Supply chain'!J154</f>
        <v>£</v>
      </c>
      <c r="R395" s="435" t="str">
        <f>'Supply chain'!K154</f>
        <v/>
      </c>
      <c r="S395" s="435">
        <f>'Supply chain'!L154</f>
        <v>0</v>
      </c>
      <c r="T395" s="435">
        <f>'Supply chain'!M154</f>
        <v>0</v>
      </c>
      <c r="U395" s="435">
        <f>'Supply chain'!N154</f>
        <v>0</v>
      </c>
      <c r="V395" s="435">
        <f>'Supply chain'!O154</f>
        <v>0</v>
      </c>
      <c r="W395" s="435">
        <f>'Supply chain'!P154</f>
        <v>0</v>
      </c>
      <c r="X395" s="435">
        <f>'Supply chain'!Q154</f>
        <v>0</v>
      </c>
      <c r="Y395" s="435">
        <f>'Supply chain'!R154</f>
        <v>0</v>
      </c>
      <c r="Z395" s="435">
        <f>'Supply chain'!S154</f>
        <v>0</v>
      </c>
      <c r="AA395" s="435" t="str">
        <f>'Supply chain'!T154</f>
        <v/>
      </c>
      <c r="AB395" s="435" t="str">
        <f>'Supply chain'!U154</f>
        <v/>
      </c>
      <c r="AC395" s="435">
        <f>'Supply chain'!V154</f>
        <v>0</v>
      </c>
      <c r="AE395" s="432">
        <f t="shared" si="14"/>
        <v>0</v>
      </c>
      <c r="AF395" s="432">
        <f t="shared" si="15"/>
        <v>0</v>
      </c>
    </row>
    <row r="396" spans="2:32" x14ac:dyDescent="0.35">
      <c r="B396" s="432" t="e">
        <f>"2024"&amp;MATCH(Totals!D396,OrgType,0)&amp;"_"&amp;MATCH(Totals!E396,Organisations,0)&amp;"_"&amp;LEFT(Totals!F396,1)&amp;"_"&amp;LEFT(G396,1)&amp;"_"&amp;COUNTIF($G$3:G396,G396)</f>
        <v>#N/A</v>
      </c>
      <c r="C396" s="432">
        <v>2024</v>
      </c>
      <c r="D396" s="432">
        <f>Introduction!$D$7</f>
        <v>0</v>
      </c>
      <c r="E396" s="432">
        <f>Introduction!$D$8</f>
        <v>0</v>
      </c>
      <c r="F396" s="432" t="s">
        <v>558</v>
      </c>
      <c r="G396" s="432" t="s">
        <v>558</v>
      </c>
      <c r="H396" s="433"/>
      <c r="I396" s="435" t="str">
        <f>'Supply chain'!B155</f>
        <v/>
      </c>
      <c r="J396" s="435" t="str">
        <f>'Supply chain'!C155</f>
        <v/>
      </c>
      <c r="K396" s="435">
        <f>'Supply chain'!D155</f>
        <v>0</v>
      </c>
      <c r="L396" s="435" t="str">
        <f>'Supply chain'!E155</f>
        <v>Tier 2</v>
      </c>
      <c r="M396" s="435">
        <f>'Supply chain'!F155</f>
        <v>0</v>
      </c>
      <c r="N396" s="435">
        <f>'Supply chain'!G155</f>
        <v>0</v>
      </c>
      <c r="O396" s="435" t="str">
        <f>'Supply chain'!H155</f>
        <v>£</v>
      </c>
      <c r="P396" s="435">
        <f>'Supply chain'!I155</f>
        <v>0</v>
      </c>
      <c r="Q396" s="435" t="str">
        <f>'Supply chain'!J155</f>
        <v>£</v>
      </c>
      <c r="R396" s="435" t="str">
        <f>'Supply chain'!K155</f>
        <v/>
      </c>
      <c r="S396" s="435">
        <f>'Supply chain'!L155</f>
        <v>0</v>
      </c>
      <c r="T396" s="435">
        <f>'Supply chain'!M155</f>
        <v>0</v>
      </c>
      <c r="U396" s="435">
        <f>'Supply chain'!N155</f>
        <v>0</v>
      </c>
      <c r="V396" s="435">
        <f>'Supply chain'!O155</f>
        <v>0</v>
      </c>
      <c r="W396" s="435">
        <f>'Supply chain'!P155</f>
        <v>0</v>
      </c>
      <c r="X396" s="435">
        <f>'Supply chain'!Q155</f>
        <v>0</v>
      </c>
      <c r="Y396" s="435">
        <f>'Supply chain'!R155</f>
        <v>0</v>
      </c>
      <c r="Z396" s="435">
        <f>'Supply chain'!S155</f>
        <v>0</v>
      </c>
      <c r="AA396" s="435" t="str">
        <f>'Supply chain'!T155</f>
        <v/>
      </c>
      <c r="AB396" s="435" t="str">
        <f>'Supply chain'!U155</f>
        <v/>
      </c>
      <c r="AC396" s="435">
        <f>'Supply chain'!V155</f>
        <v>0</v>
      </c>
      <c r="AE396" s="432">
        <f t="shared" si="14"/>
        <v>0</v>
      </c>
      <c r="AF396" s="432">
        <f t="shared" si="15"/>
        <v>0</v>
      </c>
    </row>
    <row r="397" spans="2:32" x14ac:dyDescent="0.35">
      <c r="B397" s="432" t="e">
        <f>"2024"&amp;MATCH(Totals!D397,OrgType,0)&amp;"_"&amp;MATCH(Totals!E397,Organisations,0)&amp;"_"&amp;LEFT(Totals!F397,1)&amp;"_"&amp;LEFT(G397,1)&amp;"_"&amp;COUNTIF($G$3:G397,G397)</f>
        <v>#N/A</v>
      </c>
      <c r="C397" s="432">
        <v>2025</v>
      </c>
      <c r="D397" s="432">
        <f>Introduction!$D$7</f>
        <v>0</v>
      </c>
      <c r="E397" s="432">
        <f>Introduction!$D$8</f>
        <v>0</v>
      </c>
      <c r="F397" s="432" t="s">
        <v>558</v>
      </c>
      <c r="G397" s="432" t="s">
        <v>558</v>
      </c>
      <c r="H397" s="433"/>
      <c r="I397" s="435" t="str">
        <f>'Supply chain'!B156</f>
        <v/>
      </c>
      <c r="J397" s="435" t="str">
        <f>'Supply chain'!C156</f>
        <v/>
      </c>
      <c r="K397" s="435">
        <f>'Supply chain'!D156</f>
        <v>0</v>
      </c>
      <c r="L397" s="435" t="str">
        <f>'Supply chain'!E156</f>
        <v>Tier 2</v>
      </c>
      <c r="M397" s="435">
        <f>'Supply chain'!F156</f>
        <v>0</v>
      </c>
      <c r="N397" s="435">
        <f>'Supply chain'!G156</f>
        <v>0</v>
      </c>
      <c r="O397" s="435" t="str">
        <f>'Supply chain'!H156</f>
        <v>£</v>
      </c>
      <c r="P397" s="435">
        <f>'Supply chain'!I156</f>
        <v>0</v>
      </c>
      <c r="Q397" s="435" t="str">
        <f>'Supply chain'!J156</f>
        <v>£</v>
      </c>
      <c r="R397" s="435" t="str">
        <f>'Supply chain'!K156</f>
        <v/>
      </c>
      <c r="S397" s="435">
        <f>'Supply chain'!L156</f>
        <v>0</v>
      </c>
      <c r="T397" s="435">
        <f>'Supply chain'!M156</f>
        <v>0</v>
      </c>
      <c r="U397" s="435">
        <f>'Supply chain'!N156</f>
        <v>0</v>
      </c>
      <c r="V397" s="435">
        <f>'Supply chain'!O156</f>
        <v>0</v>
      </c>
      <c r="W397" s="435">
        <f>'Supply chain'!P156</f>
        <v>0</v>
      </c>
      <c r="X397" s="435">
        <f>'Supply chain'!Q156</f>
        <v>0</v>
      </c>
      <c r="Y397" s="435">
        <f>'Supply chain'!R156</f>
        <v>0</v>
      </c>
      <c r="Z397" s="435">
        <f>'Supply chain'!S156</f>
        <v>0</v>
      </c>
      <c r="AA397" s="435" t="str">
        <f>'Supply chain'!T156</f>
        <v/>
      </c>
      <c r="AB397" s="435" t="str">
        <f>'Supply chain'!U156</f>
        <v/>
      </c>
      <c r="AC397" s="435">
        <f>'Supply chain'!V156</f>
        <v>0</v>
      </c>
      <c r="AE397" s="432">
        <f t="shared" ref="AE397:AE460" si="16">IF(AND(R397="",N397&lt;&gt;0),1,0)</f>
        <v>0</v>
      </c>
      <c r="AF397" s="432">
        <f t="shared" ref="AF397:AF460" si="17">IF(AND(S397="",N397&lt;&gt;0),1,0)</f>
        <v>0</v>
      </c>
    </row>
    <row r="398" spans="2:32" x14ac:dyDescent="0.35">
      <c r="B398" s="432" t="e">
        <f>"2024"&amp;MATCH(Totals!D398,OrgType,0)&amp;"_"&amp;MATCH(Totals!E398,Organisations,0)&amp;"_"&amp;LEFT(Totals!F398,1)&amp;"_"&amp;LEFT(G398,1)&amp;"_"&amp;COUNTIF($G$3:G398,G398)</f>
        <v>#N/A</v>
      </c>
      <c r="C398" s="432">
        <v>2026</v>
      </c>
      <c r="D398" s="432">
        <f>Introduction!$D$7</f>
        <v>0</v>
      </c>
      <c r="E398" s="432">
        <f>Introduction!$D$8</f>
        <v>0</v>
      </c>
      <c r="F398" s="432" t="s">
        <v>558</v>
      </c>
      <c r="G398" s="432" t="s">
        <v>558</v>
      </c>
      <c r="H398" s="433"/>
      <c r="I398" s="435" t="str">
        <f>'Supply chain'!B157</f>
        <v/>
      </c>
      <c r="J398" s="435" t="str">
        <f>'Supply chain'!C157</f>
        <v/>
      </c>
      <c r="K398" s="435">
        <f>'Supply chain'!D157</f>
        <v>0</v>
      </c>
      <c r="L398" s="435" t="str">
        <f>'Supply chain'!E157</f>
        <v>Tier 2</v>
      </c>
      <c r="M398" s="435">
        <f>'Supply chain'!F157</f>
        <v>0</v>
      </c>
      <c r="N398" s="435">
        <f>'Supply chain'!G157</f>
        <v>0</v>
      </c>
      <c r="O398" s="435" t="str">
        <f>'Supply chain'!H157</f>
        <v>£</v>
      </c>
      <c r="P398" s="435">
        <f>'Supply chain'!I157</f>
        <v>0</v>
      </c>
      <c r="Q398" s="435" t="str">
        <f>'Supply chain'!J157</f>
        <v>£</v>
      </c>
      <c r="R398" s="435" t="str">
        <f>'Supply chain'!K157</f>
        <v/>
      </c>
      <c r="S398" s="435">
        <f>'Supply chain'!L157</f>
        <v>0</v>
      </c>
      <c r="T398" s="435">
        <f>'Supply chain'!M157</f>
        <v>0</v>
      </c>
      <c r="U398" s="435">
        <f>'Supply chain'!N157</f>
        <v>0</v>
      </c>
      <c r="V398" s="435">
        <f>'Supply chain'!O157</f>
        <v>0</v>
      </c>
      <c r="W398" s="435">
        <f>'Supply chain'!P157</f>
        <v>0</v>
      </c>
      <c r="X398" s="435">
        <f>'Supply chain'!Q157</f>
        <v>0</v>
      </c>
      <c r="Y398" s="435">
        <f>'Supply chain'!R157</f>
        <v>0</v>
      </c>
      <c r="Z398" s="435">
        <f>'Supply chain'!S157</f>
        <v>0</v>
      </c>
      <c r="AA398" s="435" t="str">
        <f>'Supply chain'!T157</f>
        <v/>
      </c>
      <c r="AB398" s="435" t="str">
        <f>'Supply chain'!U157</f>
        <v/>
      </c>
      <c r="AC398" s="435">
        <f>'Supply chain'!V157</f>
        <v>0</v>
      </c>
      <c r="AE398" s="432">
        <f t="shared" si="16"/>
        <v>0</v>
      </c>
      <c r="AF398" s="432">
        <f t="shared" si="17"/>
        <v>0</v>
      </c>
    </row>
    <row r="399" spans="2:32" x14ac:dyDescent="0.35">
      <c r="B399" s="432" t="e">
        <f>"2024"&amp;MATCH(Totals!D399,OrgType,0)&amp;"_"&amp;MATCH(Totals!E399,Organisations,0)&amp;"_"&amp;LEFT(Totals!F399,1)&amp;"_"&amp;LEFT(G399,1)&amp;"_"&amp;COUNTIF($G$3:G399,G399)</f>
        <v>#N/A</v>
      </c>
      <c r="C399" s="432">
        <v>2027</v>
      </c>
      <c r="D399" s="432">
        <f>Introduction!$D$7</f>
        <v>0</v>
      </c>
      <c r="E399" s="432">
        <f>Introduction!$D$8</f>
        <v>0</v>
      </c>
      <c r="F399" s="432" t="s">
        <v>558</v>
      </c>
      <c r="G399" s="432" t="s">
        <v>558</v>
      </c>
      <c r="H399" s="433"/>
      <c r="I399" s="435" t="str">
        <f>'Supply chain'!B158</f>
        <v/>
      </c>
      <c r="J399" s="435" t="str">
        <f>'Supply chain'!C158</f>
        <v/>
      </c>
      <c r="K399" s="435">
        <f>'Supply chain'!D158</f>
        <v>0</v>
      </c>
      <c r="L399" s="435" t="str">
        <f>'Supply chain'!E158</f>
        <v>Tier 2</v>
      </c>
      <c r="M399" s="435">
        <f>'Supply chain'!F158</f>
        <v>0</v>
      </c>
      <c r="N399" s="435">
        <f>'Supply chain'!G158</f>
        <v>0</v>
      </c>
      <c r="O399" s="435" t="str">
        <f>'Supply chain'!H158</f>
        <v>£</v>
      </c>
      <c r="P399" s="435">
        <f>'Supply chain'!I158</f>
        <v>0</v>
      </c>
      <c r="Q399" s="435" t="str">
        <f>'Supply chain'!J158</f>
        <v>£</v>
      </c>
      <c r="R399" s="435" t="str">
        <f>'Supply chain'!K158</f>
        <v/>
      </c>
      <c r="S399" s="435">
        <f>'Supply chain'!L158</f>
        <v>0</v>
      </c>
      <c r="T399" s="435">
        <f>'Supply chain'!M158</f>
        <v>0</v>
      </c>
      <c r="U399" s="435">
        <f>'Supply chain'!N158</f>
        <v>0</v>
      </c>
      <c r="V399" s="435">
        <f>'Supply chain'!O158</f>
        <v>0</v>
      </c>
      <c r="W399" s="435">
        <f>'Supply chain'!P158</f>
        <v>0</v>
      </c>
      <c r="X399" s="435">
        <f>'Supply chain'!Q158</f>
        <v>0</v>
      </c>
      <c r="Y399" s="435">
        <f>'Supply chain'!R158</f>
        <v>0</v>
      </c>
      <c r="Z399" s="435">
        <f>'Supply chain'!S158</f>
        <v>0</v>
      </c>
      <c r="AA399" s="435" t="str">
        <f>'Supply chain'!T158</f>
        <v/>
      </c>
      <c r="AB399" s="435" t="str">
        <f>'Supply chain'!U158</f>
        <v/>
      </c>
      <c r="AC399" s="435">
        <f>'Supply chain'!V158</f>
        <v>0</v>
      </c>
      <c r="AE399" s="432">
        <f t="shared" si="16"/>
        <v>0</v>
      </c>
      <c r="AF399" s="432">
        <f t="shared" si="17"/>
        <v>0</v>
      </c>
    </row>
    <row r="400" spans="2:32" x14ac:dyDescent="0.35">
      <c r="B400" s="432" t="e">
        <f>"2024"&amp;MATCH(Totals!D400,OrgType,0)&amp;"_"&amp;MATCH(Totals!E400,Organisations,0)&amp;"_"&amp;LEFT(Totals!F400,1)&amp;"_"&amp;LEFT(G400,1)&amp;"_"&amp;COUNTIF($G$3:G400,G400)</f>
        <v>#N/A</v>
      </c>
      <c r="C400" s="432">
        <v>2028</v>
      </c>
      <c r="D400" s="432">
        <f>Introduction!$D$7</f>
        <v>0</v>
      </c>
      <c r="E400" s="432">
        <f>Introduction!$D$8</f>
        <v>0</v>
      </c>
      <c r="F400" s="432" t="s">
        <v>558</v>
      </c>
      <c r="G400" s="432" t="s">
        <v>558</v>
      </c>
      <c r="H400" s="433"/>
      <c r="I400" s="435" t="str">
        <f>'Supply chain'!B159</f>
        <v/>
      </c>
      <c r="J400" s="435" t="str">
        <f>'Supply chain'!C159</f>
        <v/>
      </c>
      <c r="K400" s="435">
        <f>'Supply chain'!D159</f>
        <v>0</v>
      </c>
      <c r="L400" s="435" t="str">
        <f>'Supply chain'!E159</f>
        <v>Tier 2</v>
      </c>
      <c r="M400" s="435">
        <f>'Supply chain'!F159</f>
        <v>0</v>
      </c>
      <c r="N400" s="435">
        <f>'Supply chain'!G159</f>
        <v>0</v>
      </c>
      <c r="O400" s="435" t="str">
        <f>'Supply chain'!H159</f>
        <v>£</v>
      </c>
      <c r="P400" s="435">
        <f>'Supply chain'!I159</f>
        <v>0</v>
      </c>
      <c r="Q400" s="435" t="str">
        <f>'Supply chain'!J159</f>
        <v>£</v>
      </c>
      <c r="R400" s="435" t="str">
        <f>'Supply chain'!K159</f>
        <v/>
      </c>
      <c r="S400" s="435">
        <f>'Supply chain'!L159</f>
        <v>0</v>
      </c>
      <c r="T400" s="435">
        <f>'Supply chain'!M159</f>
        <v>0</v>
      </c>
      <c r="U400" s="435">
        <f>'Supply chain'!N159</f>
        <v>0</v>
      </c>
      <c r="V400" s="435">
        <f>'Supply chain'!O159</f>
        <v>0</v>
      </c>
      <c r="W400" s="435">
        <f>'Supply chain'!P159</f>
        <v>0</v>
      </c>
      <c r="X400" s="435">
        <f>'Supply chain'!Q159</f>
        <v>0</v>
      </c>
      <c r="Y400" s="435">
        <f>'Supply chain'!R159</f>
        <v>0</v>
      </c>
      <c r="Z400" s="435">
        <f>'Supply chain'!S159</f>
        <v>0</v>
      </c>
      <c r="AA400" s="435" t="str">
        <f>'Supply chain'!T159</f>
        <v/>
      </c>
      <c r="AB400" s="435" t="str">
        <f>'Supply chain'!U159</f>
        <v/>
      </c>
      <c r="AC400" s="435">
        <f>'Supply chain'!V159</f>
        <v>0</v>
      </c>
      <c r="AE400" s="432">
        <f t="shared" si="16"/>
        <v>0</v>
      </c>
      <c r="AF400" s="432">
        <f t="shared" si="17"/>
        <v>0</v>
      </c>
    </row>
    <row r="401" spans="2:32" x14ac:dyDescent="0.35">
      <c r="B401" s="432" t="e">
        <f>"2024"&amp;MATCH(Totals!D401,OrgType,0)&amp;"_"&amp;MATCH(Totals!E401,Organisations,0)&amp;"_"&amp;LEFT(Totals!F401,1)&amp;"_"&amp;LEFT(G401,1)&amp;"_"&amp;COUNTIF($G$3:G401,G401)</f>
        <v>#N/A</v>
      </c>
      <c r="C401" s="432">
        <v>2029</v>
      </c>
      <c r="D401" s="432">
        <f>Introduction!$D$7</f>
        <v>0</v>
      </c>
      <c r="E401" s="432">
        <f>Introduction!$D$8</f>
        <v>0</v>
      </c>
      <c r="F401" s="432" t="s">
        <v>558</v>
      </c>
      <c r="G401" s="432" t="s">
        <v>558</v>
      </c>
      <c r="H401" s="433"/>
      <c r="I401" s="435" t="str">
        <f>'Supply chain'!B160</f>
        <v/>
      </c>
      <c r="J401" s="435" t="str">
        <f>'Supply chain'!C160</f>
        <v/>
      </c>
      <c r="K401" s="435">
        <f>'Supply chain'!D160</f>
        <v>0</v>
      </c>
      <c r="L401" s="435" t="str">
        <f>'Supply chain'!E160</f>
        <v>Tier 2</v>
      </c>
      <c r="M401" s="435">
        <f>'Supply chain'!F160</f>
        <v>0</v>
      </c>
      <c r="N401" s="435">
        <f>'Supply chain'!G160</f>
        <v>0</v>
      </c>
      <c r="O401" s="435" t="str">
        <f>'Supply chain'!H160</f>
        <v>£</v>
      </c>
      <c r="P401" s="435">
        <f>'Supply chain'!I160</f>
        <v>0</v>
      </c>
      <c r="Q401" s="435" t="str">
        <f>'Supply chain'!J160</f>
        <v>£</v>
      </c>
      <c r="R401" s="435" t="str">
        <f>'Supply chain'!K160</f>
        <v/>
      </c>
      <c r="S401" s="435">
        <f>'Supply chain'!L160</f>
        <v>0</v>
      </c>
      <c r="T401" s="435">
        <f>'Supply chain'!M160</f>
        <v>0</v>
      </c>
      <c r="U401" s="435">
        <f>'Supply chain'!N160</f>
        <v>0</v>
      </c>
      <c r="V401" s="435">
        <f>'Supply chain'!O160</f>
        <v>0</v>
      </c>
      <c r="W401" s="435">
        <f>'Supply chain'!P160</f>
        <v>0</v>
      </c>
      <c r="X401" s="435">
        <f>'Supply chain'!Q160</f>
        <v>0</v>
      </c>
      <c r="Y401" s="435">
        <f>'Supply chain'!R160</f>
        <v>0</v>
      </c>
      <c r="Z401" s="435">
        <f>'Supply chain'!S160</f>
        <v>0</v>
      </c>
      <c r="AA401" s="435" t="str">
        <f>'Supply chain'!T160</f>
        <v/>
      </c>
      <c r="AB401" s="435" t="str">
        <f>'Supply chain'!U160</f>
        <v/>
      </c>
      <c r="AC401" s="435">
        <f>'Supply chain'!V160</f>
        <v>0</v>
      </c>
      <c r="AE401" s="432">
        <f t="shared" si="16"/>
        <v>0</v>
      </c>
      <c r="AF401" s="432">
        <f t="shared" si="17"/>
        <v>0</v>
      </c>
    </row>
    <row r="402" spans="2:32" x14ac:dyDescent="0.35">
      <c r="B402" s="432" t="e">
        <f>"2024"&amp;MATCH(Totals!D402,OrgType,0)&amp;"_"&amp;MATCH(Totals!E402,Organisations,0)&amp;"_"&amp;LEFT(Totals!F402,1)&amp;"_"&amp;LEFT(G402,1)&amp;"_"&amp;COUNTIF($G$3:G402,G402)</f>
        <v>#N/A</v>
      </c>
      <c r="C402" s="432">
        <v>2030</v>
      </c>
      <c r="D402" s="432">
        <f>Introduction!$D$7</f>
        <v>0</v>
      </c>
      <c r="E402" s="432">
        <f>Introduction!$D$8</f>
        <v>0</v>
      </c>
      <c r="F402" s="432" t="s">
        <v>558</v>
      </c>
      <c r="G402" s="432" t="s">
        <v>558</v>
      </c>
      <c r="H402" s="433"/>
      <c r="I402" s="435" t="str">
        <f>'Supply chain'!B161</f>
        <v/>
      </c>
      <c r="J402" s="435" t="str">
        <f>'Supply chain'!C161</f>
        <v/>
      </c>
      <c r="K402" s="435">
        <f>'Supply chain'!D161</f>
        <v>0</v>
      </c>
      <c r="L402" s="435" t="str">
        <f>'Supply chain'!E161</f>
        <v>Tier 2</v>
      </c>
      <c r="M402" s="435">
        <f>'Supply chain'!F161</f>
        <v>0</v>
      </c>
      <c r="N402" s="435">
        <f>'Supply chain'!G161</f>
        <v>0</v>
      </c>
      <c r="O402" s="435" t="str">
        <f>'Supply chain'!H161</f>
        <v>£</v>
      </c>
      <c r="P402" s="435">
        <f>'Supply chain'!I161</f>
        <v>0</v>
      </c>
      <c r="Q402" s="435" t="str">
        <f>'Supply chain'!J161</f>
        <v>£</v>
      </c>
      <c r="R402" s="435" t="str">
        <f>'Supply chain'!K161</f>
        <v/>
      </c>
      <c r="S402" s="435">
        <f>'Supply chain'!L161</f>
        <v>0</v>
      </c>
      <c r="T402" s="435">
        <f>'Supply chain'!M161</f>
        <v>0</v>
      </c>
      <c r="U402" s="435">
        <f>'Supply chain'!N161</f>
        <v>0</v>
      </c>
      <c r="V402" s="435">
        <f>'Supply chain'!O161</f>
        <v>0</v>
      </c>
      <c r="W402" s="435">
        <f>'Supply chain'!P161</f>
        <v>0</v>
      </c>
      <c r="X402" s="435">
        <f>'Supply chain'!Q161</f>
        <v>0</v>
      </c>
      <c r="Y402" s="435">
        <f>'Supply chain'!R161</f>
        <v>0</v>
      </c>
      <c r="Z402" s="435">
        <f>'Supply chain'!S161</f>
        <v>0</v>
      </c>
      <c r="AA402" s="435" t="str">
        <f>'Supply chain'!T161</f>
        <v/>
      </c>
      <c r="AB402" s="435" t="str">
        <f>'Supply chain'!U161</f>
        <v/>
      </c>
      <c r="AC402" s="435">
        <f>'Supply chain'!V161</f>
        <v>0</v>
      </c>
      <c r="AE402" s="432">
        <f t="shared" si="16"/>
        <v>0</v>
      </c>
      <c r="AF402" s="432">
        <f t="shared" si="17"/>
        <v>0</v>
      </c>
    </row>
    <row r="403" spans="2:32" x14ac:dyDescent="0.35">
      <c r="B403" s="432" t="e">
        <f>"2024"&amp;MATCH(Totals!D403,OrgType,0)&amp;"_"&amp;MATCH(Totals!E403,Organisations,0)&amp;"_"&amp;LEFT(Totals!F403,1)&amp;"_"&amp;LEFT(G403,1)&amp;"_"&amp;COUNTIF($G$3:G403,G403)</f>
        <v>#N/A</v>
      </c>
      <c r="C403" s="432">
        <v>2031</v>
      </c>
      <c r="D403" s="432">
        <f>Introduction!$D$7</f>
        <v>0</v>
      </c>
      <c r="E403" s="432">
        <f>Introduction!$D$8</f>
        <v>0</v>
      </c>
      <c r="F403" s="432" t="s">
        <v>558</v>
      </c>
      <c r="G403" s="432" t="s">
        <v>558</v>
      </c>
      <c r="H403" s="433"/>
      <c r="I403" s="435" t="str">
        <f>'Supply chain'!B162</f>
        <v/>
      </c>
      <c r="J403" s="435" t="str">
        <f>'Supply chain'!C162</f>
        <v/>
      </c>
      <c r="K403" s="435">
        <f>'Supply chain'!D162</f>
        <v>0</v>
      </c>
      <c r="L403" s="435" t="str">
        <f>'Supply chain'!E162</f>
        <v>Tier 2</v>
      </c>
      <c r="M403" s="435">
        <f>'Supply chain'!F162</f>
        <v>0</v>
      </c>
      <c r="N403" s="435">
        <f>'Supply chain'!G162</f>
        <v>0</v>
      </c>
      <c r="O403" s="435" t="str">
        <f>'Supply chain'!H162</f>
        <v>£</v>
      </c>
      <c r="P403" s="435">
        <f>'Supply chain'!I162</f>
        <v>0</v>
      </c>
      <c r="Q403" s="435" t="str">
        <f>'Supply chain'!J162</f>
        <v>£</v>
      </c>
      <c r="R403" s="435" t="str">
        <f>'Supply chain'!K162</f>
        <v/>
      </c>
      <c r="S403" s="435">
        <f>'Supply chain'!L162</f>
        <v>0</v>
      </c>
      <c r="T403" s="435">
        <f>'Supply chain'!M162</f>
        <v>0</v>
      </c>
      <c r="U403" s="435">
        <f>'Supply chain'!N162</f>
        <v>0</v>
      </c>
      <c r="V403" s="435">
        <f>'Supply chain'!O162</f>
        <v>0</v>
      </c>
      <c r="W403" s="435">
        <f>'Supply chain'!P162</f>
        <v>0</v>
      </c>
      <c r="X403" s="435">
        <f>'Supply chain'!Q162</f>
        <v>0</v>
      </c>
      <c r="Y403" s="435">
        <f>'Supply chain'!R162</f>
        <v>0</v>
      </c>
      <c r="Z403" s="435">
        <f>'Supply chain'!S162</f>
        <v>0</v>
      </c>
      <c r="AA403" s="435" t="str">
        <f>'Supply chain'!T162</f>
        <v/>
      </c>
      <c r="AB403" s="435" t="str">
        <f>'Supply chain'!U162</f>
        <v/>
      </c>
      <c r="AC403" s="435">
        <f>'Supply chain'!V162</f>
        <v>0</v>
      </c>
      <c r="AE403" s="432">
        <f t="shared" si="16"/>
        <v>0</v>
      </c>
      <c r="AF403" s="432">
        <f t="shared" si="17"/>
        <v>0</v>
      </c>
    </row>
    <row r="404" spans="2:32" x14ac:dyDescent="0.35">
      <c r="B404" s="432" t="e">
        <f>"2024"&amp;MATCH(Totals!D404,OrgType,0)&amp;"_"&amp;MATCH(Totals!E404,Organisations,0)&amp;"_"&amp;LEFT(Totals!F404,1)&amp;"_"&amp;LEFT(G404,1)&amp;"_"&amp;COUNTIF($G$3:G404,G404)</f>
        <v>#N/A</v>
      </c>
      <c r="C404" s="432">
        <v>2032</v>
      </c>
      <c r="D404" s="432">
        <f>Introduction!$D$7</f>
        <v>0</v>
      </c>
      <c r="E404" s="432">
        <f>Introduction!$D$8</f>
        <v>0</v>
      </c>
      <c r="F404" s="432" t="s">
        <v>558</v>
      </c>
      <c r="G404" s="432" t="s">
        <v>558</v>
      </c>
      <c r="H404" s="433"/>
      <c r="I404" s="435" t="str">
        <f>'Supply chain'!B163</f>
        <v/>
      </c>
      <c r="J404" s="435" t="str">
        <f>'Supply chain'!C163</f>
        <v/>
      </c>
      <c r="K404" s="435">
        <f>'Supply chain'!D163</f>
        <v>0</v>
      </c>
      <c r="L404" s="435" t="str">
        <f>'Supply chain'!E163</f>
        <v>Tier 2</v>
      </c>
      <c r="M404" s="435">
        <f>'Supply chain'!F163</f>
        <v>0</v>
      </c>
      <c r="N404" s="435">
        <f>'Supply chain'!G163</f>
        <v>0</v>
      </c>
      <c r="O404" s="435" t="str">
        <f>'Supply chain'!H163</f>
        <v>£</v>
      </c>
      <c r="P404" s="435">
        <f>'Supply chain'!I163</f>
        <v>0</v>
      </c>
      <c r="Q404" s="435" t="str">
        <f>'Supply chain'!J163</f>
        <v>£</v>
      </c>
      <c r="R404" s="435" t="str">
        <f>'Supply chain'!K163</f>
        <v/>
      </c>
      <c r="S404" s="435">
        <f>'Supply chain'!L163</f>
        <v>0</v>
      </c>
      <c r="T404" s="435">
        <f>'Supply chain'!M163</f>
        <v>0</v>
      </c>
      <c r="U404" s="435">
        <f>'Supply chain'!N163</f>
        <v>0</v>
      </c>
      <c r="V404" s="435">
        <f>'Supply chain'!O163</f>
        <v>0</v>
      </c>
      <c r="W404" s="435">
        <f>'Supply chain'!P163</f>
        <v>0</v>
      </c>
      <c r="X404" s="435">
        <f>'Supply chain'!Q163</f>
        <v>0</v>
      </c>
      <c r="Y404" s="435">
        <f>'Supply chain'!R163</f>
        <v>0</v>
      </c>
      <c r="Z404" s="435">
        <f>'Supply chain'!S163</f>
        <v>0</v>
      </c>
      <c r="AA404" s="435" t="str">
        <f>'Supply chain'!T163</f>
        <v/>
      </c>
      <c r="AB404" s="435" t="str">
        <f>'Supply chain'!U163</f>
        <v/>
      </c>
      <c r="AC404" s="435">
        <f>'Supply chain'!V163</f>
        <v>0</v>
      </c>
      <c r="AE404" s="432">
        <f t="shared" si="16"/>
        <v>0</v>
      </c>
      <c r="AF404" s="432">
        <f t="shared" si="17"/>
        <v>0</v>
      </c>
    </row>
    <row r="405" spans="2:32" x14ac:dyDescent="0.35">
      <c r="B405" s="432" t="e">
        <f>"2024"&amp;MATCH(Totals!D405,OrgType,0)&amp;"_"&amp;MATCH(Totals!E405,Organisations,0)&amp;"_"&amp;LEFT(Totals!F405,1)&amp;"_"&amp;LEFT(G405,1)&amp;"_"&amp;COUNTIF($G$3:G405,G405)</f>
        <v>#N/A</v>
      </c>
      <c r="C405" s="432">
        <v>2033</v>
      </c>
      <c r="D405" s="432">
        <f>Introduction!$D$7</f>
        <v>0</v>
      </c>
      <c r="E405" s="432">
        <f>Introduction!$D$8</f>
        <v>0</v>
      </c>
      <c r="F405" s="432" t="s">
        <v>558</v>
      </c>
      <c r="G405" s="432" t="s">
        <v>558</v>
      </c>
      <c r="H405" s="433"/>
      <c r="I405" s="435" t="str">
        <f>'Supply chain'!B164</f>
        <v/>
      </c>
      <c r="J405" s="435" t="str">
        <f>'Supply chain'!C164</f>
        <v/>
      </c>
      <c r="K405" s="435">
        <f>'Supply chain'!D164</f>
        <v>0</v>
      </c>
      <c r="L405" s="435" t="str">
        <f>'Supply chain'!E164</f>
        <v>Tier 2</v>
      </c>
      <c r="M405" s="435">
        <f>'Supply chain'!F164</f>
        <v>0</v>
      </c>
      <c r="N405" s="435">
        <f>'Supply chain'!G164</f>
        <v>0</v>
      </c>
      <c r="O405" s="435" t="str">
        <f>'Supply chain'!H164</f>
        <v>£</v>
      </c>
      <c r="P405" s="435">
        <f>'Supply chain'!I164</f>
        <v>0</v>
      </c>
      <c r="Q405" s="435" t="str">
        <f>'Supply chain'!J164</f>
        <v>£</v>
      </c>
      <c r="R405" s="435" t="str">
        <f>'Supply chain'!K164</f>
        <v/>
      </c>
      <c r="S405" s="435">
        <f>'Supply chain'!L164</f>
        <v>0</v>
      </c>
      <c r="T405" s="435">
        <f>'Supply chain'!M164</f>
        <v>0</v>
      </c>
      <c r="U405" s="435">
        <f>'Supply chain'!N164</f>
        <v>0</v>
      </c>
      <c r="V405" s="435">
        <f>'Supply chain'!O164</f>
        <v>0</v>
      </c>
      <c r="W405" s="435">
        <f>'Supply chain'!P164</f>
        <v>0</v>
      </c>
      <c r="X405" s="435">
        <f>'Supply chain'!Q164</f>
        <v>0</v>
      </c>
      <c r="Y405" s="435">
        <f>'Supply chain'!R164</f>
        <v>0</v>
      </c>
      <c r="Z405" s="435">
        <f>'Supply chain'!S164</f>
        <v>0</v>
      </c>
      <c r="AA405" s="435" t="str">
        <f>'Supply chain'!T164</f>
        <v/>
      </c>
      <c r="AB405" s="435" t="str">
        <f>'Supply chain'!U164</f>
        <v/>
      </c>
      <c r="AC405" s="435">
        <f>'Supply chain'!V164</f>
        <v>0</v>
      </c>
      <c r="AE405" s="432">
        <f t="shared" si="16"/>
        <v>0</v>
      </c>
      <c r="AF405" s="432">
        <f t="shared" si="17"/>
        <v>0</v>
      </c>
    </row>
    <row r="406" spans="2:32" x14ac:dyDescent="0.35">
      <c r="B406" s="432" t="e">
        <f>"2024"&amp;MATCH(Totals!D406,OrgType,0)&amp;"_"&amp;MATCH(Totals!E406,Organisations,0)&amp;"_"&amp;LEFT(Totals!F406,1)&amp;"_"&amp;LEFT(G406,1)&amp;"_"&amp;COUNTIF($G$3:G406,G406)</f>
        <v>#N/A</v>
      </c>
      <c r="C406" s="432">
        <v>2034</v>
      </c>
      <c r="D406" s="432">
        <f>Introduction!$D$7</f>
        <v>0</v>
      </c>
      <c r="E406" s="432">
        <f>Introduction!$D$8</f>
        <v>0</v>
      </c>
      <c r="F406" s="432" t="s">
        <v>558</v>
      </c>
      <c r="G406" s="432" t="s">
        <v>558</v>
      </c>
      <c r="H406" s="433"/>
      <c r="I406" s="435" t="str">
        <f>'Supply chain'!B165</f>
        <v/>
      </c>
      <c r="J406" s="435" t="str">
        <f>'Supply chain'!C165</f>
        <v/>
      </c>
      <c r="K406" s="435">
        <f>'Supply chain'!D165</f>
        <v>0</v>
      </c>
      <c r="L406" s="435" t="str">
        <f>'Supply chain'!E165</f>
        <v>Tier 2</v>
      </c>
      <c r="M406" s="435">
        <f>'Supply chain'!F165</f>
        <v>0</v>
      </c>
      <c r="N406" s="435">
        <f>'Supply chain'!G165</f>
        <v>0</v>
      </c>
      <c r="O406" s="435" t="str">
        <f>'Supply chain'!H165</f>
        <v>£</v>
      </c>
      <c r="P406" s="435">
        <f>'Supply chain'!I165</f>
        <v>0</v>
      </c>
      <c r="Q406" s="435" t="str">
        <f>'Supply chain'!J165</f>
        <v>£</v>
      </c>
      <c r="R406" s="435" t="str">
        <f>'Supply chain'!K165</f>
        <v/>
      </c>
      <c r="S406" s="435">
        <f>'Supply chain'!L165</f>
        <v>0</v>
      </c>
      <c r="T406" s="435">
        <f>'Supply chain'!M165</f>
        <v>0</v>
      </c>
      <c r="U406" s="435">
        <f>'Supply chain'!N165</f>
        <v>0</v>
      </c>
      <c r="V406" s="435">
        <f>'Supply chain'!O165</f>
        <v>0</v>
      </c>
      <c r="W406" s="435">
        <f>'Supply chain'!P165</f>
        <v>0</v>
      </c>
      <c r="X406" s="435">
        <f>'Supply chain'!Q165</f>
        <v>0</v>
      </c>
      <c r="Y406" s="435">
        <f>'Supply chain'!R165</f>
        <v>0</v>
      </c>
      <c r="Z406" s="435">
        <f>'Supply chain'!S165</f>
        <v>0</v>
      </c>
      <c r="AA406" s="435" t="str">
        <f>'Supply chain'!T165</f>
        <v/>
      </c>
      <c r="AB406" s="435" t="str">
        <f>'Supply chain'!U165</f>
        <v/>
      </c>
      <c r="AC406" s="435">
        <f>'Supply chain'!V165</f>
        <v>0</v>
      </c>
      <c r="AE406" s="432">
        <f t="shared" si="16"/>
        <v>0</v>
      </c>
      <c r="AF406" s="432">
        <f t="shared" si="17"/>
        <v>0</v>
      </c>
    </row>
    <row r="407" spans="2:32" x14ac:dyDescent="0.35">
      <c r="B407" s="432" t="e">
        <f>"2024"&amp;MATCH(Totals!D407,OrgType,0)&amp;"_"&amp;MATCH(Totals!E407,Organisations,0)&amp;"_"&amp;LEFT(Totals!F407,1)&amp;"_"&amp;LEFT(G407,1)&amp;"_"&amp;COUNTIF($G$3:G407,G407)</f>
        <v>#N/A</v>
      </c>
      <c r="C407" s="432">
        <v>2035</v>
      </c>
      <c r="D407" s="432">
        <f>Introduction!$D$7</f>
        <v>0</v>
      </c>
      <c r="E407" s="432">
        <f>Introduction!$D$8</f>
        <v>0</v>
      </c>
      <c r="F407" s="432" t="s">
        <v>558</v>
      </c>
      <c r="G407" s="432" t="s">
        <v>558</v>
      </c>
      <c r="H407" s="433"/>
      <c r="I407" s="435" t="str">
        <f>'Supply chain'!B166</f>
        <v/>
      </c>
      <c r="J407" s="435" t="str">
        <f>'Supply chain'!C166</f>
        <v/>
      </c>
      <c r="K407" s="435">
        <f>'Supply chain'!D166</f>
        <v>0</v>
      </c>
      <c r="L407" s="435" t="str">
        <f>'Supply chain'!E166</f>
        <v>Tier 2</v>
      </c>
      <c r="M407" s="435">
        <f>'Supply chain'!F166</f>
        <v>0</v>
      </c>
      <c r="N407" s="435">
        <f>'Supply chain'!G166</f>
        <v>0</v>
      </c>
      <c r="O407" s="435" t="str">
        <f>'Supply chain'!H166</f>
        <v>£</v>
      </c>
      <c r="P407" s="435">
        <f>'Supply chain'!I166</f>
        <v>0</v>
      </c>
      <c r="Q407" s="435" t="str">
        <f>'Supply chain'!J166</f>
        <v>£</v>
      </c>
      <c r="R407" s="435" t="str">
        <f>'Supply chain'!K166</f>
        <v/>
      </c>
      <c r="S407" s="435">
        <f>'Supply chain'!L166</f>
        <v>0</v>
      </c>
      <c r="T407" s="435">
        <f>'Supply chain'!M166</f>
        <v>0</v>
      </c>
      <c r="U407" s="435">
        <f>'Supply chain'!N166</f>
        <v>0</v>
      </c>
      <c r="V407" s="435">
        <f>'Supply chain'!O166</f>
        <v>0</v>
      </c>
      <c r="W407" s="435">
        <f>'Supply chain'!P166</f>
        <v>0</v>
      </c>
      <c r="X407" s="435">
        <f>'Supply chain'!Q166</f>
        <v>0</v>
      </c>
      <c r="Y407" s="435">
        <f>'Supply chain'!R166</f>
        <v>0</v>
      </c>
      <c r="Z407" s="435">
        <f>'Supply chain'!S166</f>
        <v>0</v>
      </c>
      <c r="AA407" s="435" t="str">
        <f>'Supply chain'!T166</f>
        <v/>
      </c>
      <c r="AB407" s="435" t="str">
        <f>'Supply chain'!U166</f>
        <v/>
      </c>
      <c r="AC407" s="435">
        <f>'Supply chain'!V166</f>
        <v>0</v>
      </c>
      <c r="AE407" s="432">
        <f t="shared" si="16"/>
        <v>0</v>
      </c>
      <c r="AF407" s="432">
        <f t="shared" si="17"/>
        <v>0</v>
      </c>
    </row>
    <row r="408" spans="2:32" x14ac:dyDescent="0.35">
      <c r="B408" s="432" t="e">
        <f>"2024"&amp;MATCH(Totals!D408,OrgType,0)&amp;"_"&amp;MATCH(Totals!E408,Organisations,0)&amp;"_"&amp;LEFT(Totals!F408,1)&amp;"_"&amp;LEFT(G408,1)&amp;"_"&amp;COUNTIF($G$3:G408,G408)</f>
        <v>#N/A</v>
      </c>
      <c r="C408" s="432">
        <v>2036</v>
      </c>
      <c r="D408" s="432">
        <f>Introduction!$D$7</f>
        <v>0</v>
      </c>
      <c r="E408" s="432">
        <f>Introduction!$D$8</f>
        <v>0</v>
      </c>
      <c r="F408" s="432" t="s">
        <v>558</v>
      </c>
      <c r="G408" s="432" t="s">
        <v>558</v>
      </c>
      <c r="H408" s="433"/>
      <c r="I408" s="435" t="str">
        <f>'Supply chain'!B167</f>
        <v/>
      </c>
      <c r="J408" s="435" t="str">
        <f>'Supply chain'!C167</f>
        <v/>
      </c>
      <c r="K408" s="435">
        <f>'Supply chain'!D167</f>
        <v>0</v>
      </c>
      <c r="L408" s="435" t="str">
        <f>'Supply chain'!E167</f>
        <v>Tier 2</v>
      </c>
      <c r="M408" s="435">
        <f>'Supply chain'!F167</f>
        <v>0</v>
      </c>
      <c r="N408" s="435">
        <f>'Supply chain'!G167</f>
        <v>0</v>
      </c>
      <c r="O408" s="435" t="str">
        <f>'Supply chain'!H167</f>
        <v>£</v>
      </c>
      <c r="P408" s="435">
        <f>'Supply chain'!I167</f>
        <v>0</v>
      </c>
      <c r="Q408" s="435" t="str">
        <f>'Supply chain'!J167</f>
        <v>£</v>
      </c>
      <c r="R408" s="435" t="str">
        <f>'Supply chain'!K167</f>
        <v/>
      </c>
      <c r="S408" s="435">
        <f>'Supply chain'!L167</f>
        <v>0</v>
      </c>
      <c r="T408" s="435">
        <f>'Supply chain'!M167</f>
        <v>0</v>
      </c>
      <c r="U408" s="435">
        <f>'Supply chain'!N167</f>
        <v>0</v>
      </c>
      <c r="V408" s="435">
        <f>'Supply chain'!O167</f>
        <v>0</v>
      </c>
      <c r="W408" s="435">
        <f>'Supply chain'!P167</f>
        <v>0</v>
      </c>
      <c r="X408" s="435">
        <f>'Supply chain'!Q167</f>
        <v>0</v>
      </c>
      <c r="Y408" s="435">
        <f>'Supply chain'!R167</f>
        <v>0</v>
      </c>
      <c r="Z408" s="435">
        <f>'Supply chain'!S167</f>
        <v>0</v>
      </c>
      <c r="AA408" s="435" t="str">
        <f>'Supply chain'!T167</f>
        <v/>
      </c>
      <c r="AB408" s="435" t="str">
        <f>'Supply chain'!U167</f>
        <v/>
      </c>
      <c r="AC408" s="435">
        <f>'Supply chain'!V167</f>
        <v>0</v>
      </c>
      <c r="AE408" s="432">
        <f t="shared" si="16"/>
        <v>0</v>
      </c>
      <c r="AF408" s="432">
        <f t="shared" si="17"/>
        <v>0</v>
      </c>
    </row>
    <row r="409" spans="2:32" x14ac:dyDescent="0.35">
      <c r="B409" s="432" t="e">
        <f>"2024"&amp;MATCH(Totals!D409,OrgType,0)&amp;"_"&amp;MATCH(Totals!E409,Organisations,0)&amp;"_"&amp;LEFT(Totals!F409,1)&amp;"_"&amp;LEFT(G409,1)&amp;"_"&amp;COUNTIF($G$3:G409,G409)</f>
        <v>#N/A</v>
      </c>
      <c r="C409" s="432">
        <v>2037</v>
      </c>
      <c r="D409" s="432">
        <f>Introduction!$D$7</f>
        <v>0</v>
      </c>
      <c r="E409" s="432">
        <f>Introduction!$D$8</f>
        <v>0</v>
      </c>
      <c r="F409" s="432" t="s">
        <v>558</v>
      </c>
      <c r="G409" s="432" t="s">
        <v>558</v>
      </c>
      <c r="H409" s="433"/>
      <c r="I409" s="435" t="str">
        <f>'Supply chain'!B168</f>
        <v/>
      </c>
      <c r="J409" s="435" t="str">
        <f>'Supply chain'!C168</f>
        <v/>
      </c>
      <c r="K409" s="435">
        <f>'Supply chain'!D168</f>
        <v>0</v>
      </c>
      <c r="L409" s="435" t="str">
        <f>'Supply chain'!E168</f>
        <v>Tier 2</v>
      </c>
      <c r="M409" s="435">
        <f>'Supply chain'!F168</f>
        <v>0</v>
      </c>
      <c r="N409" s="435">
        <f>'Supply chain'!G168</f>
        <v>0</v>
      </c>
      <c r="O409" s="435" t="str">
        <f>'Supply chain'!H168</f>
        <v>£</v>
      </c>
      <c r="P409" s="435">
        <f>'Supply chain'!I168</f>
        <v>0</v>
      </c>
      <c r="Q409" s="435" t="str">
        <f>'Supply chain'!J168</f>
        <v>£</v>
      </c>
      <c r="R409" s="435" t="str">
        <f>'Supply chain'!K168</f>
        <v/>
      </c>
      <c r="S409" s="435">
        <f>'Supply chain'!L168</f>
        <v>0</v>
      </c>
      <c r="T409" s="435">
        <f>'Supply chain'!M168</f>
        <v>0</v>
      </c>
      <c r="U409" s="435">
        <f>'Supply chain'!N168</f>
        <v>0</v>
      </c>
      <c r="V409" s="435">
        <f>'Supply chain'!O168</f>
        <v>0</v>
      </c>
      <c r="W409" s="435">
        <f>'Supply chain'!P168</f>
        <v>0</v>
      </c>
      <c r="X409" s="435">
        <f>'Supply chain'!Q168</f>
        <v>0</v>
      </c>
      <c r="Y409" s="435">
        <f>'Supply chain'!R168</f>
        <v>0</v>
      </c>
      <c r="Z409" s="435">
        <f>'Supply chain'!S168</f>
        <v>0</v>
      </c>
      <c r="AA409" s="435" t="str">
        <f>'Supply chain'!T168</f>
        <v/>
      </c>
      <c r="AB409" s="435" t="str">
        <f>'Supply chain'!U168</f>
        <v/>
      </c>
      <c r="AC409" s="435">
        <f>'Supply chain'!V168</f>
        <v>0</v>
      </c>
      <c r="AE409" s="432">
        <f t="shared" si="16"/>
        <v>0</v>
      </c>
      <c r="AF409" s="432">
        <f t="shared" si="17"/>
        <v>0</v>
      </c>
    </row>
    <row r="410" spans="2:32" x14ac:dyDescent="0.35">
      <c r="B410" s="432" t="e">
        <f>"2024"&amp;MATCH(Totals!D410,OrgType,0)&amp;"_"&amp;MATCH(Totals!E410,Organisations,0)&amp;"_"&amp;LEFT(Totals!F410,1)&amp;"_"&amp;LEFT(G410,1)&amp;"_"&amp;COUNTIF($G$3:G410,G410)</f>
        <v>#N/A</v>
      </c>
      <c r="C410" s="432">
        <v>2038</v>
      </c>
      <c r="D410" s="432">
        <f>Introduction!$D$7</f>
        <v>0</v>
      </c>
      <c r="E410" s="432">
        <f>Introduction!$D$8</f>
        <v>0</v>
      </c>
      <c r="F410" s="432" t="s">
        <v>558</v>
      </c>
      <c r="G410" s="432" t="s">
        <v>558</v>
      </c>
      <c r="H410" s="433"/>
      <c r="I410" s="435" t="str">
        <f>'Supply chain'!B169</f>
        <v/>
      </c>
      <c r="J410" s="435" t="str">
        <f>'Supply chain'!C169</f>
        <v/>
      </c>
      <c r="K410" s="435">
        <f>'Supply chain'!D169</f>
        <v>0</v>
      </c>
      <c r="L410" s="435" t="str">
        <f>'Supply chain'!E169</f>
        <v>Tier 2</v>
      </c>
      <c r="M410" s="435">
        <f>'Supply chain'!F169</f>
        <v>0</v>
      </c>
      <c r="N410" s="435">
        <f>'Supply chain'!G169</f>
        <v>0</v>
      </c>
      <c r="O410" s="435" t="str">
        <f>'Supply chain'!H169</f>
        <v>£</v>
      </c>
      <c r="P410" s="435">
        <f>'Supply chain'!I169</f>
        <v>0</v>
      </c>
      <c r="Q410" s="435" t="str">
        <f>'Supply chain'!J169</f>
        <v>£</v>
      </c>
      <c r="R410" s="435" t="str">
        <f>'Supply chain'!K169</f>
        <v/>
      </c>
      <c r="S410" s="435">
        <f>'Supply chain'!L169</f>
        <v>0</v>
      </c>
      <c r="T410" s="435">
        <f>'Supply chain'!M169</f>
        <v>0</v>
      </c>
      <c r="U410" s="435">
        <f>'Supply chain'!N169</f>
        <v>0</v>
      </c>
      <c r="V410" s="435">
        <f>'Supply chain'!O169</f>
        <v>0</v>
      </c>
      <c r="W410" s="435">
        <f>'Supply chain'!P169</f>
        <v>0</v>
      </c>
      <c r="X410" s="435">
        <f>'Supply chain'!Q169</f>
        <v>0</v>
      </c>
      <c r="Y410" s="435">
        <f>'Supply chain'!R169</f>
        <v>0</v>
      </c>
      <c r="Z410" s="435">
        <f>'Supply chain'!S169</f>
        <v>0</v>
      </c>
      <c r="AA410" s="435" t="str">
        <f>'Supply chain'!T169</f>
        <v/>
      </c>
      <c r="AB410" s="435" t="str">
        <f>'Supply chain'!U169</f>
        <v/>
      </c>
      <c r="AC410" s="435">
        <f>'Supply chain'!V169</f>
        <v>0</v>
      </c>
      <c r="AE410" s="432">
        <f t="shared" si="16"/>
        <v>0</v>
      </c>
      <c r="AF410" s="432">
        <f t="shared" si="17"/>
        <v>0</v>
      </c>
    </row>
    <row r="411" spans="2:32" x14ac:dyDescent="0.35">
      <c r="B411" s="432" t="e">
        <f>"2024"&amp;MATCH(Totals!D411,OrgType,0)&amp;"_"&amp;MATCH(Totals!E411,Organisations,0)&amp;"_"&amp;LEFT(Totals!F411,1)&amp;"_"&amp;LEFT(G411,1)&amp;"_"&amp;COUNTIF($G$3:G411,G411)</f>
        <v>#N/A</v>
      </c>
      <c r="C411" s="432">
        <v>2039</v>
      </c>
      <c r="D411" s="432">
        <f>Introduction!$D$7</f>
        <v>0</v>
      </c>
      <c r="E411" s="432">
        <f>Introduction!$D$8</f>
        <v>0</v>
      </c>
      <c r="F411" s="432" t="s">
        <v>558</v>
      </c>
      <c r="G411" s="432" t="s">
        <v>558</v>
      </c>
      <c r="H411" s="433"/>
      <c r="I411" s="435" t="str">
        <f>'Supply chain'!B170</f>
        <v/>
      </c>
      <c r="J411" s="435" t="str">
        <f>'Supply chain'!C170</f>
        <v/>
      </c>
      <c r="K411" s="435">
        <f>'Supply chain'!D170</f>
        <v>0</v>
      </c>
      <c r="L411" s="435" t="str">
        <f>'Supply chain'!E170</f>
        <v>Tier 2</v>
      </c>
      <c r="M411" s="435">
        <f>'Supply chain'!F170</f>
        <v>0</v>
      </c>
      <c r="N411" s="435">
        <f>'Supply chain'!G170</f>
        <v>0</v>
      </c>
      <c r="O411" s="435" t="str">
        <f>'Supply chain'!H170</f>
        <v>£</v>
      </c>
      <c r="P411" s="435">
        <f>'Supply chain'!I170</f>
        <v>0</v>
      </c>
      <c r="Q411" s="435" t="str">
        <f>'Supply chain'!J170</f>
        <v>£</v>
      </c>
      <c r="R411" s="435" t="str">
        <f>'Supply chain'!K170</f>
        <v/>
      </c>
      <c r="S411" s="435">
        <f>'Supply chain'!L170</f>
        <v>0</v>
      </c>
      <c r="T411" s="435">
        <f>'Supply chain'!M170</f>
        <v>0</v>
      </c>
      <c r="U411" s="435">
        <f>'Supply chain'!N170</f>
        <v>0</v>
      </c>
      <c r="V411" s="435">
        <f>'Supply chain'!O170</f>
        <v>0</v>
      </c>
      <c r="W411" s="435">
        <f>'Supply chain'!P170</f>
        <v>0</v>
      </c>
      <c r="X411" s="435">
        <f>'Supply chain'!Q170</f>
        <v>0</v>
      </c>
      <c r="Y411" s="435">
        <f>'Supply chain'!R170</f>
        <v>0</v>
      </c>
      <c r="Z411" s="435">
        <f>'Supply chain'!S170</f>
        <v>0</v>
      </c>
      <c r="AA411" s="435" t="str">
        <f>'Supply chain'!T170</f>
        <v/>
      </c>
      <c r="AB411" s="435" t="str">
        <f>'Supply chain'!U170</f>
        <v/>
      </c>
      <c r="AC411" s="435">
        <f>'Supply chain'!V170</f>
        <v>0</v>
      </c>
      <c r="AE411" s="432">
        <f t="shared" si="16"/>
        <v>0</v>
      </c>
      <c r="AF411" s="432">
        <f t="shared" si="17"/>
        <v>0</v>
      </c>
    </row>
    <row r="412" spans="2:32" x14ac:dyDescent="0.35">
      <c r="B412" s="432" t="e">
        <f>"2024"&amp;MATCH(Totals!D412,OrgType,0)&amp;"_"&amp;MATCH(Totals!E412,Organisations,0)&amp;"_"&amp;LEFT(Totals!F412,1)&amp;"_"&amp;LEFT(G412,1)&amp;"_"&amp;COUNTIF($G$3:G412,G412)</f>
        <v>#N/A</v>
      </c>
      <c r="C412" s="432">
        <v>2040</v>
      </c>
      <c r="D412" s="432">
        <f>Introduction!$D$7</f>
        <v>0</v>
      </c>
      <c r="E412" s="432">
        <f>Introduction!$D$8</f>
        <v>0</v>
      </c>
      <c r="F412" s="432" t="s">
        <v>558</v>
      </c>
      <c r="G412" s="432" t="s">
        <v>558</v>
      </c>
      <c r="H412" s="433"/>
      <c r="I412" s="435" t="str">
        <f>'Supply chain'!B171</f>
        <v/>
      </c>
      <c r="J412" s="435" t="str">
        <f>'Supply chain'!C171</f>
        <v/>
      </c>
      <c r="K412" s="435">
        <f>'Supply chain'!D171</f>
        <v>0</v>
      </c>
      <c r="L412" s="435" t="str">
        <f>'Supply chain'!E171</f>
        <v>Tier 2</v>
      </c>
      <c r="M412" s="435">
        <f>'Supply chain'!F171</f>
        <v>0</v>
      </c>
      <c r="N412" s="435">
        <f>'Supply chain'!G171</f>
        <v>0</v>
      </c>
      <c r="O412" s="435" t="str">
        <f>'Supply chain'!H171</f>
        <v>£</v>
      </c>
      <c r="P412" s="435">
        <f>'Supply chain'!I171</f>
        <v>0</v>
      </c>
      <c r="Q412" s="435" t="str">
        <f>'Supply chain'!J171</f>
        <v>£</v>
      </c>
      <c r="R412" s="435" t="str">
        <f>'Supply chain'!K171</f>
        <v/>
      </c>
      <c r="S412" s="435">
        <f>'Supply chain'!L171</f>
        <v>0</v>
      </c>
      <c r="T412" s="435">
        <f>'Supply chain'!M171</f>
        <v>0</v>
      </c>
      <c r="U412" s="435">
        <f>'Supply chain'!N171</f>
        <v>0</v>
      </c>
      <c r="V412" s="435">
        <f>'Supply chain'!O171</f>
        <v>0</v>
      </c>
      <c r="W412" s="435">
        <f>'Supply chain'!P171</f>
        <v>0</v>
      </c>
      <c r="X412" s="435">
        <f>'Supply chain'!Q171</f>
        <v>0</v>
      </c>
      <c r="Y412" s="435">
        <f>'Supply chain'!R171</f>
        <v>0</v>
      </c>
      <c r="Z412" s="435">
        <f>'Supply chain'!S171</f>
        <v>0</v>
      </c>
      <c r="AA412" s="435" t="str">
        <f>'Supply chain'!T171</f>
        <v/>
      </c>
      <c r="AB412" s="435" t="str">
        <f>'Supply chain'!U171</f>
        <v/>
      </c>
      <c r="AC412" s="435">
        <f>'Supply chain'!V171</f>
        <v>0</v>
      </c>
      <c r="AE412" s="432">
        <f t="shared" si="16"/>
        <v>0</v>
      </c>
      <c r="AF412" s="432">
        <f t="shared" si="17"/>
        <v>0</v>
      </c>
    </row>
    <row r="413" spans="2:32" x14ac:dyDescent="0.35">
      <c r="B413" s="432" t="e">
        <f>"2024"&amp;MATCH(Totals!D413,OrgType,0)&amp;"_"&amp;MATCH(Totals!E413,Organisations,0)&amp;"_"&amp;LEFT(Totals!F413,1)&amp;"_"&amp;LEFT(G413,1)&amp;"_"&amp;COUNTIF($G$3:G413,G413)</f>
        <v>#N/A</v>
      </c>
      <c r="C413" s="432">
        <v>2041</v>
      </c>
      <c r="D413" s="432">
        <f>Introduction!$D$7</f>
        <v>0</v>
      </c>
      <c r="E413" s="432">
        <f>Introduction!$D$8</f>
        <v>0</v>
      </c>
      <c r="F413" s="432" t="s">
        <v>558</v>
      </c>
      <c r="G413" s="432" t="s">
        <v>558</v>
      </c>
      <c r="H413" s="433"/>
      <c r="I413" s="435" t="str">
        <f>'Supply chain'!B172</f>
        <v/>
      </c>
      <c r="J413" s="435" t="str">
        <f>'Supply chain'!C172</f>
        <v/>
      </c>
      <c r="K413" s="435">
        <f>'Supply chain'!D172</f>
        <v>0</v>
      </c>
      <c r="L413" s="435" t="str">
        <f>'Supply chain'!E172</f>
        <v>Tier 2</v>
      </c>
      <c r="M413" s="435">
        <f>'Supply chain'!F172</f>
        <v>0</v>
      </c>
      <c r="N413" s="435">
        <f>'Supply chain'!G172</f>
        <v>0</v>
      </c>
      <c r="O413" s="435" t="str">
        <f>'Supply chain'!H172</f>
        <v>£</v>
      </c>
      <c r="P413" s="435">
        <f>'Supply chain'!I172</f>
        <v>0</v>
      </c>
      <c r="Q413" s="435" t="str">
        <f>'Supply chain'!J172</f>
        <v>£</v>
      </c>
      <c r="R413" s="435" t="str">
        <f>'Supply chain'!K172</f>
        <v/>
      </c>
      <c r="S413" s="435">
        <f>'Supply chain'!L172</f>
        <v>0</v>
      </c>
      <c r="T413" s="435">
        <f>'Supply chain'!M172</f>
        <v>0</v>
      </c>
      <c r="U413" s="435">
        <f>'Supply chain'!N172</f>
        <v>0</v>
      </c>
      <c r="V413" s="435">
        <f>'Supply chain'!O172</f>
        <v>0</v>
      </c>
      <c r="W413" s="435">
        <f>'Supply chain'!P172</f>
        <v>0</v>
      </c>
      <c r="X413" s="435">
        <f>'Supply chain'!Q172</f>
        <v>0</v>
      </c>
      <c r="Y413" s="435">
        <f>'Supply chain'!R172</f>
        <v>0</v>
      </c>
      <c r="Z413" s="435">
        <f>'Supply chain'!S172</f>
        <v>0</v>
      </c>
      <c r="AA413" s="435" t="str">
        <f>'Supply chain'!T172</f>
        <v/>
      </c>
      <c r="AB413" s="435" t="str">
        <f>'Supply chain'!U172</f>
        <v/>
      </c>
      <c r="AC413" s="435">
        <f>'Supply chain'!V172</f>
        <v>0</v>
      </c>
      <c r="AE413" s="432">
        <f t="shared" si="16"/>
        <v>0</v>
      </c>
      <c r="AF413" s="432">
        <f t="shared" si="17"/>
        <v>0</v>
      </c>
    </row>
    <row r="414" spans="2:32" x14ac:dyDescent="0.35">
      <c r="B414" s="432" t="e">
        <f>"2024"&amp;MATCH(Totals!D414,OrgType,0)&amp;"_"&amp;MATCH(Totals!E414,Organisations,0)&amp;"_"&amp;LEFT(Totals!F414,1)&amp;"_"&amp;LEFT(G414,1)&amp;"_"&amp;COUNTIF($G$3:G414,G414)</f>
        <v>#N/A</v>
      </c>
      <c r="C414" s="432">
        <v>2042</v>
      </c>
      <c r="D414" s="432">
        <f>Introduction!$D$7</f>
        <v>0</v>
      </c>
      <c r="E414" s="432">
        <f>Introduction!$D$8</f>
        <v>0</v>
      </c>
      <c r="F414" s="432" t="s">
        <v>558</v>
      </c>
      <c r="G414" s="432" t="s">
        <v>558</v>
      </c>
      <c r="H414" s="433"/>
      <c r="I414" s="435" t="str">
        <f>'Supply chain'!B173</f>
        <v/>
      </c>
      <c r="J414" s="435" t="str">
        <f>'Supply chain'!C173</f>
        <v/>
      </c>
      <c r="K414" s="435">
        <f>'Supply chain'!D173</f>
        <v>0</v>
      </c>
      <c r="L414" s="435" t="str">
        <f>'Supply chain'!E173</f>
        <v>Tier 2</v>
      </c>
      <c r="M414" s="435">
        <f>'Supply chain'!F173</f>
        <v>0</v>
      </c>
      <c r="N414" s="435">
        <f>'Supply chain'!G173</f>
        <v>0</v>
      </c>
      <c r="O414" s="435" t="str">
        <f>'Supply chain'!H173</f>
        <v>£</v>
      </c>
      <c r="P414" s="435">
        <f>'Supply chain'!I173</f>
        <v>0</v>
      </c>
      <c r="Q414" s="435" t="str">
        <f>'Supply chain'!J173</f>
        <v>£</v>
      </c>
      <c r="R414" s="435" t="str">
        <f>'Supply chain'!K173</f>
        <v/>
      </c>
      <c r="S414" s="435">
        <f>'Supply chain'!L173</f>
        <v>0</v>
      </c>
      <c r="T414" s="435">
        <f>'Supply chain'!M173</f>
        <v>0</v>
      </c>
      <c r="U414" s="435">
        <f>'Supply chain'!N173</f>
        <v>0</v>
      </c>
      <c r="V414" s="435">
        <f>'Supply chain'!O173</f>
        <v>0</v>
      </c>
      <c r="W414" s="435">
        <f>'Supply chain'!P173</f>
        <v>0</v>
      </c>
      <c r="X414" s="435">
        <f>'Supply chain'!Q173</f>
        <v>0</v>
      </c>
      <c r="Y414" s="435">
        <f>'Supply chain'!R173</f>
        <v>0</v>
      </c>
      <c r="Z414" s="435">
        <f>'Supply chain'!S173</f>
        <v>0</v>
      </c>
      <c r="AA414" s="435" t="str">
        <f>'Supply chain'!T173</f>
        <v/>
      </c>
      <c r="AB414" s="435" t="str">
        <f>'Supply chain'!U173</f>
        <v/>
      </c>
      <c r="AC414" s="435">
        <f>'Supply chain'!V173</f>
        <v>0</v>
      </c>
      <c r="AE414" s="432">
        <f t="shared" si="16"/>
        <v>0</v>
      </c>
      <c r="AF414" s="432">
        <f t="shared" si="17"/>
        <v>0</v>
      </c>
    </row>
    <row r="415" spans="2:32" x14ac:dyDescent="0.35">
      <c r="B415" s="432" t="e">
        <f>"2024"&amp;MATCH(Totals!D415,OrgType,0)&amp;"_"&amp;MATCH(Totals!E415,Organisations,0)&amp;"_"&amp;LEFT(Totals!F415,1)&amp;"_"&amp;LEFT(G415,1)&amp;"_"&amp;COUNTIF($G$3:G415,G415)</f>
        <v>#N/A</v>
      </c>
      <c r="C415" s="432">
        <v>2043</v>
      </c>
      <c r="D415" s="432">
        <f>Introduction!$D$7</f>
        <v>0</v>
      </c>
      <c r="E415" s="432">
        <f>Introduction!$D$8</f>
        <v>0</v>
      </c>
      <c r="F415" s="432" t="s">
        <v>558</v>
      </c>
      <c r="G415" s="432" t="s">
        <v>558</v>
      </c>
      <c r="H415" s="433"/>
      <c r="I415" s="435" t="str">
        <f>'Supply chain'!B174</f>
        <v/>
      </c>
      <c r="J415" s="435" t="str">
        <f>'Supply chain'!C174</f>
        <v/>
      </c>
      <c r="K415" s="435">
        <f>'Supply chain'!D174</f>
        <v>0</v>
      </c>
      <c r="L415" s="435" t="str">
        <f>'Supply chain'!E174</f>
        <v>Tier 2</v>
      </c>
      <c r="M415" s="435">
        <f>'Supply chain'!F174</f>
        <v>0</v>
      </c>
      <c r="N415" s="435">
        <f>'Supply chain'!G174</f>
        <v>0</v>
      </c>
      <c r="O415" s="435" t="str">
        <f>'Supply chain'!H174</f>
        <v>£</v>
      </c>
      <c r="P415" s="435">
        <f>'Supply chain'!I174</f>
        <v>0</v>
      </c>
      <c r="Q415" s="435" t="str">
        <f>'Supply chain'!J174</f>
        <v>£</v>
      </c>
      <c r="R415" s="435" t="str">
        <f>'Supply chain'!K174</f>
        <v/>
      </c>
      <c r="S415" s="435">
        <f>'Supply chain'!L174</f>
        <v>0</v>
      </c>
      <c r="T415" s="435">
        <f>'Supply chain'!M174</f>
        <v>0</v>
      </c>
      <c r="U415" s="435">
        <f>'Supply chain'!N174</f>
        <v>0</v>
      </c>
      <c r="V415" s="435">
        <f>'Supply chain'!O174</f>
        <v>0</v>
      </c>
      <c r="W415" s="435">
        <f>'Supply chain'!P174</f>
        <v>0</v>
      </c>
      <c r="X415" s="435">
        <f>'Supply chain'!Q174</f>
        <v>0</v>
      </c>
      <c r="Y415" s="435">
        <f>'Supply chain'!R174</f>
        <v>0</v>
      </c>
      <c r="Z415" s="435">
        <f>'Supply chain'!S174</f>
        <v>0</v>
      </c>
      <c r="AA415" s="435" t="str">
        <f>'Supply chain'!T174</f>
        <v/>
      </c>
      <c r="AB415" s="435" t="str">
        <f>'Supply chain'!U174</f>
        <v/>
      </c>
      <c r="AC415" s="435">
        <f>'Supply chain'!V174</f>
        <v>0</v>
      </c>
      <c r="AE415" s="432">
        <f t="shared" si="16"/>
        <v>0</v>
      </c>
      <c r="AF415" s="432">
        <f t="shared" si="17"/>
        <v>0</v>
      </c>
    </row>
    <row r="416" spans="2:32" x14ac:dyDescent="0.35">
      <c r="B416" s="432" t="e">
        <f>"2024"&amp;MATCH(Totals!D416,OrgType,0)&amp;"_"&amp;MATCH(Totals!E416,Organisations,0)&amp;"_"&amp;LEFT(Totals!F416,1)&amp;"_"&amp;LEFT(G416,1)&amp;"_"&amp;COUNTIF($G$3:G416,G416)</f>
        <v>#N/A</v>
      </c>
      <c r="C416" s="432">
        <v>2044</v>
      </c>
      <c r="D416" s="432">
        <f>Introduction!$D$7</f>
        <v>0</v>
      </c>
      <c r="E416" s="432">
        <f>Introduction!$D$8</f>
        <v>0</v>
      </c>
      <c r="F416" s="432" t="s">
        <v>558</v>
      </c>
      <c r="G416" s="432" t="s">
        <v>558</v>
      </c>
      <c r="H416" s="433"/>
      <c r="I416" s="435" t="str">
        <f>'Supply chain'!B175</f>
        <v/>
      </c>
      <c r="J416" s="435" t="str">
        <f>'Supply chain'!C175</f>
        <v/>
      </c>
      <c r="K416" s="435">
        <f>'Supply chain'!D175</f>
        <v>0</v>
      </c>
      <c r="L416" s="435" t="str">
        <f>'Supply chain'!E175</f>
        <v>Tier 2</v>
      </c>
      <c r="M416" s="435">
        <f>'Supply chain'!F175</f>
        <v>0</v>
      </c>
      <c r="N416" s="435">
        <f>'Supply chain'!G175</f>
        <v>0</v>
      </c>
      <c r="O416" s="435" t="str">
        <f>'Supply chain'!H175</f>
        <v>£</v>
      </c>
      <c r="P416" s="435">
        <f>'Supply chain'!I175</f>
        <v>0</v>
      </c>
      <c r="Q416" s="435" t="str">
        <f>'Supply chain'!J175</f>
        <v>£</v>
      </c>
      <c r="R416" s="435" t="str">
        <f>'Supply chain'!K175</f>
        <v/>
      </c>
      <c r="S416" s="435">
        <f>'Supply chain'!L175</f>
        <v>0</v>
      </c>
      <c r="T416" s="435">
        <f>'Supply chain'!M175</f>
        <v>0</v>
      </c>
      <c r="U416" s="435">
        <f>'Supply chain'!N175</f>
        <v>0</v>
      </c>
      <c r="V416" s="435">
        <f>'Supply chain'!O175</f>
        <v>0</v>
      </c>
      <c r="W416" s="435">
        <f>'Supply chain'!P175</f>
        <v>0</v>
      </c>
      <c r="X416" s="435">
        <f>'Supply chain'!Q175</f>
        <v>0</v>
      </c>
      <c r="Y416" s="435">
        <f>'Supply chain'!R175</f>
        <v>0</v>
      </c>
      <c r="Z416" s="435">
        <f>'Supply chain'!S175</f>
        <v>0</v>
      </c>
      <c r="AA416" s="435" t="str">
        <f>'Supply chain'!T175</f>
        <v/>
      </c>
      <c r="AB416" s="435" t="str">
        <f>'Supply chain'!U175</f>
        <v/>
      </c>
      <c r="AC416" s="435">
        <f>'Supply chain'!V175</f>
        <v>0</v>
      </c>
      <c r="AE416" s="432">
        <f t="shared" si="16"/>
        <v>0</v>
      </c>
      <c r="AF416" s="432">
        <f t="shared" si="17"/>
        <v>0</v>
      </c>
    </row>
    <row r="417" spans="2:32" x14ac:dyDescent="0.35">
      <c r="B417" s="432" t="e">
        <f>"2024"&amp;MATCH(Totals!D417,OrgType,0)&amp;"_"&amp;MATCH(Totals!E417,Organisations,0)&amp;"_"&amp;LEFT(Totals!F417,1)&amp;"_"&amp;LEFT(G417,1)&amp;"_"&amp;COUNTIF($G$3:G417,G417)</f>
        <v>#N/A</v>
      </c>
      <c r="C417" s="432">
        <v>2045</v>
      </c>
      <c r="D417" s="432">
        <f>Introduction!$D$7</f>
        <v>0</v>
      </c>
      <c r="E417" s="432">
        <f>Introduction!$D$8</f>
        <v>0</v>
      </c>
      <c r="F417" s="432" t="s">
        <v>558</v>
      </c>
      <c r="G417" s="432" t="s">
        <v>558</v>
      </c>
      <c r="H417" s="433"/>
      <c r="I417" s="435" t="str">
        <f>'Supply chain'!B176</f>
        <v/>
      </c>
      <c r="J417" s="435" t="str">
        <f>'Supply chain'!C176</f>
        <v/>
      </c>
      <c r="K417" s="435">
        <f>'Supply chain'!D176</f>
        <v>0</v>
      </c>
      <c r="L417" s="435" t="str">
        <f>'Supply chain'!E176</f>
        <v>Tier 2</v>
      </c>
      <c r="M417" s="435">
        <f>'Supply chain'!F176</f>
        <v>0</v>
      </c>
      <c r="N417" s="435">
        <f>'Supply chain'!G176</f>
        <v>0</v>
      </c>
      <c r="O417" s="435" t="str">
        <f>'Supply chain'!H176</f>
        <v>£</v>
      </c>
      <c r="P417" s="435">
        <f>'Supply chain'!I176</f>
        <v>0</v>
      </c>
      <c r="Q417" s="435" t="str">
        <f>'Supply chain'!J176</f>
        <v>£</v>
      </c>
      <c r="R417" s="435" t="str">
        <f>'Supply chain'!K176</f>
        <v/>
      </c>
      <c r="S417" s="435">
        <f>'Supply chain'!L176</f>
        <v>0</v>
      </c>
      <c r="T417" s="435">
        <f>'Supply chain'!M176</f>
        <v>0</v>
      </c>
      <c r="U417" s="435">
        <f>'Supply chain'!N176</f>
        <v>0</v>
      </c>
      <c r="V417" s="435">
        <f>'Supply chain'!O176</f>
        <v>0</v>
      </c>
      <c r="W417" s="435">
        <f>'Supply chain'!P176</f>
        <v>0</v>
      </c>
      <c r="X417" s="435">
        <f>'Supply chain'!Q176</f>
        <v>0</v>
      </c>
      <c r="Y417" s="435">
        <f>'Supply chain'!R176</f>
        <v>0</v>
      </c>
      <c r="Z417" s="435">
        <f>'Supply chain'!S176</f>
        <v>0</v>
      </c>
      <c r="AA417" s="435" t="str">
        <f>'Supply chain'!T176</f>
        <v/>
      </c>
      <c r="AB417" s="435" t="str">
        <f>'Supply chain'!U176</f>
        <v/>
      </c>
      <c r="AC417" s="435">
        <f>'Supply chain'!V176</f>
        <v>0</v>
      </c>
      <c r="AE417" s="432">
        <f t="shared" si="16"/>
        <v>0</v>
      </c>
      <c r="AF417" s="432">
        <f t="shared" si="17"/>
        <v>0</v>
      </c>
    </row>
    <row r="418" spans="2:32" x14ac:dyDescent="0.35">
      <c r="B418" s="432" t="e">
        <f>"2024"&amp;MATCH(Totals!D418,OrgType,0)&amp;"_"&amp;MATCH(Totals!E418,Organisations,0)&amp;"_"&amp;LEFT(Totals!F418,1)&amp;"_"&amp;LEFT(G418,1)&amp;"_"&amp;COUNTIF($G$3:G418,G418)</f>
        <v>#N/A</v>
      </c>
      <c r="C418" s="432">
        <v>2046</v>
      </c>
      <c r="D418" s="432">
        <f>Introduction!$D$7</f>
        <v>0</v>
      </c>
      <c r="E418" s="432">
        <f>Introduction!$D$8</f>
        <v>0</v>
      </c>
      <c r="F418" s="432" t="s">
        <v>558</v>
      </c>
      <c r="G418" s="432" t="s">
        <v>558</v>
      </c>
      <c r="H418" s="433"/>
      <c r="I418" s="435" t="str">
        <f>'Supply chain'!B177</f>
        <v/>
      </c>
      <c r="J418" s="435" t="str">
        <f>'Supply chain'!C177</f>
        <v/>
      </c>
      <c r="K418" s="435">
        <f>'Supply chain'!D177</f>
        <v>0</v>
      </c>
      <c r="L418" s="435" t="str">
        <f>'Supply chain'!E177</f>
        <v>Tier 2</v>
      </c>
      <c r="M418" s="435">
        <f>'Supply chain'!F177</f>
        <v>0</v>
      </c>
      <c r="N418" s="435">
        <f>'Supply chain'!G177</f>
        <v>0</v>
      </c>
      <c r="O418" s="435" t="str">
        <f>'Supply chain'!H177</f>
        <v>£</v>
      </c>
      <c r="P418" s="435">
        <f>'Supply chain'!I177</f>
        <v>0</v>
      </c>
      <c r="Q418" s="435" t="str">
        <f>'Supply chain'!J177</f>
        <v>£</v>
      </c>
      <c r="R418" s="435" t="str">
        <f>'Supply chain'!K177</f>
        <v/>
      </c>
      <c r="S418" s="435">
        <f>'Supply chain'!L177</f>
        <v>0</v>
      </c>
      <c r="T418" s="435">
        <f>'Supply chain'!M177</f>
        <v>0</v>
      </c>
      <c r="U418" s="435">
        <f>'Supply chain'!N177</f>
        <v>0</v>
      </c>
      <c r="V418" s="435">
        <f>'Supply chain'!O177</f>
        <v>0</v>
      </c>
      <c r="W418" s="435">
        <f>'Supply chain'!P177</f>
        <v>0</v>
      </c>
      <c r="X418" s="435">
        <f>'Supply chain'!Q177</f>
        <v>0</v>
      </c>
      <c r="Y418" s="435">
        <f>'Supply chain'!R177</f>
        <v>0</v>
      </c>
      <c r="Z418" s="435">
        <f>'Supply chain'!S177</f>
        <v>0</v>
      </c>
      <c r="AA418" s="435" t="str">
        <f>'Supply chain'!T177</f>
        <v/>
      </c>
      <c r="AB418" s="435" t="str">
        <f>'Supply chain'!U177</f>
        <v/>
      </c>
      <c r="AC418" s="435">
        <f>'Supply chain'!V177</f>
        <v>0</v>
      </c>
      <c r="AE418" s="432">
        <f t="shared" si="16"/>
        <v>0</v>
      </c>
      <c r="AF418" s="432">
        <f t="shared" si="17"/>
        <v>0</v>
      </c>
    </row>
    <row r="419" spans="2:32" x14ac:dyDescent="0.35">
      <c r="B419" s="432" t="e">
        <f>"2024"&amp;MATCH(Totals!D419,OrgType,0)&amp;"_"&amp;MATCH(Totals!E419,Organisations,0)&amp;"_"&amp;LEFT(Totals!F419,1)&amp;"_"&amp;LEFT(G419,1)&amp;"_"&amp;COUNTIF($G$3:G419,G419)</f>
        <v>#N/A</v>
      </c>
      <c r="C419" s="432">
        <v>2047</v>
      </c>
      <c r="D419" s="432">
        <f>Introduction!$D$7</f>
        <v>0</v>
      </c>
      <c r="E419" s="432">
        <f>Introduction!$D$8</f>
        <v>0</v>
      </c>
      <c r="F419" s="432" t="s">
        <v>558</v>
      </c>
      <c r="G419" s="432" t="s">
        <v>558</v>
      </c>
      <c r="H419" s="433"/>
      <c r="I419" s="435" t="str">
        <f>'Supply chain'!B178</f>
        <v/>
      </c>
      <c r="J419" s="435" t="str">
        <f>'Supply chain'!C178</f>
        <v/>
      </c>
      <c r="K419" s="435">
        <f>'Supply chain'!D178</f>
        <v>0</v>
      </c>
      <c r="L419" s="435" t="str">
        <f>'Supply chain'!E178</f>
        <v>Tier 2</v>
      </c>
      <c r="M419" s="435">
        <f>'Supply chain'!F178</f>
        <v>0</v>
      </c>
      <c r="N419" s="435">
        <f>'Supply chain'!G178</f>
        <v>0</v>
      </c>
      <c r="O419" s="435" t="str">
        <f>'Supply chain'!H178</f>
        <v>£</v>
      </c>
      <c r="P419" s="435">
        <f>'Supply chain'!I178</f>
        <v>0</v>
      </c>
      <c r="Q419" s="435" t="str">
        <f>'Supply chain'!J178</f>
        <v>£</v>
      </c>
      <c r="R419" s="435" t="str">
        <f>'Supply chain'!K178</f>
        <v/>
      </c>
      <c r="S419" s="435">
        <f>'Supply chain'!L178</f>
        <v>0</v>
      </c>
      <c r="T419" s="435">
        <f>'Supply chain'!M178</f>
        <v>0</v>
      </c>
      <c r="U419" s="435">
        <f>'Supply chain'!N178</f>
        <v>0</v>
      </c>
      <c r="V419" s="435">
        <f>'Supply chain'!O178</f>
        <v>0</v>
      </c>
      <c r="W419" s="435">
        <f>'Supply chain'!P178</f>
        <v>0</v>
      </c>
      <c r="X419" s="435">
        <f>'Supply chain'!Q178</f>
        <v>0</v>
      </c>
      <c r="Y419" s="435">
        <f>'Supply chain'!R178</f>
        <v>0</v>
      </c>
      <c r="Z419" s="435">
        <f>'Supply chain'!S178</f>
        <v>0</v>
      </c>
      <c r="AA419" s="435" t="str">
        <f>'Supply chain'!T178</f>
        <v/>
      </c>
      <c r="AB419" s="435" t="str">
        <f>'Supply chain'!U178</f>
        <v/>
      </c>
      <c r="AC419" s="435">
        <f>'Supply chain'!V178</f>
        <v>0</v>
      </c>
      <c r="AE419" s="432">
        <f t="shared" si="16"/>
        <v>0</v>
      </c>
      <c r="AF419" s="432">
        <f t="shared" si="17"/>
        <v>0</v>
      </c>
    </row>
    <row r="420" spans="2:32" x14ac:dyDescent="0.35">
      <c r="B420" s="432" t="e">
        <f>"2024"&amp;MATCH(Totals!D420,OrgType,0)&amp;"_"&amp;MATCH(Totals!E420,Organisations,0)&amp;"_"&amp;LEFT(Totals!F420,1)&amp;"_"&amp;LEFT(G420,1)&amp;"_"&amp;COUNTIF($G$3:G420,G420)</f>
        <v>#N/A</v>
      </c>
      <c r="C420" s="432">
        <v>2048</v>
      </c>
      <c r="D420" s="432">
        <f>Introduction!$D$7</f>
        <v>0</v>
      </c>
      <c r="E420" s="432">
        <f>Introduction!$D$8</f>
        <v>0</v>
      </c>
      <c r="F420" s="432" t="s">
        <v>558</v>
      </c>
      <c r="G420" s="432" t="s">
        <v>558</v>
      </c>
      <c r="H420" s="433"/>
      <c r="I420" s="435" t="str">
        <f>'Supply chain'!B179</f>
        <v/>
      </c>
      <c r="J420" s="435" t="str">
        <f>'Supply chain'!C179</f>
        <v/>
      </c>
      <c r="K420" s="435">
        <f>'Supply chain'!D179</f>
        <v>0</v>
      </c>
      <c r="L420" s="435" t="str">
        <f>'Supply chain'!E179</f>
        <v>Tier 2</v>
      </c>
      <c r="M420" s="435">
        <f>'Supply chain'!F179</f>
        <v>0</v>
      </c>
      <c r="N420" s="435">
        <f>'Supply chain'!G179</f>
        <v>0</v>
      </c>
      <c r="O420" s="435" t="str">
        <f>'Supply chain'!H179</f>
        <v>£</v>
      </c>
      <c r="P420" s="435">
        <f>'Supply chain'!I179</f>
        <v>0</v>
      </c>
      <c r="Q420" s="435" t="str">
        <f>'Supply chain'!J179</f>
        <v>£</v>
      </c>
      <c r="R420" s="435" t="str">
        <f>'Supply chain'!K179</f>
        <v/>
      </c>
      <c r="S420" s="435">
        <f>'Supply chain'!L179</f>
        <v>0</v>
      </c>
      <c r="T420" s="435">
        <f>'Supply chain'!M179</f>
        <v>0</v>
      </c>
      <c r="U420" s="435">
        <f>'Supply chain'!N179</f>
        <v>0</v>
      </c>
      <c r="V420" s="435">
        <f>'Supply chain'!O179</f>
        <v>0</v>
      </c>
      <c r="W420" s="435">
        <f>'Supply chain'!P179</f>
        <v>0</v>
      </c>
      <c r="X420" s="435">
        <f>'Supply chain'!Q179</f>
        <v>0</v>
      </c>
      <c r="Y420" s="435">
        <f>'Supply chain'!R179</f>
        <v>0</v>
      </c>
      <c r="Z420" s="435">
        <f>'Supply chain'!S179</f>
        <v>0</v>
      </c>
      <c r="AA420" s="435" t="str">
        <f>'Supply chain'!T179</f>
        <v/>
      </c>
      <c r="AB420" s="435" t="str">
        <f>'Supply chain'!U179</f>
        <v/>
      </c>
      <c r="AC420" s="435">
        <f>'Supply chain'!V179</f>
        <v>0</v>
      </c>
      <c r="AE420" s="432">
        <f t="shared" si="16"/>
        <v>0</v>
      </c>
      <c r="AF420" s="432">
        <f t="shared" si="17"/>
        <v>0</v>
      </c>
    </row>
    <row r="421" spans="2:32" x14ac:dyDescent="0.35">
      <c r="B421" s="432" t="e">
        <f>"2024"&amp;MATCH(Totals!D421,OrgType,0)&amp;"_"&amp;MATCH(Totals!E421,Organisations,0)&amp;"_"&amp;LEFT(Totals!F421,1)&amp;"_"&amp;LEFT(G421,1)&amp;"_"&amp;COUNTIF($G$3:G421,G421)</f>
        <v>#N/A</v>
      </c>
      <c r="C421" s="432">
        <v>2049</v>
      </c>
      <c r="D421" s="432">
        <f>Introduction!$D$7</f>
        <v>0</v>
      </c>
      <c r="E421" s="432">
        <f>Introduction!$D$8</f>
        <v>0</v>
      </c>
      <c r="F421" s="432" t="s">
        <v>558</v>
      </c>
      <c r="G421" s="432" t="s">
        <v>558</v>
      </c>
      <c r="H421" s="433"/>
      <c r="I421" s="435" t="str">
        <f>'Supply chain'!B180</f>
        <v/>
      </c>
      <c r="J421" s="435" t="str">
        <f>'Supply chain'!C180</f>
        <v/>
      </c>
      <c r="K421" s="435">
        <f>'Supply chain'!D180</f>
        <v>0</v>
      </c>
      <c r="L421" s="435" t="str">
        <f>'Supply chain'!E180</f>
        <v>Tier 2</v>
      </c>
      <c r="M421" s="435">
        <f>'Supply chain'!F180</f>
        <v>0</v>
      </c>
      <c r="N421" s="435">
        <f>'Supply chain'!G180</f>
        <v>0</v>
      </c>
      <c r="O421" s="435" t="str">
        <f>'Supply chain'!H180</f>
        <v>£</v>
      </c>
      <c r="P421" s="435">
        <f>'Supply chain'!I180</f>
        <v>0</v>
      </c>
      <c r="Q421" s="435" t="str">
        <f>'Supply chain'!J180</f>
        <v>£</v>
      </c>
      <c r="R421" s="435" t="str">
        <f>'Supply chain'!K180</f>
        <v/>
      </c>
      <c r="S421" s="435">
        <f>'Supply chain'!L180</f>
        <v>0</v>
      </c>
      <c r="T421" s="435">
        <f>'Supply chain'!M180</f>
        <v>0</v>
      </c>
      <c r="U421" s="435">
        <f>'Supply chain'!N180</f>
        <v>0</v>
      </c>
      <c r="V421" s="435">
        <f>'Supply chain'!O180</f>
        <v>0</v>
      </c>
      <c r="W421" s="435">
        <f>'Supply chain'!P180</f>
        <v>0</v>
      </c>
      <c r="X421" s="435">
        <f>'Supply chain'!Q180</f>
        <v>0</v>
      </c>
      <c r="Y421" s="435">
        <f>'Supply chain'!R180</f>
        <v>0</v>
      </c>
      <c r="Z421" s="435">
        <f>'Supply chain'!S180</f>
        <v>0</v>
      </c>
      <c r="AA421" s="435" t="str">
        <f>'Supply chain'!T180</f>
        <v/>
      </c>
      <c r="AB421" s="435" t="str">
        <f>'Supply chain'!U180</f>
        <v/>
      </c>
      <c r="AC421" s="435">
        <f>'Supply chain'!V180</f>
        <v>0</v>
      </c>
      <c r="AE421" s="432">
        <f t="shared" si="16"/>
        <v>0</v>
      </c>
      <c r="AF421" s="432">
        <f t="shared" si="17"/>
        <v>0</v>
      </c>
    </row>
    <row r="422" spans="2:32" x14ac:dyDescent="0.35">
      <c r="B422" s="432" t="e">
        <f>"2024"&amp;MATCH(Totals!D422,OrgType,0)&amp;"_"&amp;MATCH(Totals!E422,Organisations,0)&amp;"_"&amp;LEFT(Totals!F422,1)&amp;"_"&amp;LEFT(G422,1)&amp;"_"&amp;COUNTIF($G$3:G422,G422)</f>
        <v>#N/A</v>
      </c>
      <c r="C422" s="432">
        <v>2050</v>
      </c>
      <c r="D422" s="432">
        <f>Introduction!$D$7</f>
        <v>0</v>
      </c>
      <c r="E422" s="432">
        <f>Introduction!$D$8</f>
        <v>0</v>
      </c>
      <c r="F422" s="432" t="s">
        <v>558</v>
      </c>
      <c r="G422" s="432" t="s">
        <v>558</v>
      </c>
      <c r="H422" s="433"/>
      <c r="I422" s="435" t="str">
        <f>'Supply chain'!B181</f>
        <v/>
      </c>
      <c r="J422" s="435" t="str">
        <f>'Supply chain'!C181</f>
        <v/>
      </c>
      <c r="K422" s="435">
        <f>'Supply chain'!D181</f>
        <v>0</v>
      </c>
      <c r="L422" s="435" t="str">
        <f>'Supply chain'!E181</f>
        <v>Tier 2</v>
      </c>
      <c r="M422" s="435">
        <f>'Supply chain'!F181</f>
        <v>0</v>
      </c>
      <c r="N422" s="435">
        <f>'Supply chain'!G181</f>
        <v>0</v>
      </c>
      <c r="O422" s="435" t="str">
        <f>'Supply chain'!H181</f>
        <v>£</v>
      </c>
      <c r="P422" s="435">
        <f>'Supply chain'!I181</f>
        <v>0</v>
      </c>
      <c r="Q422" s="435" t="str">
        <f>'Supply chain'!J181</f>
        <v>£</v>
      </c>
      <c r="R422" s="435" t="str">
        <f>'Supply chain'!K181</f>
        <v/>
      </c>
      <c r="S422" s="435">
        <f>'Supply chain'!L181</f>
        <v>0</v>
      </c>
      <c r="T422" s="435">
        <f>'Supply chain'!M181</f>
        <v>0</v>
      </c>
      <c r="U422" s="435">
        <f>'Supply chain'!N181</f>
        <v>0</v>
      </c>
      <c r="V422" s="435">
        <f>'Supply chain'!O181</f>
        <v>0</v>
      </c>
      <c r="W422" s="435">
        <f>'Supply chain'!P181</f>
        <v>0</v>
      </c>
      <c r="X422" s="435">
        <f>'Supply chain'!Q181</f>
        <v>0</v>
      </c>
      <c r="Y422" s="435">
        <f>'Supply chain'!R181</f>
        <v>0</v>
      </c>
      <c r="Z422" s="435">
        <f>'Supply chain'!S181</f>
        <v>0</v>
      </c>
      <c r="AA422" s="435" t="str">
        <f>'Supply chain'!T181</f>
        <v/>
      </c>
      <c r="AB422" s="435" t="str">
        <f>'Supply chain'!U181</f>
        <v/>
      </c>
      <c r="AC422" s="435">
        <f>'Supply chain'!V181</f>
        <v>0</v>
      </c>
      <c r="AE422" s="432">
        <f t="shared" si="16"/>
        <v>0</v>
      </c>
      <c r="AF422" s="432">
        <f t="shared" si="17"/>
        <v>0</v>
      </c>
    </row>
    <row r="423" spans="2:32" x14ac:dyDescent="0.35">
      <c r="B423" s="432" t="e">
        <f>"2024"&amp;MATCH(Totals!D423,OrgType,0)&amp;"_"&amp;MATCH(Totals!E423,Organisations,0)&amp;"_"&amp;LEFT(Totals!F423,1)&amp;"_"&amp;LEFT(G423,1)&amp;"_"&amp;COUNTIF($G$3:G423,G423)</f>
        <v>#N/A</v>
      </c>
      <c r="C423" s="432">
        <v>2051</v>
      </c>
      <c r="D423" s="432">
        <f>Introduction!$D$7</f>
        <v>0</v>
      </c>
      <c r="E423" s="432">
        <f>Introduction!$D$8</f>
        <v>0</v>
      </c>
      <c r="F423" s="432" t="s">
        <v>558</v>
      </c>
      <c r="G423" s="432" t="s">
        <v>558</v>
      </c>
      <c r="H423" s="433"/>
      <c r="I423" s="435" t="str">
        <f>'Supply chain'!B182</f>
        <v/>
      </c>
      <c r="J423" s="435" t="str">
        <f>'Supply chain'!C182</f>
        <v/>
      </c>
      <c r="K423" s="435">
        <f>'Supply chain'!D182</f>
        <v>0</v>
      </c>
      <c r="L423" s="435" t="str">
        <f>'Supply chain'!E182</f>
        <v>Tier 2</v>
      </c>
      <c r="M423" s="435">
        <f>'Supply chain'!F182</f>
        <v>0</v>
      </c>
      <c r="N423" s="435">
        <f>'Supply chain'!G182</f>
        <v>0</v>
      </c>
      <c r="O423" s="435" t="str">
        <f>'Supply chain'!H182</f>
        <v>£</v>
      </c>
      <c r="P423" s="435">
        <f>'Supply chain'!I182</f>
        <v>0</v>
      </c>
      <c r="Q423" s="435" t="str">
        <f>'Supply chain'!J182</f>
        <v>£</v>
      </c>
      <c r="R423" s="435" t="str">
        <f>'Supply chain'!K182</f>
        <v/>
      </c>
      <c r="S423" s="435">
        <f>'Supply chain'!L182</f>
        <v>0</v>
      </c>
      <c r="T423" s="435">
        <f>'Supply chain'!M182</f>
        <v>0</v>
      </c>
      <c r="U423" s="435">
        <f>'Supply chain'!N182</f>
        <v>0</v>
      </c>
      <c r="V423" s="435">
        <f>'Supply chain'!O182</f>
        <v>0</v>
      </c>
      <c r="W423" s="435">
        <f>'Supply chain'!P182</f>
        <v>0</v>
      </c>
      <c r="X423" s="435">
        <f>'Supply chain'!Q182</f>
        <v>0</v>
      </c>
      <c r="Y423" s="435">
        <f>'Supply chain'!R182</f>
        <v>0</v>
      </c>
      <c r="Z423" s="435">
        <f>'Supply chain'!S182</f>
        <v>0</v>
      </c>
      <c r="AA423" s="435" t="str">
        <f>'Supply chain'!T182</f>
        <v/>
      </c>
      <c r="AB423" s="435" t="str">
        <f>'Supply chain'!U182</f>
        <v/>
      </c>
      <c r="AC423" s="435">
        <f>'Supply chain'!V182</f>
        <v>0</v>
      </c>
      <c r="AE423" s="432">
        <f t="shared" si="16"/>
        <v>0</v>
      </c>
      <c r="AF423" s="432">
        <f t="shared" si="17"/>
        <v>0</v>
      </c>
    </row>
    <row r="424" spans="2:32" x14ac:dyDescent="0.35">
      <c r="B424" s="432" t="e">
        <f>"2024"&amp;MATCH(Totals!D424,OrgType,0)&amp;"_"&amp;MATCH(Totals!E424,Organisations,0)&amp;"_"&amp;LEFT(Totals!F424,1)&amp;"_"&amp;LEFT(G424,1)&amp;"_"&amp;COUNTIF($G$3:G424,G424)</f>
        <v>#N/A</v>
      </c>
      <c r="C424" s="432">
        <v>2052</v>
      </c>
      <c r="D424" s="432">
        <f>Introduction!$D$7</f>
        <v>0</v>
      </c>
      <c r="E424" s="432">
        <f>Introduction!$D$8</f>
        <v>0</v>
      </c>
      <c r="F424" s="432" t="s">
        <v>558</v>
      </c>
      <c r="G424" s="432" t="s">
        <v>558</v>
      </c>
      <c r="H424" s="433"/>
      <c r="I424" s="435" t="str">
        <f>'Supply chain'!B183</f>
        <v/>
      </c>
      <c r="J424" s="435" t="str">
        <f>'Supply chain'!C183</f>
        <v/>
      </c>
      <c r="K424" s="435">
        <f>'Supply chain'!D183</f>
        <v>0</v>
      </c>
      <c r="L424" s="435" t="str">
        <f>'Supply chain'!E183</f>
        <v>Tier 2</v>
      </c>
      <c r="M424" s="435">
        <f>'Supply chain'!F183</f>
        <v>0</v>
      </c>
      <c r="N424" s="435">
        <f>'Supply chain'!G183</f>
        <v>0</v>
      </c>
      <c r="O424" s="435" t="str">
        <f>'Supply chain'!H183</f>
        <v>£</v>
      </c>
      <c r="P424" s="435">
        <f>'Supply chain'!I183</f>
        <v>0</v>
      </c>
      <c r="Q424" s="435" t="str">
        <f>'Supply chain'!J183</f>
        <v>£</v>
      </c>
      <c r="R424" s="435" t="str">
        <f>'Supply chain'!K183</f>
        <v/>
      </c>
      <c r="S424" s="435">
        <f>'Supply chain'!L183</f>
        <v>0</v>
      </c>
      <c r="T424" s="435">
        <f>'Supply chain'!M183</f>
        <v>0</v>
      </c>
      <c r="U424" s="435">
        <f>'Supply chain'!N183</f>
        <v>0</v>
      </c>
      <c r="V424" s="435">
        <f>'Supply chain'!O183</f>
        <v>0</v>
      </c>
      <c r="W424" s="435">
        <f>'Supply chain'!P183</f>
        <v>0</v>
      </c>
      <c r="X424" s="435">
        <f>'Supply chain'!Q183</f>
        <v>0</v>
      </c>
      <c r="Y424" s="435">
        <f>'Supply chain'!R183</f>
        <v>0</v>
      </c>
      <c r="Z424" s="435">
        <f>'Supply chain'!S183</f>
        <v>0</v>
      </c>
      <c r="AA424" s="435" t="str">
        <f>'Supply chain'!T183</f>
        <v/>
      </c>
      <c r="AB424" s="435" t="str">
        <f>'Supply chain'!U183</f>
        <v/>
      </c>
      <c r="AC424" s="435">
        <f>'Supply chain'!V183</f>
        <v>0</v>
      </c>
      <c r="AE424" s="432">
        <f t="shared" si="16"/>
        <v>0</v>
      </c>
      <c r="AF424" s="432">
        <f t="shared" si="17"/>
        <v>0</v>
      </c>
    </row>
    <row r="425" spans="2:32" x14ac:dyDescent="0.35">
      <c r="B425" s="432" t="e">
        <f>"2024"&amp;MATCH(Totals!D425,OrgType,0)&amp;"_"&amp;MATCH(Totals!E425,Organisations,0)&amp;"_"&amp;LEFT(Totals!F425,1)&amp;"_"&amp;LEFT(G425,1)&amp;"_"&amp;COUNTIF($G$3:G425,G425)</f>
        <v>#N/A</v>
      </c>
      <c r="C425" s="432">
        <v>2053</v>
      </c>
      <c r="D425" s="432">
        <f>Introduction!$D$7</f>
        <v>0</v>
      </c>
      <c r="E425" s="432">
        <f>Introduction!$D$8</f>
        <v>0</v>
      </c>
      <c r="F425" s="432" t="s">
        <v>558</v>
      </c>
      <c r="G425" s="432" t="s">
        <v>558</v>
      </c>
      <c r="H425" s="433"/>
      <c r="I425" s="435" t="str">
        <f>'Supply chain'!B184</f>
        <v/>
      </c>
      <c r="J425" s="435" t="str">
        <f>'Supply chain'!C184</f>
        <v/>
      </c>
      <c r="K425" s="435">
        <f>'Supply chain'!D184</f>
        <v>0</v>
      </c>
      <c r="L425" s="435" t="str">
        <f>'Supply chain'!E184</f>
        <v>Tier 2</v>
      </c>
      <c r="M425" s="435">
        <f>'Supply chain'!F184</f>
        <v>0</v>
      </c>
      <c r="N425" s="435">
        <f>'Supply chain'!G184</f>
        <v>0</v>
      </c>
      <c r="O425" s="435" t="str">
        <f>'Supply chain'!H184</f>
        <v>£</v>
      </c>
      <c r="P425" s="435">
        <f>'Supply chain'!I184</f>
        <v>0</v>
      </c>
      <c r="Q425" s="435" t="str">
        <f>'Supply chain'!J184</f>
        <v>£</v>
      </c>
      <c r="R425" s="435" t="str">
        <f>'Supply chain'!K184</f>
        <v/>
      </c>
      <c r="S425" s="435">
        <f>'Supply chain'!L184</f>
        <v>0</v>
      </c>
      <c r="T425" s="435">
        <f>'Supply chain'!M184</f>
        <v>0</v>
      </c>
      <c r="U425" s="435">
        <f>'Supply chain'!N184</f>
        <v>0</v>
      </c>
      <c r="V425" s="435">
        <f>'Supply chain'!O184</f>
        <v>0</v>
      </c>
      <c r="W425" s="435">
        <f>'Supply chain'!P184</f>
        <v>0</v>
      </c>
      <c r="X425" s="435">
        <f>'Supply chain'!Q184</f>
        <v>0</v>
      </c>
      <c r="Y425" s="435">
        <f>'Supply chain'!R184</f>
        <v>0</v>
      </c>
      <c r="Z425" s="435">
        <f>'Supply chain'!S184</f>
        <v>0</v>
      </c>
      <c r="AA425" s="435" t="str">
        <f>'Supply chain'!T184</f>
        <v/>
      </c>
      <c r="AB425" s="435" t="str">
        <f>'Supply chain'!U184</f>
        <v/>
      </c>
      <c r="AC425" s="435">
        <f>'Supply chain'!V184</f>
        <v>0</v>
      </c>
      <c r="AE425" s="432">
        <f t="shared" si="16"/>
        <v>0</v>
      </c>
      <c r="AF425" s="432">
        <f t="shared" si="17"/>
        <v>0</v>
      </c>
    </row>
    <row r="426" spans="2:32" x14ac:dyDescent="0.35">
      <c r="B426" s="432" t="e">
        <f>"2024"&amp;MATCH(Totals!D426,OrgType,0)&amp;"_"&amp;MATCH(Totals!E426,Organisations,0)&amp;"_"&amp;LEFT(Totals!F426,1)&amp;"_"&amp;LEFT(G426,1)&amp;"_"&amp;COUNTIF($G$3:G426,G426)</f>
        <v>#N/A</v>
      </c>
      <c r="C426" s="432">
        <v>2054</v>
      </c>
      <c r="D426" s="432">
        <f>Introduction!$D$7</f>
        <v>0</v>
      </c>
      <c r="E426" s="432">
        <f>Introduction!$D$8</f>
        <v>0</v>
      </c>
      <c r="F426" s="432" t="s">
        <v>558</v>
      </c>
      <c r="G426" s="432" t="s">
        <v>558</v>
      </c>
      <c r="H426" s="433"/>
      <c r="I426" s="435" t="str">
        <f>'Supply chain'!B185</f>
        <v/>
      </c>
      <c r="J426" s="435" t="str">
        <f>'Supply chain'!C185</f>
        <v/>
      </c>
      <c r="K426" s="435">
        <f>'Supply chain'!D185</f>
        <v>0</v>
      </c>
      <c r="L426" s="435" t="str">
        <f>'Supply chain'!E185</f>
        <v>Tier 2</v>
      </c>
      <c r="M426" s="435">
        <f>'Supply chain'!F185</f>
        <v>0</v>
      </c>
      <c r="N426" s="435">
        <f>'Supply chain'!G185</f>
        <v>0</v>
      </c>
      <c r="O426" s="435" t="str">
        <f>'Supply chain'!H185</f>
        <v>£</v>
      </c>
      <c r="P426" s="435">
        <f>'Supply chain'!I185</f>
        <v>0</v>
      </c>
      <c r="Q426" s="435" t="str">
        <f>'Supply chain'!J185</f>
        <v>£</v>
      </c>
      <c r="R426" s="435" t="str">
        <f>'Supply chain'!K185</f>
        <v/>
      </c>
      <c r="S426" s="435">
        <f>'Supply chain'!L185</f>
        <v>0</v>
      </c>
      <c r="T426" s="435">
        <f>'Supply chain'!M185</f>
        <v>0</v>
      </c>
      <c r="U426" s="435">
        <f>'Supply chain'!N185</f>
        <v>0</v>
      </c>
      <c r="V426" s="435">
        <f>'Supply chain'!O185</f>
        <v>0</v>
      </c>
      <c r="W426" s="435">
        <f>'Supply chain'!P185</f>
        <v>0</v>
      </c>
      <c r="X426" s="435">
        <f>'Supply chain'!Q185</f>
        <v>0</v>
      </c>
      <c r="Y426" s="435">
        <f>'Supply chain'!R185</f>
        <v>0</v>
      </c>
      <c r="Z426" s="435">
        <f>'Supply chain'!S185</f>
        <v>0</v>
      </c>
      <c r="AA426" s="435" t="str">
        <f>'Supply chain'!T185</f>
        <v/>
      </c>
      <c r="AB426" s="435" t="str">
        <f>'Supply chain'!U185</f>
        <v/>
      </c>
      <c r="AC426" s="435">
        <f>'Supply chain'!V185</f>
        <v>0</v>
      </c>
      <c r="AE426" s="432">
        <f t="shared" si="16"/>
        <v>0</v>
      </c>
      <c r="AF426" s="432">
        <f t="shared" si="17"/>
        <v>0</v>
      </c>
    </row>
    <row r="427" spans="2:32" x14ac:dyDescent="0.35">
      <c r="B427" s="432" t="e">
        <f>"2024"&amp;MATCH(Totals!D427,OrgType,0)&amp;"_"&amp;MATCH(Totals!E427,Organisations,0)&amp;"_"&amp;LEFT(Totals!F427,1)&amp;"_"&amp;LEFT(G427,1)&amp;"_"&amp;COUNTIF($G$3:G427,G427)</f>
        <v>#N/A</v>
      </c>
      <c r="C427" s="432">
        <v>2055</v>
      </c>
      <c r="D427" s="432">
        <f>Introduction!$D$7</f>
        <v>0</v>
      </c>
      <c r="E427" s="432">
        <f>Introduction!$D$8</f>
        <v>0</v>
      </c>
      <c r="F427" s="432" t="s">
        <v>558</v>
      </c>
      <c r="G427" s="432" t="s">
        <v>558</v>
      </c>
      <c r="H427" s="433"/>
      <c r="I427" s="435" t="str">
        <f>'Supply chain'!B186</f>
        <v/>
      </c>
      <c r="J427" s="435" t="str">
        <f>'Supply chain'!C186</f>
        <v/>
      </c>
      <c r="K427" s="435">
        <f>'Supply chain'!D186</f>
        <v>0</v>
      </c>
      <c r="L427" s="435" t="str">
        <f>'Supply chain'!E186</f>
        <v>Tier 2</v>
      </c>
      <c r="M427" s="435">
        <f>'Supply chain'!F186</f>
        <v>0</v>
      </c>
      <c r="N427" s="435">
        <f>'Supply chain'!G186</f>
        <v>0</v>
      </c>
      <c r="O427" s="435" t="str">
        <f>'Supply chain'!H186</f>
        <v>£</v>
      </c>
      <c r="P427" s="435">
        <f>'Supply chain'!I186</f>
        <v>0</v>
      </c>
      <c r="Q427" s="435" t="str">
        <f>'Supply chain'!J186</f>
        <v>£</v>
      </c>
      <c r="R427" s="435" t="str">
        <f>'Supply chain'!K186</f>
        <v/>
      </c>
      <c r="S427" s="435">
        <f>'Supply chain'!L186</f>
        <v>0</v>
      </c>
      <c r="T427" s="435">
        <f>'Supply chain'!M186</f>
        <v>0</v>
      </c>
      <c r="U427" s="435">
        <f>'Supply chain'!N186</f>
        <v>0</v>
      </c>
      <c r="V427" s="435">
        <f>'Supply chain'!O186</f>
        <v>0</v>
      </c>
      <c r="W427" s="435">
        <f>'Supply chain'!P186</f>
        <v>0</v>
      </c>
      <c r="X427" s="435">
        <f>'Supply chain'!Q186</f>
        <v>0</v>
      </c>
      <c r="Y427" s="435">
        <f>'Supply chain'!R186</f>
        <v>0</v>
      </c>
      <c r="Z427" s="435">
        <f>'Supply chain'!S186</f>
        <v>0</v>
      </c>
      <c r="AA427" s="435" t="str">
        <f>'Supply chain'!T186</f>
        <v/>
      </c>
      <c r="AB427" s="435" t="str">
        <f>'Supply chain'!U186</f>
        <v/>
      </c>
      <c r="AC427" s="435">
        <f>'Supply chain'!V186</f>
        <v>0</v>
      </c>
      <c r="AE427" s="432">
        <f t="shared" si="16"/>
        <v>0</v>
      </c>
      <c r="AF427" s="432">
        <f t="shared" si="17"/>
        <v>0</v>
      </c>
    </row>
    <row r="428" spans="2:32" x14ac:dyDescent="0.35">
      <c r="B428" s="432" t="e">
        <f>"2024"&amp;MATCH(Totals!D428,OrgType,0)&amp;"_"&amp;MATCH(Totals!E428,Organisations,0)&amp;"_"&amp;LEFT(Totals!F428,1)&amp;"_"&amp;LEFT(G428,1)&amp;"_"&amp;COUNTIF($G$3:G428,G428)</f>
        <v>#N/A</v>
      </c>
      <c r="C428" s="432">
        <v>2056</v>
      </c>
      <c r="D428" s="432">
        <f>Introduction!$D$7</f>
        <v>0</v>
      </c>
      <c r="E428" s="432">
        <f>Introduction!$D$8</f>
        <v>0</v>
      </c>
      <c r="F428" s="432" t="s">
        <v>558</v>
      </c>
      <c r="G428" s="432" t="s">
        <v>558</v>
      </c>
      <c r="H428" s="433"/>
      <c r="I428" s="435" t="str">
        <f>'Supply chain'!B187</f>
        <v/>
      </c>
      <c r="J428" s="435" t="str">
        <f>'Supply chain'!C187</f>
        <v/>
      </c>
      <c r="K428" s="435">
        <f>'Supply chain'!D187</f>
        <v>0</v>
      </c>
      <c r="L428" s="435" t="str">
        <f>'Supply chain'!E187</f>
        <v>Tier 2</v>
      </c>
      <c r="M428" s="435">
        <f>'Supply chain'!F187</f>
        <v>0</v>
      </c>
      <c r="N428" s="435">
        <f>'Supply chain'!G187</f>
        <v>0</v>
      </c>
      <c r="O428" s="435" t="str">
        <f>'Supply chain'!H187</f>
        <v>£</v>
      </c>
      <c r="P428" s="435">
        <f>'Supply chain'!I187</f>
        <v>0</v>
      </c>
      <c r="Q428" s="435" t="str">
        <f>'Supply chain'!J187</f>
        <v>£</v>
      </c>
      <c r="R428" s="435" t="str">
        <f>'Supply chain'!K187</f>
        <v/>
      </c>
      <c r="S428" s="435">
        <f>'Supply chain'!L187</f>
        <v>0</v>
      </c>
      <c r="T428" s="435">
        <f>'Supply chain'!M187</f>
        <v>0</v>
      </c>
      <c r="U428" s="435">
        <f>'Supply chain'!N187</f>
        <v>0</v>
      </c>
      <c r="V428" s="435">
        <f>'Supply chain'!O187</f>
        <v>0</v>
      </c>
      <c r="W428" s="435">
        <f>'Supply chain'!P187</f>
        <v>0</v>
      </c>
      <c r="X428" s="435">
        <f>'Supply chain'!Q187</f>
        <v>0</v>
      </c>
      <c r="Y428" s="435">
        <f>'Supply chain'!R187</f>
        <v>0</v>
      </c>
      <c r="Z428" s="435">
        <f>'Supply chain'!S187</f>
        <v>0</v>
      </c>
      <c r="AA428" s="435" t="str">
        <f>'Supply chain'!T187</f>
        <v/>
      </c>
      <c r="AB428" s="435" t="str">
        <f>'Supply chain'!U187</f>
        <v/>
      </c>
      <c r="AC428" s="435">
        <f>'Supply chain'!V187</f>
        <v>0</v>
      </c>
      <c r="AE428" s="432">
        <f t="shared" si="16"/>
        <v>0</v>
      </c>
      <c r="AF428" s="432">
        <f t="shared" si="17"/>
        <v>0</v>
      </c>
    </row>
    <row r="429" spans="2:32" x14ac:dyDescent="0.35">
      <c r="B429" s="432" t="e">
        <f>"2024"&amp;MATCH(Totals!D429,OrgType,0)&amp;"_"&amp;MATCH(Totals!E429,Organisations,0)&amp;"_"&amp;LEFT(Totals!F429,1)&amp;"_"&amp;LEFT(G429,1)&amp;"_"&amp;COUNTIF($G$3:G429,G429)</f>
        <v>#N/A</v>
      </c>
      <c r="C429" s="432">
        <v>2057</v>
      </c>
      <c r="D429" s="432">
        <f>Introduction!$D$7</f>
        <v>0</v>
      </c>
      <c r="E429" s="432">
        <f>Introduction!$D$8</f>
        <v>0</v>
      </c>
      <c r="F429" s="432" t="s">
        <v>558</v>
      </c>
      <c r="G429" s="432" t="s">
        <v>558</v>
      </c>
      <c r="H429" s="433"/>
      <c r="I429" s="435" t="str">
        <f>'Supply chain'!B188</f>
        <v/>
      </c>
      <c r="J429" s="435" t="str">
        <f>'Supply chain'!C188</f>
        <v/>
      </c>
      <c r="K429" s="435">
        <f>'Supply chain'!D188</f>
        <v>0</v>
      </c>
      <c r="L429" s="435" t="str">
        <f>'Supply chain'!E188</f>
        <v>Tier 2</v>
      </c>
      <c r="M429" s="435">
        <f>'Supply chain'!F188</f>
        <v>0</v>
      </c>
      <c r="N429" s="435">
        <f>'Supply chain'!G188</f>
        <v>0</v>
      </c>
      <c r="O429" s="435" t="str">
        <f>'Supply chain'!H188</f>
        <v>£</v>
      </c>
      <c r="P429" s="435">
        <f>'Supply chain'!I188</f>
        <v>0</v>
      </c>
      <c r="Q429" s="435" t="str">
        <f>'Supply chain'!J188</f>
        <v>£</v>
      </c>
      <c r="R429" s="435" t="str">
        <f>'Supply chain'!K188</f>
        <v/>
      </c>
      <c r="S429" s="435">
        <f>'Supply chain'!L188</f>
        <v>0</v>
      </c>
      <c r="T429" s="435">
        <f>'Supply chain'!M188</f>
        <v>0</v>
      </c>
      <c r="U429" s="435">
        <f>'Supply chain'!N188</f>
        <v>0</v>
      </c>
      <c r="V429" s="435">
        <f>'Supply chain'!O188</f>
        <v>0</v>
      </c>
      <c r="W429" s="435">
        <f>'Supply chain'!P188</f>
        <v>0</v>
      </c>
      <c r="X429" s="435">
        <f>'Supply chain'!Q188</f>
        <v>0</v>
      </c>
      <c r="Y429" s="435">
        <f>'Supply chain'!R188</f>
        <v>0</v>
      </c>
      <c r="Z429" s="435">
        <f>'Supply chain'!S188</f>
        <v>0</v>
      </c>
      <c r="AA429" s="435" t="str">
        <f>'Supply chain'!T188</f>
        <v/>
      </c>
      <c r="AB429" s="435" t="str">
        <f>'Supply chain'!U188</f>
        <v/>
      </c>
      <c r="AC429" s="435">
        <f>'Supply chain'!V188</f>
        <v>0</v>
      </c>
      <c r="AE429" s="432">
        <f t="shared" si="16"/>
        <v>0</v>
      </c>
      <c r="AF429" s="432">
        <f t="shared" si="17"/>
        <v>0</v>
      </c>
    </row>
    <row r="430" spans="2:32" x14ac:dyDescent="0.35">
      <c r="B430" s="432" t="e">
        <f>"2024"&amp;MATCH(Totals!D430,OrgType,0)&amp;"_"&amp;MATCH(Totals!E430,Organisations,0)&amp;"_"&amp;LEFT(Totals!F430,1)&amp;"_"&amp;LEFT(G430,1)&amp;"_"&amp;COUNTIF($G$3:G430,G430)</f>
        <v>#N/A</v>
      </c>
      <c r="C430" s="432">
        <v>2058</v>
      </c>
      <c r="D430" s="432">
        <f>Introduction!$D$7</f>
        <v>0</v>
      </c>
      <c r="E430" s="432">
        <f>Introduction!$D$8</f>
        <v>0</v>
      </c>
      <c r="F430" s="432" t="s">
        <v>558</v>
      </c>
      <c r="G430" s="432" t="s">
        <v>558</v>
      </c>
      <c r="H430" s="433"/>
      <c r="I430" s="435" t="str">
        <f>'Supply chain'!B189</f>
        <v/>
      </c>
      <c r="J430" s="435" t="str">
        <f>'Supply chain'!C189</f>
        <v/>
      </c>
      <c r="K430" s="435">
        <f>'Supply chain'!D189</f>
        <v>0</v>
      </c>
      <c r="L430" s="435" t="str">
        <f>'Supply chain'!E189</f>
        <v>Tier 2</v>
      </c>
      <c r="M430" s="435">
        <f>'Supply chain'!F189</f>
        <v>0</v>
      </c>
      <c r="N430" s="435">
        <f>'Supply chain'!G189</f>
        <v>0</v>
      </c>
      <c r="O430" s="435" t="str">
        <f>'Supply chain'!H189</f>
        <v>£</v>
      </c>
      <c r="P430" s="435">
        <f>'Supply chain'!I189</f>
        <v>0</v>
      </c>
      <c r="Q430" s="435" t="str">
        <f>'Supply chain'!J189</f>
        <v>£</v>
      </c>
      <c r="R430" s="435" t="str">
        <f>'Supply chain'!K189</f>
        <v/>
      </c>
      <c r="S430" s="435">
        <f>'Supply chain'!L189</f>
        <v>0</v>
      </c>
      <c r="T430" s="435">
        <f>'Supply chain'!M189</f>
        <v>0</v>
      </c>
      <c r="U430" s="435">
        <f>'Supply chain'!N189</f>
        <v>0</v>
      </c>
      <c r="V430" s="435">
        <f>'Supply chain'!O189</f>
        <v>0</v>
      </c>
      <c r="W430" s="435">
        <f>'Supply chain'!P189</f>
        <v>0</v>
      </c>
      <c r="X430" s="435">
        <f>'Supply chain'!Q189</f>
        <v>0</v>
      </c>
      <c r="Y430" s="435">
        <f>'Supply chain'!R189</f>
        <v>0</v>
      </c>
      <c r="Z430" s="435">
        <f>'Supply chain'!S189</f>
        <v>0</v>
      </c>
      <c r="AA430" s="435" t="str">
        <f>'Supply chain'!T189</f>
        <v/>
      </c>
      <c r="AB430" s="435" t="str">
        <f>'Supply chain'!U189</f>
        <v/>
      </c>
      <c r="AC430" s="435">
        <f>'Supply chain'!V189</f>
        <v>0</v>
      </c>
      <c r="AE430" s="432">
        <f t="shared" si="16"/>
        <v>0</v>
      </c>
      <c r="AF430" s="432">
        <f t="shared" si="17"/>
        <v>0</v>
      </c>
    </row>
    <row r="431" spans="2:32" x14ac:dyDescent="0.35">
      <c r="B431" s="432" t="e">
        <f>"2024"&amp;MATCH(Totals!D431,OrgType,0)&amp;"_"&amp;MATCH(Totals!E431,Organisations,0)&amp;"_"&amp;LEFT(Totals!F431,1)&amp;"_"&amp;LEFT(G431,1)&amp;"_"&amp;COUNTIF($G$3:G431,G431)</f>
        <v>#N/A</v>
      </c>
      <c r="C431" s="432">
        <v>2059</v>
      </c>
      <c r="D431" s="432">
        <f>Introduction!$D$7</f>
        <v>0</v>
      </c>
      <c r="E431" s="432">
        <f>Introduction!$D$8</f>
        <v>0</v>
      </c>
      <c r="F431" s="432" t="s">
        <v>558</v>
      </c>
      <c r="G431" s="432" t="s">
        <v>558</v>
      </c>
      <c r="H431" s="433"/>
      <c r="I431" s="435" t="str">
        <f>'Supply chain'!B190</f>
        <v/>
      </c>
      <c r="J431" s="435" t="str">
        <f>'Supply chain'!C190</f>
        <v/>
      </c>
      <c r="K431" s="435">
        <f>'Supply chain'!D190</f>
        <v>0</v>
      </c>
      <c r="L431" s="435" t="str">
        <f>'Supply chain'!E190</f>
        <v>Tier 2</v>
      </c>
      <c r="M431" s="435">
        <f>'Supply chain'!F190</f>
        <v>0</v>
      </c>
      <c r="N431" s="435">
        <f>'Supply chain'!G190</f>
        <v>0</v>
      </c>
      <c r="O431" s="435" t="str">
        <f>'Supply chain'!H190</f>
        <v>£</v>
      </c>
      <c r="P431" s="435">
        <f>'Supply chain'!I190</f>
        <v>0</v>
      </c>
      <c r="Q431" s="435" t="str">
        <f>'Supply chain'!J190</f>
        <v>£</v>
      </c>
      <c r="R431" s="435" t="str">
        <f>'Supply chain'!K190</f>
        <v/>
      </c>
      <c r="S431" s="435">
        <f>'Supply chain'!L190</f>
        <v>0</v>
      </c>
      <c r="T431" s="435">
        <f>'Supply chain'!M190</f>
        <v>0</v>
      </c>
      <c r="U431" s="435">
        <f>'Supply chain'!N190</f>
        <v>0</v>
      </c>
      <c r="V431" s="435">
        <f>'Supply chain'!O190</f>
        <v>0</v>
      </c>
      <c r="W431" s="435">
        <f>'Supply chain'!P190</f>
        <v>0</v>
      </c>
      <c r="X431" s="435">
        <f>'Supply chain'!Q190</f>
        <v>0</v>
      </c>
      <c r="Y431" s="435">
        <f>'Supply chain'!R190</f>
        <v>0</v>
      </c>
      <c r="Z431" s="435">
        <f>'Supply chain'!S190</f>
        <v>0</v>
      </c>
      <c r="AA431" s="435" t="str">
        <f>'Supply chain'!T190</f>
        <v/>
      </c>
      <c r="AB431" s="435" t="str">
        <f>'Supply chain'!U190</f>
        <v/>
      </c>
      <c r="AC431" s="435">
        <f>'Supply chain'!V190</f>
        <v>0</v>
      </c>
      <c r="AE431" s="432">
        <f t="shared" si="16"/>
        <v>0</v>
      </c>
      <c r="AF431" s="432">
        <f t="shared" si="17"/>
        <v>0</v>
      </c>
    </row>
    <row r="432" spans="2:32" x14ac:dyDescent="0.35">
      <c r="B432" s="432" t="e">
        <f>"2024"&amp;MATCH(Totals!D432,OrgType,0)&amp;"_"&amp;MATCH(Totals!E432,Organisations,0)&amp;"_"&amp;LEFT(Totals!F432,1)&amp;"_"&amp;LEFT(G432,1)&amp;"_"&amp;COUNTIF($G$3:G432,G432)</f>
        <v>#N/A</v>
      </c>
      <c r="C432" s="432">
        <v>2060</v>
      </c>
      <c r="D432" s="432">
        <f>Introduction!$D$7</f>
        <v>0</v>
      </c>
      <c r="E432" s="432">
        <f>Introduction!$D$8</f>
        <v>0</v>
      </c>
      <c r="F432" s="432" t="s">
        <v>558</v>
      </c>
      <c r="G432" s="432" t="s">
        <v>558</v>
      </c>
      <c r="H432" s="433"/>
      <c r="I432" s="435" t="str">
        <f>'Supply chain'!B191</f>
        <v/>
      </c>
      <c r="J432" s="435" t="str">
        <f>'Supply chain'!C191</f>
        <v/>
      </c>
      <c r="K432" s="435">
        <f>'Supply chain'!D191</f>
        <v>0</v>
      </c>
      <c r="L432" s="435" t="str">
        <f>'Supply chain'!E191</f>
        <v>Tier 2</v>
      </c>
      <c r="M432" s="435">
        <f>'Supply chain'!F191</f>
        <v>0</v>
      </c>
      <c r="N432" s="435">
        <f>'Supply chain'!G191</f>
        <v>0</v>
      </c>
      <c r="O432" s="435" t="str">
        <f>'Supply chain'!H191</f>
        <v>£</v>
      </c>
      <c r="P432" s="435">
        <f>'Supply chain'!I191</f>
        <v>0</v>
      </c>
      <c r="Q432" s="435" t="str">
        <f>'Supply chain'!J191</f>
        <v>£</v>
      </c>
      <c r="R432" s="435" t="str">
        <f>'Supply chain'!K191</f>
        <v/>
      </c>
      <c r="S432" s="435">
        <f>'Supply chain'!L191</f>
        <v>0</v>
      </c>
      <c r="T432" s="435">
        <f>'Supply chain'!M191</f>
        <v>0</v>
      </c>
      <c r="U432" s="435">
        <f>'Supply chain'!N191</f>
        <v>0</v>
      </c>
      <c r="V432" s="435">
        <f>'Supply chain'!O191</f>
        <v>0</v>
      </c>
      <c r="W432" s="435">
        <f>'Supply chain'!P191</f>
        <v>0</v>
      </c>
      <c r="X432" s="435">
        <f>'Supply chain'!Q191</f>
        <v>0</v>
      </c>
      <c r="Y432" s="435">
        <f>'Supply chain'!R191</f>
        <v>0</v>
      </c>
      <c r="Z432" s="435">
        <f>'Supply chain'!S191</f>
        <v>0</v>
      </c>
      <c r="AA432" s="435" t="str">
        <f>'Supply chain'!T191</f>
        <v/>
      </c>
      <c r="AB432" s="435" t="str">
        <f>'Supply chain'!U191</f>
        <v/>
      </c>
      <c r="AC432" s="435">
        <f>'Supply chain'!V191</f>
        <v>0</v>
      </c>
      <c r="AE432" s="432">
        <f t="shared" si="16"/>
        <v>0</v>
      </c>
      <c r="AF432" s="432">
        <f t="shared" si="17"/>
        <v>0</v>
      </c>
    </row>
    <row r="433" spans="2:32" x14ac:dyDescent="0.35">
      <c r="B433" s="432" t="e">
        <f>"2024"&amp;MATCH(Totals!D433,OrgType,0)&amp;"_"&amp;MATCH(Totals!E433,Organisations,0)&amp;"_"&amp;LEFT(Totals!F433,1)&amp;"_"&amp;LEFT(G433,1)&amp;"_"&amp;COUNTIF($G$3:G433,G433)</f>
        <v>#N/A</v>
      </c>
      <c r="C433" s="432">
        <v>2061</v>
      </c>
      <c r="D433" s="432">
        <f>Introduction!$D$7</f>
        <v>0</v>
      </c>
      <c r="E433" s="432">
        <f>Introduction!$D$8</f>
        <v>0</v>
      </c>
      <c r="F433" s="432" t="s">
        <v>558</v>
      </c>
      <c r="G433" s="432" t="s">
        <v>558</v>
      </c>
      <c r="H433" s="433"/>
      <c r="I433" s="435" t="str">
        <f>'Supply chain'!B192</f>
        <v/>
      </c>
      <c r="J433" s="435" t="str">
        <f>'Supply chain'!C192</f>
        <v/>
      </c>
      <c r="K433" s="435">
        <f>'Supply chain'!D192</f>
        <v>0</v>
      </c>
      <c r="L433" s="435" t="str">
        <f>'Supply chain'!E192</f>
        <v>Tier 2</v>
      </c>
      <c r="M433" s="435">
        <f>'Supply chain'!F192</f>
        <v>0</v>
      </c>
      <c r="N433" s="435">
        <f>'Supply chain'!G192</f>
        <v>0</v>
      </c>
      <c r="O433" s="435" t="str">
        <f>'Supply chain'!H192</f>
        <v>£</v>
      </c>
      <c r="P433" s="435">
        <f>'Supply chain'!I192</f>
        <v>0</v>
      </c>
      <c r="Q433" s="435" t="str">
        <f>'Supply chain'!J192</f>
        <v>£</v>
      </c>
      <c r="R433" s="435" t="str">
        <f>'Supply chain'!K192</f>
        <v/>
      </c>
      <c r="S433" s="435">
        <f>'Supply chain'!L192</f>
        <v>0</v>
      </c>
      <c r="T433" s="435">
        <f>'Supply chain'!M192</f>
        <v>0</v>
      </c>
      <c r="U433" s="435">
        <f>'Supply chain'!N192</f>
        <v>0</v>
      </c>
      <c r="V433" s="435">
        <f>'Supply chain'!O192</f>
        <v>0</v>
      </c>
      <c r="W433" s="435">
        <f>'Supply chain'!P192</f>
        <v>0</v>
      </c>
      <c r="X433" s="435">
        <f>'Supply chain'!Q192</f>
        <v>0</v>
      </c>
      <c r="Y433" s="435">
        <f>'Supply chain'!R192</f>
        <v>0</v>
      </c>
      <c r="Z433" s="435">
        <f>'Supply chain'!S192</f>
        <v>0</v>
      </c>
      <c r="AA433" s="435" t="str">
        <f>'Supply chain'!T192</f>
        <v/>
      </c>
      <c r="AB433" s="435" t="str">
        <f>'Supply chain'!U192</f>
        <v/>
      </c>
      <c r="AC433" s="435">
        <f>'Supply chain'!V192</f>
        <v>0</v>
      </c>
      <c r="AE433" s="432">
        <f t="shared" si="16"/>
        <v>0</v>
      </c>
      <c r="AF433" s="432">
        <f t="shared" si="17"/>
        <v>0</v>
      </c>
    </row>
    <row r="434" spans="2:32" x14ac:dyDescent="0.35">
      <c r="B434" s="432" t="e">
        <f>"2024"&amp;MATCH(Totals!D434,OrgType,0)&amp;"_"&amp;MATCH(Totals!E434,Organisations,0)&amp;"_"&amp;LEFT(Totals!F434,1)&amp;"_"&amp;LEFT(G434,1)&amp;"_"&amp;COUNTIF($G$3:G434,G434)</f>
        <v>#N/A</v>
      </c>
      <c r="C434" s="432">
        <v>2062</v>
      </c>
      <c r="D434" s="432">
        <f>Introduction!$D$7</f>
        <v>0</v>
      </c>
      <c r="E434" s="432">
        <f>Introduction!$D$8</f>
        <v>0</v>
      </c>
      <c r="F434" s="432" t="s">
        <v>558</v>
      </c>
      <c r="G434" s="432" t="s">
        <v>558</v>
      </c>
      <c r="H434" s="433"/>
      <c r="I434" s="435" t="str">
        <f>'Supply chain'!B193</f>
        <v/>
      </c>
      <c r="J434" s="435" t="str">
        <f>'Supply chain'!C193</f>
        <v/>
      </c>
      <c r="K434" s="435">
        <f>'Supply chain'!D193</f>
        <v>0</v>
      </c>
      <c r="L434" s="435" t="str">
        <f>'Supply chain'!E193</f>
        <v>Tier 2</v>
      </c>
      <c r="M434" s="435">
        <f>'Supply chain'!F193</f>
        <v>0</v>
      </c>
      <c r="N434" s="435">
        <f>'Supply chain'!G193</f>
        <v>0</v>
      </c>
      <c r="O434" s="435" t="str">
        <f>'Supply chain'!H193</f>
        <v>£</v>
      </c>
      <c r="P434" s="435">
        <f>'Supply chain'!I193</f>
        <v>0</v>
      </c>
      <c r="Q434" s="435" t="str">
        <f>'Supply chain'!J193</f>
        <v>£</v>
      </c>
      <c r="R434" s="435" t="str">
        <f>'Supply chain'!K193</f>
        <v/>
      </c>
      <c r="S434" s="435">
        <f>'Supply chain'!L193</f>
        <v>0</v>
      </c>
      <c r="T434" s="435">
        <f>'Supply chain'!M193</f>
        <v>0</v>
      </c>
      <c r="U434" s="435">
        <f>'Supply chain'!N193</f>
        <v>0</v>
      </c>
      <c r="V434" s="435">
        <f>'Supply chain'!O193</f>
        <v>0</v>
      </c>
      <c r="W434" s="435">
        <f>'Supply chain'!P193</f>
        <v>0</v>
      </c>
      <c r="X434" s="435">
        <f>'Supply chain'!Q193</f>
        <v>0</v>
      </c>
      <c r="Y434" s="435">
        <f>'Supply chain'!R193</f>
        <v>0</v>
      </c>
      <c r="Z434" s="435">
        <f>'Supply chain'!S193</f>
        <v>0</v>
      </c>
      <c r="AA434" s="435" t="str">
        <f>'Supply chain'!T193</f>
        <v/>
      </c>
      <c r="AB434" s="435" t="str">
        <f>'Supply chain'!U193</f>
        <v/>
      </c>
      <c r="AC434" s="435">
        <f>'Supply chain'!V193</f>
        <v>0</v>
      </c>
      <c r="AE434" s="432">
        <f t="shared" si="16"/>
        <v>0</v>
      </c>
      <c r="AF434" s="432">
        <f t="shared" si="17"/>
        <v>0</v>
      </c>
    </row>
    <row r="435" spans="2:32" x14ac:dyDescent="0.35">
      <c r="B435" s="432" t="e">
        <f>"2024"&amp;MATCH(Totals!D435,OrgType,0)&amp;"_"&amp;MATCH(Totals!E435,Organisations,0)&amp;"_"&amp;LEFT(Totals!F435,1)&amp;"_"&amp;LEFT(G435,1)&amp;"_"&amp;COUNTIF($G$3:G435,G435)</f>
        <v>#N/A</v>
      </c>
      <c r="C435" s="432">
        <v>2063</v>
      </c>
      <c r="D435" s="432">
        <f>Introduction!$D$7</f>
        <v>0</v>
      </c>
      <c r="E435" s="432">
        <f>Introduction!$D$8</f>
        <v>0</v>
      </c>
      <c r="F435" s="432" t="s">
        <v>558</v>
      </c>
      <c r="G435" s="432" t="s">
        <v>558</v>
      </c>
      <c r="H435" s="433"/>
      <c r="I435" s="435" t="str">
        <f>'Supply chain'!B194</f>
        <v/>
      </c>
      <c r="J435" s="435" t="str">
        <f>'Supply chain'!C194</f>
        <v/>
      </c>
      <c r="K435" s="435">
        <f>'Supply chain'!D194</f>
        <v>0</v>
      </c>
      <c r="L435" s="435" t="str">
        <f>'Supply chain'!E194</f>
        <v>Tier 2</v>
      </c>
      <c r="M435" s="435">
        <f>'Supply chain'!F194</f>
        <v>0</v>
      </c>
      <c r="N435" s="435">
        <f>'Supply chain'!G194</f>
        <v>0</v>
      </c>
      <c r="O435" s="435" t="str">
        <f>'Supply chain'!H194</f>
        <v>£</v>
      </c>
      <c r="P435" s="435">
        <f>'Supply chain'!I194</f>
        <v>0</v>
      </c>
      <c r="Q435" s="435" t="str">
        <f>'Supply chain'!J194</f>
        <v>£</v>
      </c>
      <c r="R435" s="435" t="str">
        <f>'Supply chain'!K194</f>
        <v/>
      </c>
      <c r="S435" s="435">
        <f>'Supply chain'!L194</f>
        <v>0</v>
      </c>
      <c r="T435" s="435">
        <f>'Supply chain'!M194</f>
        <v>0</v>
      </c>
      <c r="U435" s="435">
        <f>'Supply chain'!N194</f>
        <v>0</v>
      </c>
      <c r="V435" s="435">
        <f>'Supply chain'!O194</f>
        <v>0</v>
      </c>
      <c r="W435" s="435">
        <f>'Supply chain'!P194</f>
        <v>0</v>
      </c>
      <c r="X435" s="435">
        <f>'Supply chain'!Q194</f>
        <v>0</v>
      </c>
      <c r="Y435" s="435">
        <f>'Supply chain'!R194</f>
        <v>0</v>
      </c>
      <c r="Z435" s="435">
        <f>'Supply chain'!S194</f>
        <v>0</v>
      </c>
      <c r="AA435" s="435" t="str">
        <f>'Supply chain'!T194</f>
        <v/>
      </c>
      <c r="AB435" s="435" t="str">
        <f>'Supply chain'!U194</f>
        <v/>
      </c>
      <c r="AC435" s="435">
        <f>'Supply chain'!V194</f>
        <v>0</v>
      </c>
      <c r="AE435" s="432">
        <f t="shared" si="16"/>
        <v>0</v>
      </c>
      <c r="AF435" s="432">
        <f t="shared" si="17"/>
        <v>0</v>
      </c>
    </row>
    <row r="436" spans="2:32" x14ac:dyDescent="0.35">
      <c r="B436" s="432" t="e">
        <f>"2024"&amp;MATCH(Totals!D436,OrgType,0)&amp;"_"&amp;MATCH(Totals!E436,Organisations,0)&amp;"_"&amp;LEFT(Totals!F436,1)&amp;"_"&amp;LEFT(G436,1)&amp;"_"&amp;COUNTIF($G$3:G436,G436)</f>
        <v>#N/A</v>
      </c>
      <c r="C436" s="432">
        <v>2064</v>
      </c>
      <c r="D436" s="432">
        <f>Introduction!$D$7</f>
        <v>0</v>
      </c>
      <c r="E436" s="432">
        <f>Introduction!$D$8</f>
        <v>0</v>
      </c>
      <c r="F436" s="432" t="s">
        <v>558</v>
      </c>
      <c r="G436" s="432" t="s">
        <v>558</v>
      </c>
      <c r="H436" s="433"/>
      <c r="I436" s="435" t="str">
        <f>'Supply chain'!B195</f>
        <v/>
      </c>
      <c r="J436" s="435" t="str">
        <f>'Supply chain'!C195</f>
        <v/>
      </c>
      <c r="K436" s="435">
        <f>'Supply chain'!D195</f>
        <v>0</v>
      </c>
      <c r="L436" s="435" t="str">
        <f>'Supply chain'!E195</f>
        <v>Tier 2</v>
      </c>
      <c r="M436" s="435">
        <f>'Supply chain'!F195</f>
        <v>0</v>
      </c>
      <c r="N436" s="435">
        <f>'Supply chain'!G195</f>
        <v>0</v>
      </c>
      <c r="O436" s="435" t="str">
        <f>'Supply chain'!H195</f>
        <v>£</v>
      </c>
      <c r="P436" s="435">
        <f>'Supply chain'!I195</f>
        <v>0</v>
      </c>
      <c r="Q436" s="435" t="str">
        <f>'Supply chain'!J195</f>
        <v>£</v>
      </c>
      <c r="R436" s="435" t="str">
        <f>'Supply chain'!K195</f>
        <v/>
      </c>
      <c r="S436" s="435">
        <f>'Supply chain'!L195</f>
        <v>0</v>
      </c>
      <c r="T436" s="435">
        <f>'Supply chain'!M195</f>
        <v>0</v>
      </c>
      <c r="U436" s="435">
        <f>'Supply chain'!N195</f>
        <v>0</v>
      </c>
      <c r="V436" s="435">
        <f>'Supply chain'!O195</f>
        <v>0</v>
      </c>
      <c r="W436" s="435">
        <f>'Supply chain'!P195</f>
        <v>0</v>
      </c>
      <c r="X436" s="435">
        <f>'Supply chain'!Q195</f>
        <v>0</v>
      </c>
      <c r="Y436" s="435">
        <f>'Supply chain'!R195</f>
        <v>0</v>
      </c>
      <c r="Z436" s="435">
        <f>'Supply chain'!S195</f>
        <v>0</v>
      </c>
      <c r="AA436" s="435" t="str">
        <f>'Supply chain'!T195</f>
        <v/>
      </c>
      <c r="AB436" s="435" t="str">
        <f>'Supply chain'!U195</f>
        <v/>
      </c>
      <c r="AC436" s="435">
        <f>'Supply chain'!V195</f>
        <v>0</v>
      </c>
      <c r="AE436" s="432">
        <f t="shared" si="16"/>
        <v>0</v>
      </c>
      <c r="AF436" s="432">
        <f t="shared" si="17"/>
        <v>0</v>
      </c>
    </row>
    <row r="437" spans="2:32" x14ac:dyDescent="0.35">
      <c r="B437" s="432" t="e">
        <f>"2024"&amp;MATCH(Totals!D437,OrgType,0)&amp;"_"&amp;MATCH(Totals!E437,Organisations,0)&amp;"_"&amp;LEFT(Totals!F437,1)&amp;"_"&amp;LEFT(G437,1)&amp;"_"&amp;COUNTIF($G$3:G437,G437)</f>
        <v>#N/A</v>
      </c>
      <c r="C437" s="432">
        <v>2065</v>
      </c>
      <c r="D437" s="432">
        <f>Introduction!$D$7</f>
        <v>0</v>
      </c>
      <c r="E437" s="432">
        <f>Introduction!$D$8</f>
        <v>0</v>
      </c>
      <c r="F437" s="432" t="s">
        <v>558</v>
      </c>
      <c r="G437" s="432" t="s">
        <v>558</v>
      </c>
      <c r="H437" s="433"/>
      <c r="I437" s="435" t="str">
        <f>'Supply chain'!B196</f>
        <v/>
      </c>
      <c r="J437" s="435" t="str">
        <f>'Supply chain'!C196</f>
        <v/>
      </c>
      <c r="K437" s="435">
        <f>'Supply chain'!D196</f>
        <v>0</v>
      </c>
      <c r="L437" s="435" t="str">
        <f>'Supply chain'!E196</f>
        <v>Tier 2</v>
      </c>
      <c r="M437" s="435">
        <f>'Supply chain'!F196</f>
        <v>0</v>
      </c>
      <c r="N437" s="435">
        <f>'Supply chain'!G196</f>
        <v>0</v>
      </c>
      <c r="O437" s="435" t="str">
        <f>'Supply chain'!H196</f>
        <v>£</v>
      </c>
      <c r="P437" s="435">
        <f>'Supply chain'!I196</f>
        <v>0</v>
      </c>
      <c r="Q437" s="435" t="str">
        <f>'Supply chain'!J196</f>
        <v>£</v>
      </c>
      <c r="R437" s="435" t="str">
        <f>'Supply chain'!K196</f>
        <v/>
      </c>
      <c r="S437" s="435">
        <f>'Supply chain'!L196</f>
        <v>0</v>
      </c>
      <c r="T437" s="435">
        <f>'Supply chain'!M196</f>
        <v>0</v>
      </c>
      <c r="U437" s="435">
        <f>'Supply chain'!N196</f>
        <v>0</v>
      </c>
      <c r="V437" s="435">
        <f>'Supply chain'!O196</f>
        <v>0</v>
      </c>
      <c r="W437" s="435">
        <f>'Supply chain'!P196</f>
        <v>0</v>
      </c>
      <c r="X437" s="435">
        <f>'Supply chain'!Q196</f>
        <v>0</v>
      </c>
      <c r="Y437" s="435">
        <f>'Supply chain'!R196</f>
        <v>0</v>
      </c>
      <c r="Z437" s="435">
        <f>'Supply chain'!S196</f>
        <v>0</v>
      </c>
      <c r="AA437" s="435" t="str">
        <f>'Supply chain'!T196</f>
        <v/>
      </c>
      <c r="AB437" s="435" t="str">
        <f>'Supply chain'!U196</f>
        <v/>
      </c>
      <c r="AC437" s="435">
        <f>'Supply chain'!V196</f>
        <v>0</v>
      </c>
      <c r="AE437" s="432">
        <f t="shared" si="16"/>
        <v>0</v>
      </c>
      <c r="AF437" s="432">
        <f t="shared" si="17"/>
        <v>0</v>
      </c>
    </row>
    <row r="438" spans="2:32" x14ac:dyDescent="0.35">
      <c r="B438" s="432" t="e">
        <f>"2024"&amp;MATCH(Totals!D438,OrgType,0)&amp;"_"&amp;MATCH(Totals!E438,Organisations,0)&amp;"_"&amp;LEFT(Totals!F438,1)&amp;"_"&amp;LEFT(G438,1)&amp;"_"&amp;COUNTIF($G$3:G438,G438)</f>
        <v>#N/A</v>
      </c>
      <c r="C438" s="432">
        <v>2066</v>
      </c>
      <c r="D438" s="432">
        <f>Introduction!$D$7</f>
        <v>0</v>
      </c>
      <c r="E438" s="432">
        <f>Introduction!$D$8</f>
        <v>0</v>
      </c>
      <c r="F438" s="432" t="s">
        <v>558</v>
      </c>
      <c r="G438" s="432" t="s">
        <v>558</v>
      </c>
      <c r="H438" s="433"/>
      <c r="I438" s="435" t="str">
        <f>'Supply chain'!B197</f>
        <v/>
      </c>
      <c r="J438" s="435" t="str">
        <f>'Supply chain'!C197</f>
        <v/>
      </c>
      <c r="K438" s="435">
        <f>'Supply chain'!D197</f>
        <v>0</v>
      </c>
      <c r="L438" s="435" t="str">
        <f>'Supply chain'!E197</f>
        <v>Tier 2</v>
      </c>
      <c r="M438" s="435">
        <f>'Supply chain'!F197</f>
        <v>0</v>
      </c>
      <c r="N438" s="435">
        <f>'Supply chain'!G197</f>
        <v>0</v>
      </c>
      <c r="O438" s="435" t="str">
        <f>'Supply chain'!H197</f>
        <v>£</v>
      </c>
      <c r="P438" s="435">
        <f>'Supply chain'!I197</f>
        <v>0</v>
      </c>
      <c r="Q438" s="435" t="str">
        <f>'Supply chain'!J197</f>
        <v>£</v>
      </c>
      <c r="R438" s="435" t="str">
        <f>'Supply chain'!K197</f>
        <v/>
      </c>
      <c r="S438" s="435">
        <f>'Supply chain'!L197</f>
        <v>0</v>
      </c>
      <c r="T438" s="435">
        <f>'Supply chain'!M197</f>
        <v>0</v>
      </c>
      <c r="U438" s="435">
        <f>'Supply chain'!N197</f>
        <v>0</v>
      </c>
      <c r="V438" s="435">
        <f>'Supply chain'!O197</f>
        <v>0</v>
      </c>
      <c r="W438" s="435">
        <f>'Supply chain'!P197</f>
        <v>0</v>
      </c>
      <c r="X438" s="435">
        <f>'Supply chain'!Q197</f>
        <v>0</v>
      </c>
      <c r="Y438" s="435">
        <f>'Supply chain'!R197</f>
        <v>0</v>
      </c>
      <c r="Z438" s="435">
        <f>'Supply chain'!S197</f>
        <v>0</v>
      </c>
      <c r="AA438" s="435" t="str">
        <f>'Supply chain'!T197</f>
        <v/>
      </c>
      <c r="AB438" s="435" t="str">
        <f>'Supply chain'!U197</f>
        <v/>
      </c>
      <c r="AC438" s="435">
        <f>'Supply chain'!V197</f>
        <v>0</v>
      </c>
      <c r="AE438" s="432">
        <f t="shared" si="16"/>
        <v>0</v>
      </c>
      <c r="AF438" s="432">
        <f t="shared" si="17"/>
        <v>0</v>
      </c>
    </row>
    <row r="439" spans="2:32" x14ac:dyDescent="0.35">
      <c r="B439" s="432" t="e">
        <f>"2024"&amp;MATCH(Totals!D439,OrgType,0)&amp;"_"&amp;MATCH(Totals!E439,Organisations,0)&amp;"_"&amp;LEFT(Totals!F439,1)&amp;"_"&amp;LEFT(G439,1)&amp;"_"&amp;COUNTIF($G$3:G439,G439)</f>
        <v>#N/A</v>
      </c>
      <c r="C439" s="432">
        <v>2067</v>
      </c>
      <c r="D439" s="432">
        <f>Introduction!$D$7</f>
        <v>0</v>
      </c>
      <c r="E439" s="432">
        <f>Introduction!$D$8</f>
        <v>0</v>
      </c>
      <c r="F439" s="432" t="s">
        <v>558</v>
      </c>
      <c r="G439" s="432" t="s">
        <v>558</v>
      </c>
      <c r="H439" s="433"/>
      <c r="I439" s="435" t="str">
        <f>'Supply chain'!B198</f>
        <v/>
      </c>
      <c r="J439" s="435" t="str">
        <f>'Supply chain'!C198</f>
        <v/>
      </c>
      <c r="K439" s="435">
        <f>'Supply chain'!D198</f>
        <v>0</v>
      </c>
      <c r="L439" s="435" t="str">
        <f>'Supply chain'!E198</f>
        <v>Tier 2</v>
      </c>
      <c r="M439" s="435">
        <f>'Supply chain'!F198</f>
        <v>0</v>
      </c>
      <c r="N439" s="435">
        <f>'Supply chain'!G198</f>
        <v>0</v>
      </c>
      <c r="O439" s="435" t="str">
        <f>'Supply chain'!H198</f>
        <v>£</v>
      </c>
      <c r="P439" s="435">
        <f>'Supply chain'!I198</f>
        <v>0</v>
      </c>
      <c r="Q439" s="435" t="str">
        <f>'Supply chain'!J198</f>
        <v>£</v>
      </c>
      <c r="R439" s="435" t="str">
        <f>'Supply chain'!K198</f>
        <v/>
      </c>
      <c r="S439" s="435">
        <f>'Supply chain'!L198</f>
        <v>0</v>
      </c>
      <c r="T439" s="435">
        <f>'Supply chain'!M198</f>
        <v>0</v>
      </c>
      <c r="U439" s="435">
        <f>'Supply chain'!N198</f>
        <v>0</v>
      </c>
      <c r="V439" s="435">
        <f>'Supply chain'!O198</f>
        <v>0</v>
      </c>
      <c r="W439" s="435">
        <f>'Supply chain'!P198</f>
        <v>0</v>
      </c>
      <c r="X439" s="435">
        <f>'Supply chain'!Q198</f>
        <v>0</v>
      </c>
      <c r="Y439" s="435">
        <f>'Supply chain'!R198</f>
        <v>0</v>
      </c>
      <c r="Z439" s="435">
        <f>'Supply chain'!S198</f>
        <v>0</v>
      </c>
      <c r="AA439" s="435" t="str">
        <f>'Supply chain'!T198</f>
        <v/>
      </c>
      <c r="AB439" s="435" t="str">
        <f>'Supply chain'!U198</f>
        <v/>
      </c>
      <c r="AC439" s="435">
        <f>'Supply chain'!V198</f>
        <v>0</v>
      </c>
      <c r="AE439" s="432">
        <f t="shared" si="16"/>
        <v>0</v>
      </c>
      <c r="AF439" s="432">
        <f t="shared" si="17"/>
        <v>0</v>
      </c>
    </row>
    <row r="440" spans="2:32" x14ac:dyDescent="0.35">
      <c r="B440" s="432" t="e">
        <f>"2024"&amp;MATCH(Totals!D440,OrgType,0)&amp;"_"&amp;MATCH(Totals!E440,Organisations,0)&amp;"_"&amp;LEFT(Totals!F440,1)&amp;"_"&amp;LEFT(G440,1)&amp;"_"&amp;COUNTIF($G$3:G440,G440)</f>
        <v>#N/A</v>
      </c>
      <c r="C440" s="432">
        <v>2068</v>
      </c>
      <c r="D440" s="432">
        <f>Introduction!$D$7</f>
        <v>0</v>
      </c>
      <c r="E440" s="432">
        <f>Introduction!$D$8</f>
        <v>0</v>
      </c>
      <c r="F440" s="432" t="s">
        <v>558</v>
      </c>
      <c r="G440" s="432" t="s">
        <v>558</v>
      </c>
      <c r="H440" s="433"/>
      <c r="I440" s="435" t="str">
        <f>'Supply chain'!B199</f>
        <v/>
      </c>
      <c r="J440" s="435" t="str">
        <f>'Supply chain'!C199</f>
        <v/>
      </c>
      <c r="K440" s="435">
        <f>'Supply chain'!D199</f>
        <v>0</v>
      </c>
      <c r="L440" s="435" t="str">
        <f>'Supply chain'!E199</f>
        <v>Tier 2</v>
      </c>
      <c r="M440" s="435">
        <f>'Supply chain'!F199</f>
        <v>0</v>
      </c>
      <c r="N440" s="435">
        <f>'Supply chain'!G199</f>
        <v>0</v>
      </c>
      <c r="O440" s="435" t="str">
        <f>'Supply chain'!H199</f>
        <v>£</v>
      </c>
      <c r="P440" s="435">
        <f>'Supply chain'!I199</f>
        <v>0</v>
      </c>
      <c r="Q440" s="435" t="str">
        <f>'Supply chain'!J199</f>
        <v>£</v>
      </c>
      <c r="R440" s="435" t="str">
        <f>'Supply chain'!K199</f>
        <v/>
      </c>
      <c r="S440" s="435">
        <f>'Supply chain'!L199</f>
        <v>0</v>
      </c>
      <c r="T440" s="435">
        <f>'Supply chain'!M199</f>
        <v>0</v>
      </c>
      <c r="U440" s="435">
        <f>'Supply chain'!N199</f>
        <v>0</v>
      </c>
      <c r="V440" s="435">
        <f>'Supply chain'!O199</f>
        <v>0</v>
      </c>
      <c r="W440" s="435">
        <f>'Supply chain'!P199</f>
        <v>0</v>
      </c>
      <c r="X440" s="435">
        <f>'Supply chain'!Q199</f>
        <v>0</v>
      </c>
      <c r="Y440" s="435">
        <f>'Supply chain'!R199</f>
        <v>0</v>
      </c>
      <c r="Z440" s="435">
        <f>'Supply chain'!S199</f>
        <v>0</v>
      </c>
      <c r="AA440" s="435" t="str">
        <f>'Supply chain'!T199</f>
        <v/>
      </c>
      <c r="AB440" s="435" t="str">
        <f>'Supply chain'!U199</f>
        <v/>
      </c>
      <c r="AC440" s="435">
        <f>'Supply chain'!V199</f>
        <v>0</v>
      </c>
      <c r="AE440" s="432">
        <f t="shared" si="16"/>
        <v>0</v>
      </c>
      <c r="AF440" s="432">
        <f t="shared" si="17"/>
        <v>0</v>
      </c>
    </row>
    <row r="441" spans="2:32" x14ac:dyDescent="0.35">
      <c r="B441" s="432" t="e">
        <f>"2024"&amp;MATCH(Totals!D441,OrgType,0)&amp;"_"&amp;MATCH(Totals!E441,Organisations,0)&amp;"_"&amp;LEFT(Totals!F441,1)&amp;"_"&amp;LEFT(G441,1)&amp;"_"&amp;COUNTIF($G$3:G441,G441)</f>
        <v>#N/A</v>
      </c>
      <c r="C441" s="432">
        <v>2069</v>
      </c>
      <c r="D441" s="432">
        <f>Introduction!$D$7</f>
        <v>0</v>
      </c>
      <c r="E441" s="432">
        <f>Introduction!$D$8</f>
        <v>0</v>
      </c>
      <c r="F441" s="432" t="s">
        <v>558</v>
      </c>
      <c r="G441" s="432" t="s">
        <v>558</v>
      </c>
      <c r="H441" s="433"/>
      <c r="I441" s="435" t="str">
        <f>'Supply chain'!B200</f>
        <v/>
      </c>
      <c r="J441" s="435" t="str">
        <f>'Supply chain'!C200</f>
        <v/>
      </c>
      <c r="K441" s="435">
        <f>'Supply chain'!D200</f>
        <v>0</v>
      </c>
      <c r="L441" s="435" t="str">
        <f>'Supply chain'!E200</f>
        <v>Tier 2</v>
      </c>
      <c r="M441" s="435">
        <f>'Supply chain'!F200</f>
        <v>0</v>
      </c>
      <c r="N441" s="435">
        <f>'Supply chain'!G200</f>
        <v>0</v>
      </c>
      <c r="O441" s="435" t="str">
        <f>'Supply chain'!H200</f>
        <v>£</v>
      </c>
      <c r="P441" s="435">
        <f>'Supply chain'!I200</f>
        <v>0</v>
      </c>
      <c r="Q441" s="435" t="str">
        <f>'Supply chain'!J200</f>
        <v>£</v>
      </c>
      <c r="R441" s="435" t="str">
        <f>'Supply chain'!K200</f>
        <v/>
      </c>
      <c r="S441" s="435">
        <f>'Supply chain'!L200</f>
        <v>0</v>
      </c>
      <c r="T441" s="435">
        <f>'Supply chain'!M200</f>
        <v>0</v>
      </c>
      <c r="U441" s="435">
        <f>'Supply chain'!N200</f>
        <v>0</v>
      </c>
      <c r="V441" s="435">
        <f>'Supply chain'!O200</f>
        <v>0</v>
      </c>
      <c r="W441" s="435">
        <f>'Supply chain'!P200</f>
        <v>0</v>
      </c>
      <c r="X441" s="435">
        <f>'Supply chain'!Q200</f>
        <v>0</v>
      </c>
      <c r="Y441" s="435">
        <f>'Supply chain'!R200</f>
        <v>0</v>
      </c>
      <c r="Z441" s="435">
        <f>'Supply chain'!S200</f>
        <v>0</v>
      </c>
      <c r="AA441" s="435" t="str">
        <f>'Supply chain'!T200</f>
        <v/>
      </c>
      <c r="AB441" s="435" t="str">
        <f>'Supply chain'!U200</f>
        <v/>
      </c>
      <c r="AC441" s="435">
        <f>'Supply chain'!V200</f>
        <v>0</v>
      </c>
      <c r="AE441" s="432">
        <f t="shared" si="16"/>
        <v>0</v>
      </c>
      <c r="AF441" s="432">
        <f t="shared" si="17"/>
        <v>0</v>
      </c>
    </row>
    <row r="442" spans="2:32" x14ac:dyDescent="0.35">
      <c r="B442" s="432" t="e">
        <f>"2024"&amp;MATCH(Totals!D442,OrgType,0)&amp;"_"&amp;MATCH(Totals!E442,Organisations,0)&amp;"_"&amp;LEFT(Totals!F442,1)&amp;"_"&amp;LEFT(G442,1)&amp;"_"&amp;COUNTIF($G$3:G442,G442)</f>
        <v>#N/A</v>
      </c>
      <c r="C442" s="432">
        <v>2070</v>
      </c>
      <c r="D442" s="432">
        <f>Introduction!$D$7</f>
        <v>0</v>
      </c>
      <c r="E442" s="432">
        <f>Introduction!$D$8</f>
        <v>0</v>
      </c>
      <c r="F442" s="432" t="s">
        <v>558</v>
      </c>
      <c r="G442" s="432" t="s">
        <v>558</v>
      </c>
      <c r="H442" s="433"/>
      <c r="I442" s="435" t="str">
        <f>'Supply chain'!B201</f>
        <v/>
      </c>
      <c r="J442" s="435" t="str">
        <f>'Supply chain'!C201</f>
        <v/>
      </c>
      <c r="K442" s="435">
        <f>'Supply chain'!D201</f>
        <v>0</v>
      </c>
      <c r="L442" s="435" t="str">
        <f>'Supply chain'!E201</f>
        <v>Tier 2</v>
      </c>
      <c r="M442" s="435">
        <f>'Supply chain'!F201</f>
        <v>0</v>
      </c>
      <c r="N442" s="435">
        <f>'Supply chain'!G201</f>
        <v>0</v>
      </c>
      <c r="O442" s="435" t="str">
        <f>'Supply chain'!H201</f>
        <v>£</v>
      </c>
      <c r="P442" s="435">
        <f>'Supply chain'!I201</f>
        <v>0</v>
      </c>
      <c r="Q442" s="435" t="str">
        <f>'Supply chain'!J201</f>
        <v>£</v>
      </c>
      <c r="R442" s="435" t="str">
        <f>'Supply chain'!K201</f>
        <v/>
      </c>
      <c r="S442" s="435">
        <f>'Supply chain'!L201</f>
        <v>0</v>
      </c>
      <c r="T442" s="435">
        <f>'Supply chain'!M201</f>
        <v>0</v>
      </c>
      <c r="U442" s="435">
        <f>'Supply chain'!N201</f>
        <v>0</v>
      </c>
      <c r="V442" s="435">
        <f>'Supply chain'!O201</f>
        <v>0</v>
      </c>
      <c r="W442" s="435">
        <f>'Supply chain'!P201</f>
        <v>0</v>
      </c>
      <c r="X442" s="435">
        <f>'Supply chain'!Q201</f>
        <v>0</v>
      </c>
      <c r="Y442" s="435">
        <f>'Supply chain'!R201</f>
        <v>0</v>
      </c>
      <c r="Z442" s="435">
        <f>'Supply chain'!S201</f>
        <v>0</v>
      </c>
      <c r="AA442" s="435" t="str">
        <f>'Supply chain'!T201</f>
        <v/>
      </c>
      <c r="AB442" s="435" t="str">
        <f>'Supply chain'!U201</f>
        <v/>
      </c>
      <c r="AC442" s="435">
        <f>'Supply chain'!V201</f>
        <v>0</v>
      </c>
      <c r="AE442" s="432">
        <f t="shared" si="16"/>
        <v>0</v>
      </c>
      <c r="AF442" s="432">
        <f t="shared" si="17"/>
        <v>0</v>
      </c>
    </row>
    <row r="443" spans="2:32" x14ac:dyDescent="0.35">
      <c r="B443" s="432" t="e">
        <f>"2024"&amp;MATCH(Totals!D443,OrgType,0)&amp;"_"&amp;MATCH(Totals!E443,Organisations,0)&amp;"_"&amp;LEFT(Totals!F443,1)&amp;"_"&amp;LEFT(G443,1)&amp;"_"&amp;COUNTIF($G$3:G443,G443)</f>
        <v>#N/A</v>
      </c>
      <c r="C443" s="432">
        <v>2071</v>
      </c>
      <c r="D443" s="432">
        <f>Introduction!$D$7</f>
        <v>0</v>
      </c>
      <c r="E443" s="432">
        <f>Introduction!$D$8</f>
        <v>0</v>
      </c>
      <c r="F443" s="432" t="s">
        <v>558</v>
      </c>
      <c r="G443" s="432" t="s">
        <v>558</v>
      </c>
      <c r="H443" s="433"/>
      <c r="I443" s="435" t="str">
        <f>'Supply chain'!B202</f>
        <v/>
      </c>
      <c r="J443" s="435" t="str">
        <f>'Supply chain'!C202</f>
        <v/>
      </c>
      <c r="K443" s="435">
        <f>'Supply chain'!D202</f>
        <v>0</v>
      </c>
      <c r="L443" s="435" t="str">
        <f>'Supply chain'!E202</f>
        <v>Tier 2</v>
      </c>
      <c r="M443" s="435">
        <f>'Supply chain'!F202</f>
        <v>0</v>
      </c>
      <c r="N443" s="435">
        <f>'Supply chain'!G202</f>
        <v>0</v>
      </c>
      <c r="O443" s="435" t="str">
        <f>'Supply chain'!H202</f>
        <v>£</v>
      </c>
      <c r="P443" s="435">
        <f>'Supply chain'!I202</f>
        <v>0</v>
      </c>
      <c r="Q443" s="435" t="str">
        <f>'Supply chain'!J202</f>
        <v>£</v>
      </c>
      <c r="R443" s="435" t="str">
        <f>'Supply chain'!K202</f>
        <v/>
      </c>
      <c r="S443" s="435">
        <f>'Supply chain'!L202</f>
        <v>0</v>
      </c>
      <c r="T443" s="435">
        <f>'Supply chain'!M202</f>
        <v>0</v>
      </c>
      <c r="U443" s="435">
        <f>'Supply chain'!N202</f>
        <v>0</v>
      </c>
      <c r="V443" s="435">
        <f>'Supply chain'!O202</f>
        <v>0</v>
      </c>
      <c r="W443" s="435">
        <f>'Supply chain'!P202</f>
        <v>0</v>
      </c>
      <c r="X443" s="435">
        <f>'Supply chain'!Q202</f>
        <v>0</v>
      </c>
      <c r="Y443" s="435">
        <f>'Supply chain'!R202</f>
        <v>0</v>
      </c>
      <c r="Z443" s="435">
        <f>'Supply chain'!S202</f>
        <v>0</v>
      </c>
      <c r="AA443" s="435" t="str">
        <f>'Supply chain'!T202</f>
        <v/>
      </c>
      <c r="AB443" s="435" t="str">
        <f>'Supply chain'!U202</f>
        <v/>
      </c>
      <c r="AC443" s="435">
        <f>'Supply chain'!V202</f>
        <v>0</v>
      </c>
      <c r="AE443" s="432">
        <f t="shared" si="16"/>
        <v>0</v>
      </c>
      <c r="AF443" s="432">
        <f t="shared" si="17"/>
        <v>0</v>
      </c>
    </row>
    <row r="444" spans="2:32" x14ac:dyDescent="0.35">
      <c r="B444" s="432" t="e">
        <f>"2024"&amp;MATCH(Totals!D444,OrgType,0)&amp;"_"&amp;MATCH(Totals!E444,Organisations,0)&amp;"_"&amp;LEFT(Totals!F444,1)&amp;"_"&amp;LEFT(G444,1)&amp;"_"&amp;COUNTIF($G$3:G444,G444)</f>
        <v>#N/A</v>
      </c>
      <c r="C444" s="432">
        <v>2072</v>
      </c>
      <c r="D444" s="432">
        <f>Introduction!$D$7</f>
        <v>0</v>
      </c>
      <c r="E444" s="432">
        <f>Introduction!$D$8</f>
        <v>0</v>
      </c>
      <c r="F444" s="432" t="s">
        <v>558</v>
      </c>
      <c r="G444" s="432" t="s">
        <v>558</v>
      </c>
      <c r="H444" s="433"/>
      <c r="I444" s="435" t="str">
        <f>'Supply chain'!B203</f>
        <v/>
      </c>
      <c r="J444" s="435" t="str">
        <f>'Supply chain'!C203</f>
        <v/>
      </c>
      <c r="K444" s="435">
        <f>'Supply chain'!D203</f>
        <v>0</v>
      </c>
      <c r="L444" s="435" t="str">
        <f>'Supply chain'!E203</f>
        <v>Tier 2</v>
      </c>
      <c r="M444" s="435">
        <f>'Supply chain'!F203</f>
        <v>0</v>
      </c>
      <c r="N444" s="435">
        <f>'Supply chain'!G203</f>
        <v>0</v>
      </c>
      <c r="O444" s="435" t="str">
        <f>'Supply chain'!H203</f>
        <v>£</v>
      </c>
      <c r="P444" s="435">
        <f>'Supply chain'!I203</f>
        <v>0</v>
      </c>
      <c r="Q444" s="435" t="str">
        <f>'Supply chain'!J203</f>
        <v>£</v>
      </c>
      <c r="R444" s="435" t="str">
        <f>'Supply chain'!K203</f>
        <v/>
      </c>
      <c r="S444" s="435">
        <f>'Supply chain'!L203</f>
        <v>0</v>
      </c>
      <c r="T444" s="435">
        <f>'Supply chain'!M203</f>
        <v>0</v>
      </c>
      <c r="U444" s="435">
        <f>'Supply chain'!N203</f>
        <v>0</v>
      </c>
      <c r="V444" s="435">
        <f>'Supply chain'!O203</f>
        <v>0</v>
      </c>
      <c r="W444" s="435">
        <f>'Supply chain'!P203</f>
        <v>0</v>
      </c>
      <c r="X444" s="435">
        <f>'Supply chain'!Q203</f>
        <v>0</v>
      </c>
      <c r="Y444" s="435">
        <f>'Supply chain'!R203</f>
        <v>0</v>
      </c>
      <c r="Z444" s="435">
        <f>'Supply chain'!S203</f>
        <v>0</v>
      </c>
      <c r="AA444" s="435" t="str">
        <f>'Supply chain'!T203</f>
        <v/>
      </c>
      <c r="AB444" s="435" t="str">
        <f>'Supply chain'!U203</f>
        <v/>
      </c>
      <c r="AC444" s="435">
        <f>'Supply chain'!V203</f>
        <v>0</v>
      </c>
      <c r="AE444" s="432">
        <f t="shared" si="16"/>
        <v>0</v>
      </c>
      <c r="AF444" s="432">
        <f t="shared" si="17"/>
        <v>0</v>
      </c>
    </row>
    <row r="445" spans="2:32" x14ac:dyDescent="0.35">
      <c r="B445" s="432" t="e">
        <f>"2024"&amp;MATCH(Totals!D445,OrgType,0)&amp;"_"&amp;MATCH(Totals!E445,Organisations,0)&amp;"_"&amp;LEFT(Totals!F445,1)&amp;"_"&amp;LEFT(G445,1)&amp;"_"&amp;COUNTIF($G$3:G445,G445)</f>
        <v>#N/A</v>
      </c>
      <c r="C445" s="432">
        <v>2073</v>
      </c>
      <c r="D445" s="432">
        <f>Introduction!$D$7</f>
        <v>0</v>
      </c>
      <c r="E445" s="432">
        <f>Introduction!$D$8</f>
        <v>0</v>
      </c>
      <c r="F445" s="432" t="s">
        <v>558</v>
      </c>
      <c r="G445" s="432" t="s">
        <v>558</v>
      </c>
      <c r="H445" s="433"/>
      <c r="I445" s="435" t="str">
        <f>'Supply chain'!B204</f>
        <v/>
      </c>
      <c r="J445" s="435" t="str">
        <f>'Supply chain'!C204</f>
        <v/>
      </c>
      <c r="K445" s="435">
        <f>'Supply chain'!D204</f>
        <v>0</v>
      </c>
      <c r="L445" s="435" t="str">
        <f>'Supply chain'!E204</f>
        <v>Tier 2</v>
      </c>
      <c r="M445" s="435">
        <f>'Supply chain'!F204</f>
        <v>0</v>
      </c>
      <c r="N445" s="435">
        <f>'Supply chain'!G204</f>
        <v>0</v>
      </c>
      <c r="O445" s="435" t="str">
        <f>'Supply chain'!H204</f>
        <v>£</v>
      </c>
      <c r="P445" s="435">
        <f>'Supply chain'!I204</f>
        <v>0</v>
      </c>
      <c r="Q445" s="435" t="str">
        <f>'Supply chain'!J204</f>
        <v>£</v>
      </c>
      <c r="R445" s="435" t="str">
        <f>'Supply chain'!K204</f>
        <v/>
      </c>
      <c r="S445" s="435">
        <f>'Supply chain'!L204</f>
        <v>0</v>
      </c>
      <c r="T445" s="435">
        <f>'Supply chain'!M204</f>
        <v>0</v>
      </c>
      <c r="U445" s="435">
        <f>'Supply chain'!N204</f>
        <v>0</v>
      </c>
      <c r="V445" s="435">
        <f>'Supply chain'!O204</f>
        <v>0</v>
      </c>
      <c r="W445" s="435">
        <f>'Supply chain'!P204</f>
        <v>0</v>
      </c>
      <c r="X445" s="435">
        <f>'Supply chain'!Q204</f>
        <v>0</v>
      </c>
      <c r="Y445" s="435">
        <f>'Supply chain'!R204</f>
        <v>0</v>
      </c>
      <c r="Z445" s="435">
        <f>'Supply chain'!S204</f>
        <v>0</v>
      </c>
      <c r="AA445" s="435" t="str">
        <f>'Supply chain'!T204</f>
        <v/>
      </c>
      <c r="AB445" s="435" t="str">
        <f>'Supply chain'!U204</f>
        <v/>
      </c>
      <c r="AC445" s="435">
        <f>'Supply chain'!V204</f>
        <v>0</v>
      </c>
      <c r="AE445" s="432">
        <f t="shared" si="16"/>
        <v>0</v>
      </c>
      <c r="AF445" s="432">
        <f t="shared" si="17"/>
        <v>0</v>
      </c>
    </row>
    <row r="446" spans="2:32" x14ac:dyDescent="0.35">
      <c r="B446" s="432" t="e">
        <f>"2024"&amp;MATCH(Totals!D446,OrgType,0)&amp;"_"&amp;MATCH(Totals!E446,Organisations,0)&amp;"_"&amp;LEFT(Totals!F446,1)&amp;"_"&amp;LEFT(G446,1)&amp;"_"&amp;COUNTIF($G$3:G446,G446)</f>
        <v>#N/A</v>
      </c>
      <c r="C446" s="432">
        <v>2074</v>
      </c>
      <c r="D446" s="432">
        <f>Introduction!$D$7</f>
        <v>0</v>
      </c>
      <c r="E446" s="432">
        <f>Introduction!$D$8</f>
        <v>0</v>
      </c>
      <c r="F446" s="432" t="s">
        <v>558</v>
      </c>
      <c r="G446" s="432" t="s">
        <v>558</v>
      </c>
      <c r="H446" s="433"/>
      <c r="I446" s="435" t="str">
        <f>'Supply chain'!B205</f>
        <v/>
      </c>
      <c r="J446" s="435" t="str">
        <f>'Supply chain'!C205</f>
        <v/>
      </c>
      <c r="K446" s="435">
        <f>'Supply chain'!D205</f>
        <v>0</v>
      </c>
      <c r="L446" s="435" t="str">
        <f>'Supply chain'!E205</f>
        <v>Tier 2</v>
      </c>
      <c r="M446" s="435">
        <f>'Supply chain'!F205</f>
        <v>0</v>
      </c>
      <c r="N446" s="435">
        <f>'Supply chain'!G205</f>
        <v>0</v>
      </c>
      <c r="O446" s="435" t="str">
        <f>'Supply chain'!H205</f>
        <v>£</v>
      </c>
      <c r="P446" s="435">
        <f>'Supply chain'!I205</f>
        <v>0</v>
      </c>
      <c r="Q446" s="435" t="str">
        <f>'Supply chain'!J205</f>
        <v>£</v>
      </c>
      <c r="R446" s="435" t="str">
        <f>'Supply chain'!K205</f>
        <v/>
      </c>
      <c r="S446" s="435">
        <f>'Supply chain'!L205</f>
        <v>0</v>
      </c>
      <c r="T446" s="435">
        <f>'Supply chain'!M205</f>
        <v>0</v>
      </c>
      <c r="U446" s="435">
        <f>'Supply chain'!N205</f>
        <v>0</v>
      </c>
      <c r="V446" s="435">
        <f>'Supply chain'!O205</f>
        <v>0</v>
      </c>
      <c r="W446" s="435">
        <f>'Supply chain'!P205</f>
        <v>0</v>
      </c>
      <c r="X446" s="435">
        <f>'Supply chain'!Q205</f>
        <v>0</v>
      </c>
      <c r="Y446" s="435">
        <f>'Supply chain'!R205</f>
        <v>0</v>
      </c>
      <c r="Z446" s="435">
        <f>'Supply chain'!S205</f>
        <v>0</v>
      </c>
      <c r="AA446" s="435" t="str">
        <f>'Supply chain'!T205</f>
        <v/>
      </c>
      <c r="AB446" s="435" t="str">
        <f>'Supply chain'!U205</f>
        <v/>
      </c>
      <c r="AC446" s="435">
        <f>'Supply chain'!V205</f>
        <v>0</v>
      </c>
      <c r="AE446" s="432">
        <f t="shared" si="16"/>
        <v>0</v>
      </c>
      <c r="AF446" s="432">
        <f t="shared" si="17"/>
        <v>0</v>
      </c>
    </row>
    <row r="447" spans="2:32" x14ac:dyDescent="0.35">
      <c r="B447" s="432" t="e">
        <f>"2024"&amp;MATCH(Totals!D447,OrgType,0)&amp;"_"&amp;MATCH(Totals!E447,Organisations,0)&amp;"_"&amp;LEFT(Totals!F447,1)&amp;"_"&amp;LEFT(G447,1)&amp;"_"&amp;COUNTIF($G$3:G447,G447)</f>
        <v>#N/A</v>
      </c>
      <c r="C447" s="432">
        <v>2075</v>
      </c>
      <c r="D447" s="432">
        <f>Introduction!$D$7</f>
        <v>0</v>
      </c>
      <c r="E447" s="432">
        <f>Introduction!$D$8</f>
        <v>0</v>
      </c>
      <c r="F447" s="432" t="s">
        <v>558</v>
      </c>
      <c r="G447" s="432" t="s">
        <v>558</v>
      </c>
      <c r="H447" s="433"/>
      <c r="I447" s="435" t="str">
        <f>'Supply chain'!B206</f>
        <v/>
      </c>
      <c r="J447" s="435" t="str">
        <f>'Supply chain'!C206</f>
        <v/>
      </c>
      <c r="K447" s="435">
        <f>'Supply chain'!D206</f>
        <v>0</v>
      </c>
      <c r="L447" s="435" t="str">
        <f>'Supply chain'!E206</f>
        <v>Tier 2</v>
      </c>
      <c r="M447" s="435">
        <f>'Supply chain'!F206</f>
        <v>0</v>
      </c>
      <c r="N447" s="435">
        <f>'Supply chain'!G206</f>
        <v>0</v>
      </c>
      <c r="O447" s="435" t="str">
        <f>'Supply chain'!H206</f>
        <v>£</v>
      </c>
      <c r="P447" s="435">
        <f>'Supply chain'!I206</f>
        <v>0</v>
      </c>
      <c r="Q447" s="435" t="str">
        <f>'Supply chain'!J206</f>
        <v>£</v>
      </c>
      <c r="R447" s="435" t="str">
        <f>'Supply chain'!K206</f>
        <v/>
      </c>
      <c r="S447" s="435">
        <f>'Supply chain'!L206</f>
        <v>0</v>
      </c>
      <c r="T447" s="435">
        <f>'Supply chain'!M206</f>
        <v>0</v>
      </c>
      <c r="U447" s="435">
        <f>'Supply chain'!N206</f>
        <v>0</v>
      </c>
      <c r="V447" s="435">
        <f>'Supply chain'!O206</f>
        <v>0</v>
      </c>
      <c r="W447" s="435">
        <f>'Supply chain'!P206</f>
        <v>0</v>
      </c>
      <c r="X447" s="435">
        <f>'Supply chain'!Q206</f>
        <v>0</v>
      </c>
      <c r="Y447" s="435">
        <f>'Supply chain'!R206</f>
        <v>0</v>
      </c>
      <c r="Z447" s="435">
        <f>'Supply chain'!S206</f>
        <v>0</v>
      </c>
      <c r="AA447" s="435" t="str">
        <f>'Supply chain'!T206</f>
        <v/>
      </c>
      <c r="AB447" s="435" t="str">
        <f>'Supply chain'!U206</f>
        <v/>
      </c>
      <c r="AC447" s="435">
        <f>'Supply chain'!V206</f>
        <v>0</v>
      </c>
      <c r="AE447" s="432">
        <f t="shared" si="16"/>
        <v>0</v>
      </c>
      <c r="AF447" s="432">
        <f t="shared" si="17"/>
        <v>0</v>
      </c>
    </row>
    <row r="448" spans="2:32" x14ac:dyDescent="0.35">
      <c r="B448" s="432" t="e">
        <f>"2024"&amp;MATCH(Totals!D448,OrgType,0)&amp;"_"&amp;MATCH(Totals!E448,Organisations,0)&amp;"_"&amp;LEFT(Totals!F448,1)&amp;"_"&amp;LEFT(G448,1)&amp;"_"&amp;COUNTIF($G$3:G448,G448)</f>
        <v>#N/A</v>
      </c>
      <c r="C448" s="432">
        <v>2076</v>
      </c>
      <c r="D448" s="432">
        <f>Introduction!$D$7</f>
        <v>0</v>
      </c>
      <c r="E448" s="432">
        <f>Introduction!$D$8</f>
        <v>0</v>
      </c>
      <c r="F448" s="432" t="s">
        <v>558</v>
      </c>
      <c r="G448" s="432" t="s">
        <v>558</v>
      </c>
      <c r="H448" s="433"/>
      <c r="I448" s="435" t="str">
        <f>'Supply chain'!B207</f>
        <v/>
      </c>
      <c r="J448" s="435" t="str">
        <f>'Supply chain'!C207</f>
        <v/>
      </c>
      <c r="K448" s="435">
        <f>'Supply chain'!D207</f>
        <v>0</v>
      </c>
      <c r="L448" s="435" t="str">
        <f>'Supply chain'!E207</f>
        <v>Tier 2</v>
      </c>
      <c r="M448" s="435">
        <f>'Supply chain'!F207</f>
        <v>0</v>
      </c>
      <c r="N448" s="435">
        <f>'Supply chain'!G207</f>
        <v>0</v>
      </c>
      <c r="O448" s="435" t="str">
        <f>'Supply chain'!H207</f>
        <v>£</v>
      </c>
      <c r="P448" s="435">
        <f>'Supply chain'!I207</f>
        <v>0</v>
      </c>
      <c r="Q448" s="435" t="str">
        <f>'Supply chain'!J207</f>
        <v>£</v>
      </c>
      <c r="R448" s="435" t="str">
        <f>'Supply chain'!K207</f>
        <v/>
      </c>
      <c r="S448" s="435">
        <f>'Supply chain'!L207</f>
        <v>0</v>
      </c>
      <c r="T448" s="435">
        <f>'Supply chain'!M207</f>
        <v>0</v>
      </c>
      <c r="U448" s="435">
        <f>'Supply chain'!N207</f>
        <v>0</v>
      </c>
      <c r="V448" s="435">
        <f>'Supply chain'!O207</f>
        <v>0</v>
      </c>
      <c r="W448" s="435">
        <f>'Supply chain'!P207</f>
        <v>0</v>
      </c>
      <c r="X448" s="435">
        <f>'Supply chain'!Q207</f>
        <v>0</v>
      </c>
      <c r="Y448" s="435">
        <f>'Supply chain'!R207</f>
        <v>0</v>
      </c>
      <c r="Z448" s="435">
        <f>'Supply chain'!S207</f>
        <v>0</v>
      </c>
      <c r="AA448" s="435" t="str">
        <f>'Supply chain'!T207</f>
        <v/>
      </c>
      <c r="AB448" s="435" t="str">
        <f>'Supply chain'!U207</f>
        <v/>
      </c>
      <c r="AC448" s="435">
        <f>'Supply chain'!V207</f>
        <v>0</v>
      </c>
      <c r="AE448" s="432">
        <f t="shared" si="16"/>
        <v>0</v>
      </c>
      <c r="AF448" s="432">
        <f t="shared" si="17"/>
        <v>0</v>
      </c>
    </row>
    <row r="449" spans="2:32" x14ac:dyDescent="0.35">
      <c r="B449" s="432" t="e">
        <f>"2024"&amp;MATCH(Totals!D449,OrgType,0)&amp;"_"&amp;MATCH(Totals!E449,Organisations,0)&amp;"_"&amp;LEFT(Totals!F449,1)&amp;"_"&amp;LEFT(G449,1)&amp;"_"&amp;COUNTIF($G$3:G449,G449)</f>
        <v>#N/A</v>
      </c>
      <c r="C449" s="432">
        <v>2077</v>
      </c>
      <c r="D449" s="432">
        <f>Introduction!$D$7</f>
        <v>0</v>
      </c>
      <c r="E449" s="432">
        <f>Introduction!$D$8</f>
        <v>0</v>
      </c>
      <c r="F449" s="432" t="s">
        <v>558</v>
      </c>
      <c r="G449" s="432" t="s">
        <v>558</v>
      </c>
      <c r="H449" s="433"/>
      <c r="I449" s="435" t="str">
        <f>'Supply chain'!B208</f>
        <v/>
      </c>
      <c r="J449" s="435" t="str">
        <f>'Supply chain'!C208</f>
        <v/>
      </c>
      <c r="K449" s="435">
        <f>'Supply chain'!D208</f>
        <v>0</v>
      </c>
      <c r="L449" s="435" t="str">
        <f>'Supply chain'!E208</f>
        <v>Tier 2</v>
      </c>
      <c r="M449" s="435">
        <f>'Supply chain'!F208</f>
        <v>0</v>
      </c>
      <c r="N449" s="435">
        <f>'Supply chain'!G208</f>
        <v>0</v>
      </c>
      <c r="O449" s="435" t="str">
        <f>'Supply chain'!H208</f>
        <v>£</v>
      </c>
      <c r="P449" s="435">
        <f>'Supply chain'!I208</f>
        <v>0</v>
      </c>
      <c r="Q449" s="435" t="str">
        <f>'Supply chain'!J208</f>
        <v>£</v>
      </c>
      <c r="R449" s="435" t="str">
        <f>'Supply chain'!K208</f>
        <v/>
      </c>
      <c r="S449" s="435">
        <f>'Supply chain'!L208</f>
        <v>0</v>
      </c>
      <c r="T449" s="435">
        <f>'Supply chain'!M208</f>
        <v>0</v>
      </c>
      <c r="U449" s="435">
        <f>'Supply chain'!N208</f>
        <v>0</v>
      </c>
      <c r="V449" s="435">
        <f>'Supply chain'!O208</f>
        <v>0</v>
      </c>
      <c r="W449" s="435">
        <f>'Supply chain'!P208</f>
        <v>0</v>
      </c>
      <c r="X449" s="435">
        <f>'Supply chain'!Q208</f>
        <v>0</v>
      </c>
      <c r="Y449" s="435">
        <f>'Supply chain'!R208</f>
        <v>0</v>
      </c>
      <c r="Z449" s="435">
        <f>'Supply chain'!S208</f>
        <v>0</v>
      </c>
      <c r="AA449" s="435" t="str">
        <f>'Supply chain'!T208</f>
        <v/>
      </c>
      <c r="AB449" s="435" t="str">
        <f>'Supply chain'!U208</f>
        <v/>
      </c>
      <c r="AC449" s="435">
        <f>'Supply chain'!V208</f>
        <v>0</v>
      </c>
      <c r="AE449" s="432">
        <f t="shared" si="16"/>
        <v>0</v>
      </c>
      <c r="AF449" s="432">
        <f t="shared" si="17"/>
        <v>0</v>
      </c>
    </row>
    <row r="450" spans="2:32" x14ac:dyDescent="0.35">
      <c r="B450" s="432" t="e">
        <f>"2024"&amp;MATCH(Totals!D450,OrgType,0)&amp;"_"&amp;MATCH(Totals!E450,Organisations,0)&amp;"_"&amp;LEFT(Totals!F450,1)&amp;"_"&amp;LEFT(G450,1)&amp;"_"&amp;COUNTIF($G$3:G450,G450)</f>
        <v>#N/A</v>
      </c>
      <c r="C450" s="432">
        <v>2078</v>
      </c>
      <c r="D450" s="432">
        <f>Introduction!$D$7</f>
        <v>0</v>
      </c>
      <c r="E450" s="432">
        <f>Introduction!$D$8</f>
        <v>0</v>
      </c>
      <c r="F450" s="432" t="s">
        <v>558</v>
      </c>
      <c r="G450" s="432" t="s">
        <v>558</v>
      </c>
      <c r="H450" s="433"/>
      <c r="I450" s="435" t="str">
        <f>'Supply chain'!B209</f>
        <v/>
      </c>
      <c r="J450" s="435" t="str">
        <f>'Supply chain'!C209</f>
        <v/>
      </c>
      <c r="K450" s="435">
        <f>'Supply chain'!D209</f>
        <v>0</v>
      </c>
      <c r="L450" s="435" t="str">
        <f>'Supply chain'!E209</f>
        <v>Tier 2</v>
      </c>
      <c r="M450" s="435">
        <f>'Supply chain'!F209</f>
        <v>0</v>
      </c>
      <c r="N450" s="435">
        <f>'Supply chain'!G209</f>
        <v>0</v>
      </c>
      <c r="O450" s="435" t="str">
        <f>'Supply chain'!H209</f>
        <v>£</v>
      </c>
      <c r="P450" s="435">
        <f>'Supply chain'!I209</f>
        <v>0</v>
      </c>
      <c r="Q450" s="435" t="str">
        <f>'Supply chain'!J209</f>
        <v>£</v>
      </c>
      <c r="R450" s="435" t="str">
        <f>'Supply chain'!K209</f>
        <v/>
      </c>
      <c r="S450" s="435">
        <f>'Supply chain'!L209</f>
        <v>0</v>
      </c>
      <c r="T450" s="435">
        <f>'Supply chain'!M209</f>
        <v>0</v>
      </c>
      <c r="U450" s="435">
        <f>'Supply chain'!N209</f>
        <v>0</v>
      </c>
      <c r="V450" s="435">
        <f>'Supply chain'!O209</f>
        <v>0</v>
      </c>
      <c r="W450" s="435">
        <f>'Supply chain'!P209</f>
        <v>0</v>
      </c>
      <c r="X450" s="435">
        <f>'Supply chain'!Q209</f>
        <v>0</v>
      </c>
      <c r="Y450" s="435">
        <f>'Supply chain'!R209</f>
        <v>0</v>
      </c>
      <c r="Z450" s="435">
        <f>'Supply chain'!S209</f>
        <v>0</v>
      </c>
      <c r="AA450" s="435" t="str">
        <f>'Supply chain'!T209</f>
        <v/>
      </c>
      <c r="AB450" s="435" t="str">
        <f>'Supply chain'!U209</f>
        <v/>
      </c>
      <c r="AC450" s="435">
        <f>'Supply chain'!V209</f>
        <v>0</v>
      </c>
      <c r="AE450" s="432">
        <f t="shared" si="16"/>
        <v>0</v>
      </c>
      <c r="AF450" s="432">
        <f t="shared" si="17"/>
        <v>0</v>
      </c>
    </row>
    <row r="451" spans="2:32" x14ac:dyDescent="0.35">
      <c r="B451" s="432" t="e">
        <f>"2024"&amp;MATCH(Totals!D451,OrgType,0)&amp;"_"&amp;MATCH(Totals!E451,Organisations,0)&amp;"_"&amp;LEFT(Totals!F451,1)&amp;"_"&amp;LEFT(G451,1)&amp;"_"&amp;COUNTIF($G$3:G451,G451)</f>
        <v>#N/A</v>
      </c>
      <c r="C451" s="432">
        <v>2079</v>
      </c>
      <c r="D451" s="432">
        <f>Introduction!$D$7</f>
        <v>0</v>
      </c>
      <c r="E451" s="432">
        <f>Introduction!$D$8</f>
        <v>0</v>
      </c>
      <c r="F451" s="432" t="s">
        <v>558</v>
      </c>
      <c r="G451" s="432" t="s">
        <v>558</v>
      </c>
      <c r="H451" s="433"/>
      <c r="I451" s="435" t="str">
        <f>'Supply chain'!B210</f>
        <v/>
      </c>
      <c r="J451" s="435" t="str">
        <f>'Supply chain'!C210</f>
        <v/>
      </c>
      <c r="K451" s="435">
        <f>'Supply chain'!D210</f>
        <v>0</v>
      </c>
      <c r="L451" s="435" t="str">
        <f>'Supply chain'!E210</f>
        <v>Tier 2</v>
      </c>
      <c r="M451" s="435">
        <f>'Supply chain'!F210</f>
        <v>0</v>
      </c>
      <c r="N451" s="435">
        <f>'Supply chain'!G210</f>
        <v>0</v>
      </c>
      <c r="O451" s="435" t="str">
        <f>'Supply chain'!H210</f>
        <v>£</v>
      </c>
      <c r="P451" s="435">
        <f>'Supply chain'!I210</f>
        <v>0</v>
      </c>
      <c r="Q451" s="435" t="str">
        <f>'Supply chain'!J210</f>
        <v>£</v>
      </c>
      <c r="R451" s="435" t="str">
        <f>'Supply chain'!K210</f>
        <v/>
      </c>
      <c r="S451" s="435">
        <f>'Supply chain'!L210</f>
        <v>0</v>
      </c>
      <c r="T451" s="435">
        <f>'Supply chain'!M210</f>
        <v>0</v>
      </c>
      <c r="U451" s="435">
        <f>'Supply chain'!N210</f>
        <v>0</v>
      </c>
      <c r="V451" s="435">
        <f>'Supply chain'!O210</f>
        <v>0</v>
      </c>
      <c r="W451" s="435">
        <f>'Supply chain'!P210</f>
        <v>0</v>
      </c>
      <c r="X451" s="435">
        <f>'Supply chain'!Q210</f>
        <v>0</v>
      </c>
      <c r="Y451" s="435">
        <f>'Supply chain'!R210</f>
        <v>0</v>
      </c>
      <c r="Z451" s="435">
        <f>'Supply chain'!S210</f>
        <v>0</v>
      </c>
      <c r="AA451" s="435" t="str">
        <f>'Supply chain'!T210</f>
        <v/>
      </c>
      <c r="AB451" s="435" t="str">
        <f>'Supply chain'!U210</f>
        <v/>
      </c>
      <c r="AC451" s="435">
        <f>'Supply chain'!V210</f>
        <v>0</v>
      </c>
      <c r="AE451" s="432">
        <f t="shared" si="16"/>
        <v>0</v>
      </c>
      <c r="AF451" s="432">
        <f t="shared" si="17"/>
        <v>0</v>
      </c>
    </row>
    <row r="452" spans="2:32" x14ac:dyDescent="0.35">
      <c r="B452" s="432" t="e">
        <f>"2024"&amp;MATCH(Totals!D452,OrgType,0)&amp;"_"&amp;MATCH(Totals!E452,Organisations,0)&amp;"_"&amp;LEFT(Totals!F452,1)&amp;"_"&amp;LEFT(G452,1)&amp;"_"&amp;COUNTIF($G$3:G452,G452)</f>
        <v>#N/A</v>
      </c>
      <c r="C452" s="432">
        <v>2080</v>
      </c>
      <c r="D452" s="432">
        <f>Introduction!$D$7</f>
        <v>0</v>
      </c>
      <c r="E452" s="432">
        <f>Introduction!$D$8</f>
        <v>0</v>
      </c>
      <c r="F452" s="432" t="s">
        <v>558</v>
      </c>
      <c r="G452" s="432" t="s">
        <v>558</v>
      </c>
      <c r="H452" s="433"/>
      <c r="I452" s="435" t="str">
        <f>'Supply chain'!B211</f>
        <v/>
      </c>
      <c r="J452" s="435" t="str">
        <f>'Supply chain'!C211</f>
        <v/>
      </c>
      <c r="K452" s="435">
        <f>'Supply chain'!D211</f>
        <v>0</v>
      </c>
      <c r="L452" s="435" t="str">
        <f>'Supply chain'!E211</f>
        <v>Tier 2</v>
      </c>
      <c r="M452" s="435">
        <f>'Supply chain'!F211</f>
        <v>0</v>
      </c>
      <c r="N452" s="435">
        <f>'Supply chain'!G211</f>
        <v>0</v>
      </c>
      <c r="O452" s="435" t="str">
        <f>'Supply chain'!H211</f>
        <v>£</v>
      </c>
      <c r="P452" s="435">
        <f>'Supply chain'!I211</f>
        <v>0</v>
      </c>
      <c r="Q452" s="435" t="str">
        <f>'Supply chain'!J211</f>
        <v>£</v>
      </c>
      <c r="R452" s="435" t="str">
        <f>'Supply chain'!K211</f>
        <v/>
      </c>
      <c r="S452" s="435">
        <f>'Supply chain'!L211</f>
        <v>0</v>
      </c>
      <c r="T452" s="435">
        <f>'Supply chain'!M211</f>
        <v>0</v>
      </c>
      <c r="U452" s="435">
        <f>'Supply chain'!N211</f>
        <v>0</v>
      </c>
      <c r="V452" s="435">
        <f>'Supply chain'!O211</f>
        <v>0</v>
      </c>
      <c r="W452" s="435">
        <f>'Supply chain'!P211</f>
        <v>0</v>
      </c>
      <c r="X452" s="435">
        <f>'Supply chain'!Q211</f>
        <v>0</v>
      </c>
      <c r="Y452" s="435">
        <f>'Supply chain'!R211</f>
        <v>0</v>
      </c>
      <c r="Z452" s="435">
        <f>'Supply chain'!S211</f>
        <v>0</v>
      </c>
      <c r="AA452" s="435" t="str">
        <f>'Supply chain'!T211</f>
        <v/>
      </c>
      <c r="AB452" s="435" t="str">
        <f>'Supply chain'!U211</f>
        <v/>
      </c>
      <c r="AC452" s="435">
        <f>'Supply chain'!V211</f>
        <v>0</v>
      </c>
      <c r="AE452" s="432">
        <f t="shared" si="16"/>
        <v>0</v>
      </c>
      <c r="AF452" s="432">
        <f t="shared" si="17"/>
        <v>0</v>
      </c>
    </row>
    <row r="453" spans="2:32" x14ac:dyDescent="0.35">
      <c r="B453" s="432" t="e">
        <f>"2024"&amp;MATCH(Totals!D453,OrgType,0)&amp;"_"&amp;MATCH(Totals!E453,Organisations,0)&amp;"_"&amp;LEFT(Totals!F453,1)&amp;"_"&amp;LEFT(G453,1)&amp;"_"&amp;COUNTIF($G$3:G453,G453)</f>
        <v>#N/A</v>
      </c>
      <c r="C453" s="432">
        <v>2081</v>
      </c>
      <c r="D453" s="432">
        <f>Introduction!$D$7</f>
        <v>0</v>
      </c>
      <c r="E453" s="432">
        <f>Introduction!$D$8</f>
        <v>0</v>
      </c>
      <c r="F453" s="432" t="s">
        <v>558</v>
      </c>
      <c r="G453" s="432" t="s">
        <v>558</v>
      </c>
      <c r="H453" s="433"/>
      <c r="I453" s="435" t="str">
        <f>'Supply chain'!B212</f>
        <v/>
      </c>
      <c r="J453" s="435" t="str">
        <f>'Supply chain'!C212</f>
        <v/>
      </c>
      <c r="K453" s="435">
        <f>'Supply chain'!D212</f>
        <v>0</v>
      </c>
      <c r="L453" s="435" t="str">
        <f>'Supply chain'!E212</f>
        <v>Tier 2</v>
      </c>
      <c r="M453" s="435">
        <f>'Supply chain'!F212</f>
        <v>0</v>
      </c>
      <c r="N453" s="435">
        <f>'Supply chain'!G212</f>
        <v>0</v>
      </c>
      <c r="O453" s="435" t="str">
        <f>'Supply chain'!H212</f>
        <v>£</v>
      </c>
      <c r="P453" s="435">
        <f>'Supply chain'!I212</f>
        <v>0</v>
      </c>
      <c r="Q453" s="435" t="str">
        <f>'Supply chain'!J212</f>
        <v>£</v>
      </c>
      <c r="R453" s="435" t="str">
        <f>'Supply chain'!K212</f>
        <v/>
      </c>
      <c r="S453" s="435">
        <f>'Supply chain'!L212</f>
        <v>0</v>
      </c>
      <c r="T453" s="435">
        <f>'Supply chain'!M212</f>
        <v>0</v>
      </c>
      <c r="U453" s="435">
        <f>'Supply chain'!N212</f>
        <v>0</v>
      </c>
      <c r="V453" s="435">
        <f>'Supply chain'!O212</f>
        <v>0</v>
      </c>
      <c r="W453" s="435">
        <f>'Supply chain'!P212</f>
        <v>0</v>
      </c>
      <c r="X453" s="435">
        <f>'Supply chain'!Q212</f>
        <v>0</v>
      </c>
      <c r="Y453" s="435">
        <f>'Supply chain'!R212</f>
        <v>0</v>
      </c>
      <c r="Z453" s="435">
        <f>'Supply chain'!S212</f>
        <v>0</v>
      </c>
      <c r="AA453" s="435" t="str">
        <f>'Supply chain'!T212</f>
        <v/>
      </c>
      <c r="AB453" s="435" t="str">
        <f>'Supply chain'!U212</f>
        <v/>
      </c>
      <c r="AC453" s="435">
        <f>'Supply chain'!V212</f>
        <v>0</v>
      </c>
      <c r="AE453" s="432">
        <f t="shared" si="16"/>
        <v>0</v>
      </c>
      <c r="AF453" s="432">
        <f t="shared" si="17"/>
        <v>0</v>
      </c>
    </row>
    <row r="454" spans="2:32" x14ac:dyDescent="0.35">
      <c r="B454" s="432" t="e">
        <f>"2024"&amp;MATCH(Totals!D454,OrgType,0)&amp;"_"&amp;MATCH(Totals!E454,Organisations,0)&amp;"_"&amp;LEFT(Totals!F454,1)&amp;"_"&amp;LEFT(G454,1)&amp;"_"&amp;COUNTIF($G$3:G454,G454)</f>
        <v>#N/A</v>
      </c>
      <c r="C454" s="432">
        <v>2082</v>
      </c>
      <c r="D454" s="432">
        <f>Introduction!$D$7</f>
        <v>0</v>
      </c>
      <c r="E454" s="432">
        <f>Introduction!$D$8</f>
        <v>0</v>
      </c>
      <c r="F454" s="432" t="s">
        <v>558</v>
      </c>
      <c r="G454" s="432" t="s">
        <v>558</v>
      </c>
      <c r="H454" s="433"/>
      <c r="I454" s="435" t="str">
        <f>'Supply chain'!B213</f>
        <v/>
      </c>
      <c r="J454" s="435" t="str">
        <f>'Supply chain'!C213</f>
        <v/>
      </c>
      <c r="K454" s="435">
        <f>'Supply chain'!D213</f>
        <v>0</v>
      </c>
      <c r="L454" s="435" t="str">
        <f>'Supply chain'!E213</f>
        <v>Tier 2</v>
      </c>
      <c r="M454" s="435">
        <f>'Supply chain'!F213</f>
        <v>0</v>
      </c>
      <c r="N454" s="435">
        <f>'Supply chain'!G213</f>
        <v>0</v>
      </c>
      <c r="O454" s="435" t="str">
        <f>'Supply chain'!H213</f>
        <v>£</v>
      </c>
      <c r="P454" s="435">
        <f>'Supply chain'!I213</f>
        <v>0</v>
      </c>
      <c r="Q454" s="435" t="str">
        <f>'Supply chain'!J213</f>
        <v>£</v>
      </c>
      <c r="R454" s="435" t="str">
        <f>'Supply chain'!K213</f>
        <v/>
      </c>
      <c r="S454" s="435">
        <f>'Supply chain'!L213</f>
        <v>0</v>
      </c>
      <c r="T454" s="435">
        <f>'Supply chain'!M213</f>
        <v>0</v>
      </c>
      <c r="U454" s="435">
        <f>'Supply chain'!N213</f>
        <v>0</v>
      </c>
      <c r="V454" s="435">
        <f>'Supply chain'!O213</f>
        <v>0</v>
      </c>
      <c r="W454" s="435">
        <f>'Supply chain'!P213</f>
        <v>0</v>
      </c>
      <c r="X454" s="435">
        <f>'Supply chain'!Q213</f>
        <v>0</v>
      </c>
      <c r="Y454" s="435">
        <f>'Supply chain'!R213</f>
        <v>0</v>
      </c>
      <c r="Z454" s="435">
        <f>'Supply chain'!S213</f>
        <v>0</v>
      </c>
      <c r="AA454" s="435" t="str">
        <f>'Supply chain'!T213</f>
        <v/>
      </c>
      <c r="AB454" s="435" t="str">
        <f>'Supply chain'!U213</f>
        <v/>
      </c>
      <c r="AC454" s="435">
        <f>'Supply chain'!V213</f>
        <v>0</v>
      </c>
      <c r="AE454" s="432">
        <f t="shared" si="16"/>
        <v>0</v>
      </c>
      <c r="AF454" s="432">
        <f t="shared" si="17"/>
        <v>0</v>
      </c>
    </row>
    <row r="455" spans="2:32" x14ac:dyDescent="0.35">
      <c r="B455" s="432" t="e">
        <f>"2024"&amp;MATCH(Totals!D455,OrgType,0)&amp;"_"&amp;MATCH(Totals!E455,Organisations,0)&amp;"_"&amp;LEFT(Totals!F455,1)&amp;"_"&amp;LEFT(G455,1)&amp;"_"&amp;COUNTIF($G$3:G455,G455)</f>
        <v>#N/A</v>
      </c>
      <c r="C455" s="432">
        <v>2083</v>
      </c>
      <c r="D455" s="432">
        <f>Introduction!$D$7</f>
        <v>0</v>
      </c>
      <c r="E455" s="432">
        <f>Introduction!$D$8</f>
        <v>0</v>
      </c>
      <c r="F455" s="432" t="s">
        <v>558</v>
      </c>
      <c r="G455" s="432" t="s">
        <v>558</v>
      </c>
      <c r="H455" s="433"/>
      <c r="I455" s="435" t="str">
        <f>'Supply chain'!B214</f>
        <v/>
      </c>
      <c r="J455" s="435" t="str">
        <f>'Supply chain'!C214</f>
        <v/>
      </c>
      <c r="K455" s="435">
        <f>'Supply chain'!D214</f>
        <v>0</v>
      </c>
      <c r="L455" s="435" t="str">
        <f>'Supply chain'!E214</f>
        <v>Tier 2</v>
      </c>
      <c r="M455" s="435">
        <f>'Supply chain'!F214</f>
        <v>0</v>
      </c>
      <c r="N455" s="435">
        <f>'Supply chain'!G214</f>
        <v>0</v>
      </c>
      <c r="O455" s="435" t="str">
        <f>'Supply chain'!H214</f>
        <v>£</v>
      </c>
      <c r="P455" s="435">
        <f>'Supply chain'!I214</f>
        <v>0</v>
      </c>
      <c r="Q455" s="435" t="str">
        <f>'Supply chain'!J214</f>
        <v>£</v>
      </c>
      <c r="R455" s="435" t="str">
        <f>'Supply chain'!K214</f>
        <v/>
      </c>
      <c r="S455" s="435">
        <f>'Supply chain'!L214</f>
        <v>0</v>
      </c>
      <c r="T455" s="435">
        <f>'Supply chain'!M214</f>
        <v>0</v>
      </c>
      <c r="U455" s="435">
        <f>'Supply chain'!N214</f>
        <v>0</v>
      </c>
      <c r="V455" s="435">
        <f>'Supply chain'!O214</f>
        <v>0</v>
      </c>
      <c r="W455" s="435">
        <f>'Supply chain'!P214</f>
        <v>0</v>
      </c>
      <c r="X455" s="435">
        <f>'Supply chain'!Q214</f>
        <v>0</v>
      </c>
      <c r="Y455" s="435">
        <f>'Supply chain'!R214</f>
        <v>0</v>
      </c>
      <c r="Z455" s="435">
        <f>'Supply chain'!S214</f>
        <v>0</v>
      </c>
      <c r="AA455" s="435" t="str">
        <f>'Supply chain'!T214</f>
        <v/>
      </c>
      <c r="AB455" s="435" t="str">
        <f>'Supply chain'!U214</f>
        <v/>
      </c>
      <c r="AC455" s="435">
        <f>'Supply chain'!V214</f>
        <v>0</v>
      </c>
      <c r="AE455" s="432">
        <f t="shared" si="16"/>
        <v>0</v>
      </c>
      <c r="AF455" s="432">
        <f t="shared" si="17"/>
        <v>0</v>
      </c>
    </row>
    <row r="456" spans="2:32" x14ac:dyDescent="0.35">
      <c r="B456" s="432" t="e">
        <f>"2024"&amp;MATCH(Totals!D456,OrgType,0)&amp;"_"&amp;MATCH(Totals!E456,Organisations,0)&amp;"_"&amp;LEFT(Totals!F456,1)&amp;"_"&amp;LEFT(G456,1)&amp;"_"&amp;COUNTIF($G$3:G456,G456)</f>
        <v>#N/A</v>
      </c>
      <c r="C456" s="432">
        <v>2084</v>
      </c>
      <c r="D456" s="432">
        <f>Introduction!$D$7</f>
        <v>0</v>
      </c>
      <c r="E456" s="432">
        <f>Introduction!$D$8</f>
        <v>0</v>
      </c>
      <c r="F456" s="432" t="s">
        <v>558</v>
      </c>
      <c r="G456" s="432" t="s">
        <v>558</v>
      </c>
      <c r="H456" s="433"/>
      <c r="I456" s="435" t="str">
        <f>'Supply chain'!B215</f>
        <v/>
      </c>
      <c r="J456" s="435" t="str">
        <f>'Supply chain'!C215</f>
        <v/>
      </c>
      <c r="K456" s="435">
        <f>'Supply chain'!D215</f>
        <v>0</v>
      </c>
      <c r="L456" s="435" t="str">
        <f>'Supply chain'!E215</f>
        <v>Tier 2</v>
      </c>
      <c r="M456" s="435">
        <f>'Supply chain'!F215</f>
        <v>0</v>
      </c>
      <c r="N456" s="435">
        <f>'Supply chain'!G215</f>
        <v>0</v>
      </c>
      <c r="O456" s="435" t="str">
        <f>'Supply chain'!H215</f>
        <v>£</v>
      </c>
      <c r="P456" s="435">
        <f>'Supply chain'!I215</f>
        <v>0</v>
      </c>
      <c r="Q456" s="435" t="str">
        <f>'Supply chain'!J215</f>
        <v>£</v>
      </c>
      <c r="R456" s="435" t="str">
        <f>'Supply chain'!K215</f>
        <v/>
      </c>
      <c r="S456" s="435">
        <f>'Supply chain'!L215</f>
        <v>0</v>
      </c>
      <c r="T456" s="435">
        <f>'Supply chain'!M215</f>
        <v>0</v>
      </c>
      <c r="U456" s="435">
        <f>'Supply chain'!N215</f>
        <v>0</v>
      </c>
      <c r="V456" s="435">
        <f>'Supply chain'!O215</f>
        <v>0</v>
      </c>
      <c r="W456" s="435">
        <f>'Supply chain'!P215</f>
        <v>0</v>
      </c>
      <c r="X456" s="435">
        <f>'Supply chain'!Q215</f>
        <v>0</v>
      </c>
      <c r="Y456" s="435">
        <f>'Supply chain'!R215</f>
        <v>0</v>
      </c>
      <c r="Z456" s="435">
        <f>'Supply chain'!S215</f>
        <v>0</v>
      </c>
      <c r="AA456" s="435" t="str">
        <f>'Supply chain'!T215</f>
        <v/>
      </c>
      <c r="AB456" s="435" t="str">
        <f>'Supply chain'!U215</f>
        <v/>
      </c>
      <c r="AC456" s="435">
        <f>'Supply chain'!V215</f>
        <v>0</v>
      </c>
      <c r="AE456" s="432">
        <f t="shared" si="16"/>
        <v>0</v>
      </c>
      <c r="AF456" s="432">
        <f t="shared" si="17"/>
        <v>0</v>
      </c>
    </row>
    <row r="457" spans="2:32" x14ac:dyDescent="0.35">
      <c r="B457" s="432" t="e">
        <f>"2024"&amp;MATCH(Totals!D457,OrgType,0)&amp;"_"&amp;MATCH(Totals!E457,Organisations,0)&amp;"_"&amp;LEFT(Totals!F457,1)&amp;"_"&amp;LEFT(G457,1)&amp;"_"&amp;COUNTIF($G$3:G457,G457)</f>
        <v>#N/A</v>
      </c>
      <c r="C457" s="432">
        <v>2085</v>
      </c>
      <c r="D457" s="432">
        <f>Introduction!$D$7</f>
        <v>0</v>
      </c>
      <c r="E457" s="432">
        <f>Introduction!$D$8</f>
        <v>0</v>
      </c>
      <c r="F457" s="432" t="s">
        <v>558</v>
      </c>
      <c r="G457" s="432" t="s">
        <v>558</v>
      </c>
      <c r="H457" s="433"/>
      <c r="I457" s="435" t="str">
        <f>'Supply chain'!B216</f>
        <v/>
      </c>
      <c r="J457" s="435" t="str">
        <f>'Supply chain'!C216</f>
        <v/>
      </c>
      <c r="K457" s="435">
        <f>'Supply chain'!D216</f>
        <v>0</v>
      </c>
      <c r="L457" s="435" t="str">
        <f>'Supply chain'!E216</f>
        <v>Tier 2</v>
      </c>
      <c r="M457" s="435">
        <f>'Supply chain'!F216</f>
        <v>0</v>
      </c>
      <c r="N457" s="435">
        <f>'Supply chain'!G216</f>
        <v>0</v>
      </c>
      <c r="O457" s="435" t="str">
        <f>'Supply chain'!H216</f>
        <v>£</v>
      </c>
      <c r="P457" s="435">
        <f>'Supply chain'!I216</f>
        <v>0</v>
      </c>
      <c r="Q457" s="435" t="str">
        <f>'Supply chain'!J216</f>
        <v>£</v>
      </c>
      <c r="R457" s="435" t="str">
        <f>'Supply chain'!K216</f>
        <v/>
      </c>
      <c r="S457" s="435">
        <f>'Supply chain'!L216</f>
        <v>0</v>
      </c>
      <c r="T457" s="435">
        <f>'Supply chain'!M216</f>
        <v>0</v>
      </c>
      <c r="U457" s="435">
        <f>'Supply chain'!N216</f>
        <v>0</v>
      </c>
      <c r="V457" s="435">
        <f>'Supply chain'!O216</f>
        <v>0</v>
      </c>
      <c r="W457" s="435">
        <f>'Supply chain'!P216</f>
        <v>0</v>
      </c>
      <c r="X457" s="435">
        <f>'Supply chain'!Q216</f>
        <v>0</v>
      </c>
      <c r="Y457" s="435">
        <f>'Supply chain'!R216</f>
        <v>0</v>
      </c>
      <c r="Z457" s="435">
        <f>'Supply chain'!S216</f>
        <v>0</v>
      </c>
      <c r="AA457" s="435" t="str">
        <f>'Supply chain'!T216</f>
        <v/>
      </c>
      <c r="AB457" s="435" t="str">
        <f>'Supply chain'!U216</f>
        <v/>
      </c>
      <c r="AC457" s="435">
        <f>'Supply chain'!V216</f>
        <v>0</v>
      </c>
      <c r="AE457" s="432">
        <f t="shared" si="16"/>
        <v>0</v>
      </c>
      <c r="AF457" s="432">
        <f t="shared" si="17"/>
        <v>0</v>
      </c>
    </row>
    <row r="458" spans="2:32" x14ac:dyDescent="0.35">
      <c r="B458" s="432" t="e">
        <f>"2024"&amp;MATCH(Totals!D458,OrgType,0)&amp;"_"&amp;MATCH(Totals!E458,Organisations,0)&amp;"_"&amp;LEFT(Totals!F458,1)&amp;"_"&amp;LEFT(G458,1)&amp;"_"&amp;COUNTIF($G$3:G458,G458)</f>
        <v>#N/A</v>
      </c>
      <c r="C458" s="432">
        <v>2086</v>
      </c>
      <c r="D458" s="432">
        <f>Introduction!$D$7</f>
        <v>0</v>
      </c>
      <c r="E458" s="432">
        <f>Introduction!$D$8</f>
        <v>0</v>
      </c>
      <c r="F458" s="432" t="s">
        <v>558</v>
      </c>
      <c r="G458" s="432" t="s">
        <v>558</v>
      </c>
      <c r="H458" s="433"/>
      <c r="I458" s="435" t="str">
        <f>'Supply chain'!B217</f>
        <v/>
      </c>
      <c r="J458" s="435" t="str">
        <f>'Supply chain'!C217</f>
        <v/>
      </c>
      <c r="K458" s="435">
        <f>'Supply chain'!D217</f>
        <v>0</v>
      </c>
      <c r="L458" s="435" t="str">
        <f>'Supply chain'!E217</f>
        <v>Tier 2</v>
      </c>
      <c r="M458" s="435">
        <f>'Supply chain'!F217</f>
        <v>0</v>
      </c>
      <c r="N458" s="435">
        <f>'Supply chain'!G217</f>
        <v>0</v>
      </c>
      <c r="O458" s="435" t="str">
        <f>'Supply chain'!H217</f>
        <v>£</v>
      </c>
      <c r="P458" s="435">
        <f>'Supply chain'!I217</f>
        <v>0</v>
      </c>
      <c r="Q458" s="435" t="str">
        <f>'Supply chain'!J217</f>
        <v>£</v>
      </c>
      <c r="R458" s="435" t="str">
        <f>'Supply chain'!K217</f>
        <v/>
      </c>
      <c r="S458" s="435">
        <f>'Supply chain'!L217</f>
        <v>0</v>
      </c>
      <c r="T458" s="435">
        <f>'Supply chain'!M217</f>
        <v>0</v>
      </c>
      <c r="U458" s="435">
        <f>'Supply chain'!N217</f>
        <v>0</v>
      </c>
      <c r="V458" s="435">
        <f>'Supply chain'!O217</f>
        <v>0</v>
      </c>
      <c r="W458" s="435">
        <f>'Supply chain'!P217</f>
        <v>0</v>
      </c>
      <c r="X458" s="435">
        <f>'Supply chain'!Q217</f>
        <v>0</v>
      </c>
      <c r="Y458" s="435">
        <f>'Supply chain'!R217</f>
        <v>0</v>
      </c>
      <c r="Z458" s="435">
        <f>'Supply chain'!S217</f>
        <v>0</v>
      </c>
      <c r="AA458" s="435" t="str">
        <f>'Supply chain'!T217</f>
        <v/>
      </c>
      <c r="AB458" s="435" t="str">
        <f>'Supply chain'!U217</f>
        <v/>
      </c>
      <c r="AC458" s="435">
        <f>'Supply chain'!V217</f>
        <v>0</v>
      </c>
      <c r="AE458" s="432">
        <f t="shared" si="16"/>
        <v>0</v>
      </c>
      <c r="AF458" s="432">
        <f t="shared" si="17"/>
        <v>0</v>
      </c>
    </row>
    <row r="459" spans="2:32" x14ac:dyDescent="0.35">
      <c r="B459" s="432" t="e">
        <f>"2024"&amp;MATCH(Totals!D459,OrgType,0)&amp;"_"&amp;MATCH(Totals!E459,Organisations,0)&amp;"_"&amp;LEFT(Totals!F459,1)&amp;"_"&amp;LEFT(G459,1)&amp;"_"&amp;COUNTIF($G$3:G459,G459)</f>
        <v>#N/A</v>
      </c>
      <c r="C459" s="432">
        <v>2087</v>
      </c>
      <c r="D459" s="432">
        <f>Introduction!$D$7</f>
        <v>0</v>
      </c>
      <c r="E459" s="432">
        <f>Introduction!$D$8</f>
        <v>0</v>
      </c>
      <c r="F459" s="432" t="s">
        <v>558</v>
      </c>
      <c r="G459" s="432" t="s">
        <v>558</v>
      </c>
      <c r="H459" s="433"/>
      <c r="I459" s="435" t="str">
        <f>'Supply chain'!B218</f>
        <v/>
      </c>
      <c r="J459" s="435" t="str">
        <f>'Supply chain'!C218</f>
        <v/>
      </c>
      <c r="K459" s="435">
        <f>'Supply chain'!D218</f>
        <v>0</v>
      </c>
      <c r="L459" s="435" t="str">
        <f>'Supply chain'!E218</f>
        <v>Tier 2</v>
      </c>
      <c r="M459" s="435">
        <f>'Supply chain'!F218</f>
        <v>0</v>
      </c>
      <c r="N459" s="435">
        <f>'Supply chain'!G218</f>
        <v>0</v>
      </c>
      <c r="O459" s="435" t="str">
        <f>'Supply chain'!H218</f>
        <v>£</v>
      </c>
      <c r="P459" s="435">
        <f>'Supply chain'!I218</f>
        <v>0</v>
      </c>
      <c r="Q459" s="435" t="str">
        <f>'Supply chain'!J218</f>
        <v>£</v>
      </c>
      <c r="R459" s="435" t="str">
        <f>'Supply chain'!K218</f>
        <v/>
      </c>
      <c r="S459" s="435">
        <f>'Supply chain'!L218</f>
        <v>0</v>
      </c>
      <c r="T459" s="435">
        <f>'Supply chain'!M218</f>
        <v>0</v>
      </c>
      <c r="U459" s="435">
        <f>'Supply chain'!N218</f>
        <v>0</v>
      </c>
      <c r="V459" s="435">
        <f>'Supply chain'!O218</f>
        <v>0</v>
      </c>
      <c r="W459" s="435">
        <f>'Supply chain'!P218</f>
        <v>0</v>
      </c>
      <c r="X459" s="435">
        <f>'Supply chain'!Q218</f>
        <v>0</v>
      </c>
      <c r="Y459" s="435">
        <f>'Supply chain'!R218</f>
        <v>0</v>
      </c>
      <c r="Z459" s="435">
        <f>'Supply chain'!S218</f>
        <v>0</v>
      </c>
      <c r="AA459" s="435" t="str">
        <f>'Supply chain'!T218</f>
        <v/>
      </c>
      <c r="AB459" s="435" t="str">
        <f>'Supply chain'!U218</f>
        <v/>
      </c>
      <c r="AC459" s="435">
        <f>'Supply chain'!V218</f>
        <v>0</v>
      </c>
      <c r="AE459" s="432">
        <f t="shared" si="16"/>
        <v>0</v>
      </c>
      <c r="AF459" s="432">
        <f t="shared" si="17"/>
        <v>0</v>
      </c>
    </row>
    <row r="460" spans="2:32" x14ac:dyDescent="0.35">
      <c r="B460" s="432" t="e">
        <f>"2024"&amp;MATCH(Totals!D460,OrgType,0)&amp;"_"&amp;MATCH(Totals!E460,Organisations,0)&amp;"_"&amp;LEFT(Totals!F460,1)&amp;"_"&amp;LEFT(G460,1)&amp;"_"&amp;COUNTIF($G$3:G460,G460)</f>
        <v>#N/A</v>
      </c>
      <c r="C460" s="432">
        <v>2088</v>
      </c>
      <c r="D460" s="432">
        <f>Introduction!$D$7</f>
        <v>0</v>
      </c>
      <c r="E460" s="432">
        <f>Introduction!$D$8</f>
        <v>0</v>
      </c>
      <c r="F460" s="432" t="s">
        <v>558</v>
      </c>
      <c r="G460" s="432" t="s">
        <v>558</v>
      </c>
      <c r="H460" s="433"/>
      <c r="I460" s="435" t="str">
        <f>'Supply chain'!B219</f>
        <v/>
      </c>
      <c r="J460" s="435" t="str">
        <f>'Supply chain'!C219</f>
        <v/>
      </c>
      <c r="K460" s="435">
        <f>'Supply chain'!D219</f>
        <v>0</v>
      </c>
      <c r="L460" s="435" t="str">
        <f>'Supply chain'!E219</f>
        <v>Tier 2</v>
      </c>
      <c r="M460" s="435">
        <f>'Supply chain'!F219</f>
        <v>0</v>
      </c>
      <c r="N460" s="435">
        <f>'Supply chain'!G219</f>
        <v>0</v>
      </c>
      <c r="O460" s="435" t="str">
        <f>'Supply chain'!H219</f>
        <v>£</v>
      </c>
      <c r="P460" s="435">
        <f>'Supply chain'!I219</f>
        <v>0</v>
      </c>
      <c r="Q460" s="435" t="str">
        <f>'Supply chain'!J219</f>
        <v>£</v>
      </c>
      <c r="R460" s="435" t="str">
        <f>'Supply chain'!K219</f>
        <v/>
      </c>
      <c r="S460" s="435">
        <f>'Supply chain'!L219</f>
        <v>0</v>
      </c>
      <c r="T460" s="435">
        <f>'Supply chain'!M219</f>
        <v>0</v>
      </c>
      <c r="U460" s="435">
        <f>'Supply chain'!N219</f>
        <v>0</v>
      </c>
      <c r="V460" s="435">
        <f>'Supply chain'!O219</f>
        <v>0</v>
      </c>
      <c r="W460" s="435">
        <f>'Supply chain'!P219</f>
        <v>0</v>
      </c>
      <c r="X460" s="435">
        <f>'Supply chain'!Q219</f>
        <v>0</v>
      </c>
      <c r="Y460" s="435">
        <f>'Supply chain'!R219</f>
        <v>0</v>
      </c>
      <c r="Z460" s="435">
        <f>'Supply chain'!S219</f>
        <v>0</v>
      </c>
      <c r="AA460" s="435" t="str">
        <f>'Supply chain'!T219</f>
        <v/>
      </c>
      <c r="AB460" s="435" t="str">
        <f>'Supply chain'!U219</f>
        <v/>
      </c>
      <c r="AC460" s="435">
        <f>'Supply chain'!V219</f>
        <v>0</v>
      </c>
      <c r="AE460" s="432">
        <f t="shared" si="16"/>
        <v>0</v>
      </c>
      <c r="AF460" s="432">
        <f t="shared" si="17"/>
        <v>0</v>
      </c>
    </row>
    <row r="461" spans="2:32" x14ac:dyDescent="0.35">
      <c r="B461" s="432" t="e">
        <f>"2024"&amp;MATCH(Totals!D461,OrgType,0)&amp;"_"&amp;MATCH(Totals!E461,Organisations,0)&amp;"_"&amp;LEFT(Totals!F461,1)&amp;"_"&amp;LEFT(G461,1)&amp;"_"&amp;COUNTIF($G$3:G461,G461)</f>
        <v>#N/A</v>
      </c>
      <c r="C461" s="432">
        <v>2089</v>
      </c>
      <c r="D461" s="432">
        <f>Introduction!$D$7</f>
        <v>0</v>
      </c>
      <c r="E461" s="432">
        <f>Introduction!$D$8</f>
        <v>0</v>
      </c>
      <c r="F461" s="432" t="s">
        <v>558</v>
      </c>
      <c r="G461" s="432" t="s">
        <v>558</v>
      </c>
      <c r="H461" s="433"/>
      <c r="I461" s="435" t="str">
        <f>'Supply chain'!B220</f>
        <v/>
      </c>
      <c r="J461" s="435" t="str">
        <f>'Supply chain'!C220</f>
        <v/>
      </c>
      <c r="K461" s="435">
        <f>'Supply chain'!D220</f>
        <v>0</v>
      </c>
      <c r="L461" s="435" t="str">
        <f>'Supply chain'!E220</f>
        <v>Tier 2</v>
      </c>
      <c r="M461" s="435">
        <f>'Supply chain'!F220</f>
        <v>0</v>
      </c>
      <c r="N461" s="435">
        <f>'Supply chain'!G220</f>
        <v>0</v>
      </c>
      <c r="O461" s="435" t="str">
        <f>'Supply chain'!H220</f>
        <v>£</v>
      </c>
      <c r="P461" s="435">
        <f>'Supply chain'!I220</f>
        <v>0</v>
      </c>
      <c r="Q461" s="435" t="str">
        <f>'Supply chain'!J220</f>
        <v>£</v>
      </c>
      <c r="R461" s="435" t="str">
        <f>'Supply chain'!K220</f>
        <v/>
      </c>
      <c r="S461" s="435">
        <f>'Supply chain'!L220</f>
        <v>0</v>
      </c>
      <c r="T461" s="435">
        <f>'Supply chain'!M220</f>
        <v>0</v>
      </c>
      <c r="U461" s="435">
        <f>'Supply chain'!N220</f>
        <v>0</v>
      </c>
      <c r="V461" s="435">
        <f>'Supply chain'!O220</f>
        <v>0</v>
      </c>
      <c r="W461" s="435">
        <f>'Supply chain'!P220</f>
        <v>0</v>
      </c>
      <c r="X461" s="435">
        <f>'Supply chain'!Q220</f>
        <v>0</v>
      </c>
      <c r="Y461" s="435">
        <f>'Supply chain'!R220</f>
        <v>0</v>
      </c>
      <c r="Z461" s="435">
        <f>'Supply chain'!S220</f>
        <v>0</v>
      </c>
      <c r="AA461" s="435" t="str">
        <f>'Supply chain'!T220</f>
        <v/>
      </c>
      <c r="AB461" s="435" t="str">
        <f>'Supply chain'!U220</f>
        <v/>
      </c>
      <c r="AC461" s="435">
        <f>'Supply chain'!V220</f>
        <v>0</v>
      </c>
      <c r="AE461" s="432">
        <f t="shared" ref="AE461:AE491" si="18">IF(AND(R461="",N461&lt;&gt;0),1,0)</f>
        <v>0</v>
      </c>
      <c r="AF461" s="432">
        <f t="shared" ref="AF461:AF491" si="19">IF(AND(S461="",N461&lt;&gt;0),1,0)</f>
        <v>0</v>
      </c>
    </row>
    <row r="462" spans="2:32" x14ac:dyDescent="0.35">
      <c r="B462" s="432" t="e">
        <f>"2024"&amp;MATCH(Totals!D462,OrgType,0)&amp;"_"&amp;MATCH(Totals!E462,Organisations,0)&amp;"_"&amp;LEFT(Totals!F462,1)&amp;"_"&amp;LEFT(G462,1)&amp;"_"&amp;COUNTIF($G$3:G462,G462)</f>
        <v>#N/A</v>
      </c>
      <c r="C462" s="432">
        <v>2090</v>
      </c>
      <c r="D462" s="432">
        <f>Introduction!$D$7</f>
        <v>0</v>
      </c>
      <c r="E462" s="432">
        <f>Introduction!$D$8</f>
        <v>0</v>
      </c>
      <c r="F462" s="432" t="s">
        <v>558</v>
      </c>
      <c r="G462" s="432" t="s">
        <v>558</v>
      </c>
      <c r="H462" s="433"/>
      <c r="I462" s="435" t="str">
        <f>'Supply chain'!B221</f>
        <v/>
      </c>
      <c r="J462" s="435" t="str">
        <f>'Supply chain'!C221</f>
        <v/>
      </c>
      <c r="K462" s="435">
        <f>'Supply chain'!D221</f>
        <v>0</v>
      </c>
      <c r="L462" s="435" t="str">
        <f>'Supply chain'!E221</f>
        <v>Tier 2</v>
      </c>
      <c r="M462" s="435">
        <f>'Supply chain'!F221</f>
        <v>0</v>
      </c>
      <c r="N462" s="435">
        <f>'Supply chain'!G221</f>
        <v>0</v>
      </c>
      <c r="O462" s="435" t="str">
        <f>'Supply chain'!H221</f>
        <v>£</v>
      </c>
      <c r="P462" s="435">
        <f>'Supply chain'!I221</f>
        <v>0</v>
      </c>
      <c r="Q462" s="435" t="str">
        <f>'Supply chain'!J221</f>
        <v>£</v>
      </c>
      <c r="R462" s="435" t="str">
        <f>'Supply chain'!K221</f>
        <v/>
      </c>
      <c r="S462" s="435">
        <f>'Supply chain'!L221</f>
        <v>0</v>
      </c>
      <c r="T462" s="435">
        <f>'Supply chain'!M221</f>
        <v>0</v>
      </c>
      <c r="U462" s="435">
        <f>'Supply chain'!N221</f>
        <v>0</v>
      </c>
      <c r="V462" s="435">
        <f>'Supply chain'!O221</f>
        <v>0</v>
      </c>
      <c r="W462" s="435">
        <f>'Supply chain'!P221</f>
        <v>0</v>
      </c>
      <c r="X462" s="435">
        <f>'Supply chain'!Q221</f>
        <v>0</v>
      </c>
      <c r="Y462" s="435">
        <f>'Supply chain'!R221</f>
        <v>0</v>
      </c>
      <c r="Z462" s="435">
        <f>'Supply chain'!S221</f>
        <v>0</v>
      </c>
      <c r="AA462" s="435" t="str">
        <f>'Supply chain'!T221</f>
        <v/>
      </c>
      <c r="AB462" s="435" t="str">
        <f>'Supply chain'!U221</f>
        <v/>
      </c>
      <c r="AC462" s="435">
        <f>'Supply chain'!V221</f>
        <v>0</v>
      </c>
      <c r="AE462" s="432">
        <f t="shared" si="18"/>
        <v>0</v>
      </c>
      <c r="AF462" s="432">
        <f t="shared" si="19"/>
        <v>0</v>
      </c>
    </row>
    <row r="463" spans="2:32" x14ac:dyDescent="0.35">
      <c r="B463" s="432" t="e">
        <f>"2024"&amp;MATCH(Totals!D463,OrgType,0)&amp;"_"&amp;MATCH(Totals!E463,Organisations,0)&amp;"_"&amp;LEFT(Totals!F463,1)&amp;"_"&amp;LEFT(G463,1)&amp;"_"&amp;COUNTIF($G$3:G463,G463)</f>
        <v>#N/A</v>
      </c>
      <c r="C463" s="432">
        <v>2091</v>
      </c>
      <c r="D463" s="432">
        <f>Introduction!$D$7</f>
        <v>0</v>
      </c>
      <c r="E463" s="432">
        <f>Introduction!$D$8</f>
        <v>0</v>
      </c>
      <c r="F463" s="432" t="s">
        <v>558</v>
      </c>
      <c r="G463" s="432" t="s">
        <v>558</v>
      </c>
      <c r="H463" s="433"/>
      <c r="I463" s="435" t="str">
        <f>'Supply chain'!B222</f>
        <v/>
      </c>
      <c r="J463" s="435" t="str">
        <f>'Supply chain'!C222</f>
        <v/>
      </c>
      <c r="K463" s="435">
        <f>'Supply chain'!D222</f>
        <v>0</v>
      </c>
      <c r="L463" s="435" t="str">
        <f>'Supply chain'!E222</f>
        <v>Tier 2</v>
      </c>
      <c r="M463" s="435">
        <f>'Supply chain'!F222</f>
        <v>0</v>
      </c>
      <c r="N463" s="435">
        <f>'Supply chain'!G222</f>
        <v>0</v>
      </c>
      <c r="O463" s="435" t="str">
        <f>'Supply chain'!H222</f>
        <v>£</v>
      </c>
      <c r="P463" s="435">
        <f>'Supply chain'!I222</f>
        <v>0</v>
      </c>
      <c r="Q463" s="435" t="str">
        <f>'Supply chain'!J222</f>
        <v>£</v>
      </c>
      <c r="R463" s="435" t="str">
        <f>'Supply chain'!K222</f>
        <v/>
      </c>
      <c r="S463" s="435">
        <f>'Supply chain'!L222</f>
        <v>0</v>
      </c>
      <c r="T463" s="435">
        <f>'Supply chain'!M222</f>
        <v>0</v>
      </c>
      <c r="U463" s="435">
        <f>'Supply chain'!N222</f>
        <v>0</v>
      </c>
      <c r="V463" s="435">
        <f>'Supply chain'!O222</f>
        <v>0</v>
      </c>
      <c r="W463" s="435">
        <f>'Supply chain'!P222</f>
        <v>0</v>
      </c>
      <c r="X463" s="435">
        <f>'Supply chain'!Q222</f>
        <v>0</v>
      </c>
      <c r="Y463" s="435">
        <f>'Supply chain'!R222</f>
        <v>0</v>
      </c>
      <c r="Z463" s="435">
        <f>'Supply chain'!S222</f>
        <v>0</v>
      </c>
      <c r="AA463" s="435" t="str">
        <f>'Supply chain'!T222</f>
        <v/>
      </c>
      <c r="AB463" s="435" t="str">
        <f>'Supply chain'!U222</f>
        <v/>
      </c>
      <c r="AC463" s="435">
        <f>'Supply chain'!V222</f>
        <v>0</v>
      </c>
      <c r="AE463" s="432">
        <f t="shared" si="18"/>
        <v>0</v>
      </c>
      <c r="AF463" s="432">
        <f t="shared" si="19"/>
        <v>0</v>
      </c>
    </row>
    <row r="464" spans="2:32" x14ac:dyDescent="0.35">
      <c r="B464" s="432" t="e">
        <f>"2024"&amp;MATCH(Totals!D464,OrgType,0)&amp;"_"&amp;MATCH(Totals!E464,Organisations,0)&amp;"_"&amp;LEFT(Totals!F464,1)&amp;"_"&amp;LEFT(G464,1)&amp;"_"&amp;COUNTIF($G$3:G464,G464)</f>
        <v>#N/A</v>
      </c>
      <c r="C464" s="432">
        <v>2092</v>
      </c>
      <c r="D464" s="432">
        <f>Introduction!$D$7</f>
        <v>0</v>
      </c>
      <c r="E464" s="432">
        <f>Introduction!$D$8</f>
        <v>0</v>
      </c>
      <c r="F464" s="432" t="s">
        <v>558</v>
      </c>
      <c r="G464" s="432" t="s">
        <v>558</v>
      </c>
      <c r="H464" s="433"/>
      <c r="I464" s="435" t="str">
        <f>'Supply chain'!B223</f>
        <v/>
      </c>
      <c r="J464" s="435" t="str">
        <f>'Supply chain'!C223</f>
        <v/>
      </c>
      <c r="K464" s="435">
        <f>'Supply chain'!D223</f>
        <v>0</v>
      </c>
      <c r="L464" s="435" t="str">
        <f>'Supply chain'!E223</f>
        <v>Tier 2</v>
      </c>
      <c r="M464" s="435">
        <f>'Supply chain'!F223</f>
        <v>0</v>
      </c>
      <c r="N464" s="435">
        <f>'Supply chain'!G223</f>
        <v>0</v>
      </c>
      <c r="O464" s="435" t="str">
        <f>'Supply chain'!H223</f>
        <v>£</v>
      </c>
      <c r="P464" s="435">
        <f>'Supply chain'!I223</f>
        <v>0</v>
      </c>
      <c r="Q464" s="435" t="str">
        <f>'Supply chain'!J223</f>
        <v>£</v>
      </c>
      <c r="R464" s="435" t="str">
        <f>'Supply chain'!K223</f>
        <v/>
      </c>
      <c r="S464" s="435">
        <f>'Supply chain'!L223</f>
        <v>0</v>
      </c>
      <c r="T464" s="435">
        <f>'Supply chain'!M223</f>
        <v>0</v>
      </c>
      <c r="U464" s="435">
        <f>'Supply chain'!N223</f>
        <v>0</v>
      </c>
      <c r="V464" s="435">
        <f>'Supply chain'!O223</f>
        <v>0</v>
      </c>
      <c r="W464" s="435">
        <f>'Supply chain'!P223</f>
        <v>0</v>
      </c>
      <c r="X464" s="435">
        <f>'Supply chain'!Q223</f>
        <v>0</v>
      </c>
      <c r="Y464" s="435">
        <f>'Supply chain'!R223</f>
        <v>0</v>
      </c>
      <c r="Z464" s="435">
        <f>'Supply chain'!S223</f>
        <v>0</v>
      </c>
      <c r="AA464" s="435" t="str">
        <f>'Supply chain'!T223</f>
        <v/>
      </c>
      <c r="AB464" s="435" t="str">
        <f>'Supply chain'!U223</f>
        <v/>
      </c>
      <c r="AC464" s="435">
        <f>'Supply chain'!V223</f>
        <v>0</v>
      </c>
      <c r="AE464" s="432">
        <f t="shared" si="18"/>
        <v>0</v>
      </c>
      <c r="AF464" s="432">
        <f t="shared" si="19"/>
        <v>0</v>
      </c>
    </row>
    <row r="465" spans="2:32" x14ac:dyDescent="0.35">
      <c r="B465" s="432" t="e">
        <f>"2024"&amp;MATCH(Totals!D465,OrgType,0)&amp;"_"&amp;MATCH(Totals!E465,Organisations,0)&amp;"_"&amp;LEFT(Totals!F465,1)&amp;"_"&amp;LEFT(G465,1)&amp;"_"&amp;COUNTIF($G$3:G465,G465)</f>
        <v>#N/A</v>
      </c>
      <c r="C465" s="432">
        <v>2093</v>
      </c>
      <c r="D465" s="432">
        <f>Introduction!$D$7</f>
        <v>0</v>
      </c>
      <c r="E465" s="432">
        <f>Introduction!$D$8</f>
        <v>0</v>
      </c>
      <c r="F465" s="432" t="s">
        <v>558</v>
      </c>
      <c r="G465" s="432" t="s">
        <v>558</v>
      </c>
      <c r="H465" s="433"/>
      <c r="I465" s="435" t="str">
        <f>'Supply chain'!B224</f>
        <v/>
      </c>
      <c r="J465" s="435" t="str">
        <f>'Supply chain'!C224</f>
        <v/>
      </c>
      <c r="K465" s="435">
        <f>'Supply chain'!D224</f>
        <v>0</v>
      </c>
      <c r="L465" s="435" t="str">
        <f>'Supply chain'!E224</f>
        <v>Tier 2</v>
      </c>
      <c r="M465" s="435">
        <f>'Supply chain'!F224</f>
        <v>0</v>
      </c>
      <c r="N465" s="435">
        <f>'Supply chain'!G224</f>
        <v>0</v>
      </c>
      <c r="O465" s="435" t="str">
        <f>'Supply chain'!H224</f>
        <v>£</v>
      </c>
      <c r="P465" s="435">
        <f>'Supply chain'!I224</f>
        <v>0</v>
      </c>
      <c r="Q465" s="435" t="str">
        <f>'Supply chain'!J224</f>
        <v>£</v>
      </c>
      <c r="R465" s="435" t="str">
        <f>'Supply chain'!K224</f>
        <v/>
      </c>
      <c r="S465" s="435">
        <f>'Supply chain'!L224</f>
        <v>0</v>
      </c>
      <c r="T465" s="435">
        <f>'Supply chain'!M224</f>
        <v>0</v>
      </c>
      <c r="U465" s="435">
        <f>'Supply chain'!N224</f>
        <v>0</v>
      </c>
      <c r="V465" s="435">
        <f>'Supply chain'!O224</f>
        <v>0</v>
      </c>
      <c r="W465" s="435">
        <f>'Supply chain'!P224</f>
        <v>0</v>
      </c>
      <c r="X465" s="435">
        <f>'Supply chain'!Q224</f>
        <v>0</v>
      </c>
      <c r="Y465" s="435">
        <f>'Supply chain'!R224</f>
        <v>0</v>
      </c>
      <c r="Z465" s="435">
        <f>'Supply chain'!S224</f>
        <v>0</v>
      </c>
      <c r="AA465" s="435" t="str">
        <f>'Supply chain'!T224</f>
        <v/>
      </c>
      <c r="AB465" s="435" t="str">
        <f>'Supply chain'!U224</f>
        <v/>
      </c>
      <c r="AC465" s="435">
        <f>'Supply chain'!V224</f>
        <v>0</v>
      </c>
      <c r="AE465" s="432">
        <f t="shared" si="18"/>
        <v>0</v>
      </c>
      <c r="AF465" s="432">
        <f t="shared" si="19"/>
        <v>0</v>
      </c>
    </row>
    <row r="466" spans="2:32" x14ac:dyDescent="0.35">
      <c r="B466" s="432" t="e">
        <f>"2024"&amp;MATCH(Totals!D466,OrgType,0)&amp;"_"&amp;MATCH(Totals!E466,Organisations,0)&amp;"_"&amp;LEFT(Totals!F466,1)&amp;"_"&amp;LEFT(G466,1)&amp;"_"&amp;COUNTIF($G$3:G466,G466)</f>
        <v>#N/A</v>
      </c>
      <c r="C466" s="432">
        <v>2094</v>
      </c>
      <c r="D466" s="432">
        <f>Introduction!$D$7</f>
        <v>0</v>
      </c>
      <c r="E466" s="432">
        <f>Introduction!$D$8</f>
        <v>0</v>
      </c>
      <c r="F466" s="432" t="s">
        <v>558</v>
      </c>
      <c r="G466" s="432" t="s">
        <v>558</v>
      </c>
      <c r="H466" s="433"/>
      <c r="I466" s="435" t="str">
        <f>'Supply chain'!B225</f>
        <v/>
      </c>
      <c r="J466" s="435" t="str">
        <f>'Supply chain'!C225</f>
        <v/>
      </c>
      <c r="K466" s="435">
        <f>'Supply chain'!D225</f>
        <v>0</v>
      </c>
      <c r="L466" s="435" t="str">
        <f>'Supply chain'!E225</f>
        <v>Tier 2</v>
      </c>
      <c r="M466" s="435">
        <f>'Supply chain'!F225</f>
        <v>0</v>
      </c>
      <c r="N466" s="435">
        <f>'Supply chain'!G225</f>
        <v>0</v>
      </c>
      <c r="O466" s="435" t="str">
        <f>'Supply chain'!H225</f>
        <v>£</v>
      </c>
      <c r="P466" s="435">
        <f>'Supply chain'!I225</f>
        <v>0</v>
      </c>
      <c r="Q466" s="435" t="str">
        <f>'Supply chain'!J225</f>
        <v>£</v>
      </c>
      <c r="R466" s="435" t="str">
        <f>'Supply chain'!K225</f>
        <v/>
      </c>
      <c r="S466" s="435">
        <f>'Supply chain'!L225</f>
        <v>0</v>
      </c>
      <c r="T466" s="435">
        <f>'Supply chain'!M225</f>
        <v>0</v>
      </c>
      <c r="U466" s="435">
        <f>'Supply chain'!N225</f>
        <v>0</v>
      </c>
      <c r="V466" s="435">
        <f>'Supply chain'!O225</f>
        <v>0</v>
      </c>
      <c r="W466" s="435">
        <f>'Supply chain'!P225</f>
        <v>0</v>
      </c>
      <c r="X466" s="435">
        <f>'Supply chain'!Q225</f>
        <v>0</v>
      </c>
      <c r="Y466" s="435">
        <f>'Supply chain'!R225</f>
        <v>0</v>
      </c>
      <c r="Z466" s="435">
        <f>'Supply chain'!S225</f>
        <v>0</v>
      </c>
      <c r="AA466" s="435" t="str">
        <f>'Supply chain'!T225</f>
        <v/>
      </c>
      <c r="AB466" s="435" t="str">
        <f>'Supply chain'!U225</f>
        <v/>
      </c>
      <c r="AC466" s="435">
        <f>'Supply chain'!V225</f>
        <v>0</v>
      </c>
      <c r="AE466" s="432">
        <f t="shared" si="18"/>
        <v>0</v>
      </c>
      <c r="AF466" s="432">
        <f t="shared" si="19"/>
        <v>0</v>
      </c>
    </row>
    <row r="467" spans="2:32" x14ac:dyDescent="0.35">
      <c r="B467" s="432" t="e">
        <f>"2024"&amp;MATCH(Totals!D467,OrgType,0)&amp;"_"&amp;MATCH(Totals!E467,Organisations,0)&amp;"_"&amp;LEFT(Totals!F467,1)&amp;"_"&amp;LEFT(G467,1)&amp;"_"&amp;COUNTIF($G$3:G467,G467)</f>
        <v>#N/A</v>
      </c>
      <c r="C467" s="432">
        <v>2095</v>
      </c>
      <c r="D467" s="432">
        <f>Introduction!$D$7</f>
        <v>0</v>
      </c>
      <c r="E467" s="432">
        <f>Introduction!$D$8</f>
        <v>0</v>
      </c>
      <c r="F467" s="432" t="s">
        <v>558</v>
      </c>
      <c r="G467" s="432" t="s">
        <v>558</v>
      </c>
      <c r="H467" s="433"/>
      <c r="I467" s="435" t="str">
        <f>'Supply chain'!B226</f>
        <v/>
      </c>
      <c r="J467" s="435" t="str">
        <f>'Supply chain'!C226</f>
        <v/>
      </c>
      <c r="K467" s="435">
        <f>'Supply chain'!D226</f>
        <v>0</v>
      </c>
      <c r="L467" s="435" t="str">
        <f>'Supply chain'!E226</f>
        <v>Tier 2</v>
      </c>
      <c r="M467" s="435">
        <f>'Supply chain'!F226</f>
        <v>0</v>
      </c>
      <c r="N467" s="435">
        <f>'Supply chain'!G226</f>
        <v>0</v>
      </c>
      <c r="O467" s="435" t="str">
        <f>'Supply chain'!H226</f>
        <v>£</v>
      </c>
      <c r="P467" s="435">
        <f>'Supply chain'!I226</f>
        <v>0</v>
      </c>
      <c r="Q467" s="435" t="str">
        <f>'Supply chain'!J226</f>
        <v>£</v>
      </c>
      <c r="R467" s="435" t="str">
        <f>'Supply chain'!K226</f>
        <v/>
      </c>
      <c r="S467" s="435">
        <f>'Supply chain'!L226</f>
        <v>0</v>
      </c>
      <c r="T467" s="435">
        <f>'Supply chain'!M226</f>
        <v>0</v>
      </c>
      <c r="U467" s="435">
        <f>'Supply chain'!N226</f>
        <v>0</v>
      </c>
      <c r="V467" s="435">
        <f>'Supply chain'!O226</f>
        <v>0</v>
      </c>
      <c r="W467" s="435">
        <f>'Supply chain'!P226</f>
        <v>0</v>
      </c>
      <c r="X467" s="435">
        <f>'Supply chain'!Q226</f>
        <v>0</v>
      </c>
      <c r="Y467" s="435">
        <f>'Supply chain'!R226</f>
        <v>0</v>
      </c>
      <c r="Z467" s="435">
        <f>'Supply chain'!S226</f>
        <v>0</v>
      </c>
      <c r="AA467" s="435" t="str">
        <f>'Supply chain'!T226</f>
        <v/>
      </c>
      <c r="AB467" s="435" t="str">
        <f>'Supply chain'!U226</f>
        <v/>
      </c>
      <c r="AC467" s="435">
        <f>'Supply chain'!V226</f>
        <v>0</v>
      </c>
      <c r="AE467" s="432">
        <f t="shared" si="18"/>
        <v>0</v>
      </c>
      <c r="AF467" s="432">
        <f t="shared" si="19"/>
        <v>0</v>
      </c>
    </row>
    <row r="468" spans="2:32" x14ac:dyDescent="0.35">
      <c r="B468" s="432" t="e">
        <f>"2024"&amp;MATCH(Totals!D468,OrgType,0)&amp;"_"&amp;MATCH(Totals!E468,Organisations,0)&amp;"_"&amp;LEFT(Totals!F468,1)&amp;"_"&amp;LEFT(G468,1)&amp;"_"&amp;COUNTIF($G$3:G468,G468)</f>
        <v>#N/A</v>
      </c>
      <c r="C468" s="432">
        <v>2096</v>
      </c>
      <c r="D468" s="432">
        <f>Introduction!$D$7</f>
        <v>0</v>
      </c>
      <c r="E468" s="432">
        <f>Introduction!$D$8</f>
        <v>0</v>
      </c>
      <c r="F468" s="432" t="s">
        <v>558</v>
      </c>
      <c r="G468" s="432" t="s">
        <v>558</v>
      </c>
      <c r="H468" s="433"/>
      <c r="I468" s="435" t="str">
        <f>'Supply chain'!B227</f>
        <v/>
      </c>
      <c r="J468" s="435" t="str">
        <f>'Supply chain'!C227</f>
        <v/>
      </c>
      <c r="K468" s="435">
        <f>'Supply chain'!D227</f>
        <v>0</v>
      </c>
      <c r="L468" s="435" t="str">
        <f>'Supply chain'!E227</f>
        <v>Tier 2</v>
      </c>
      <c r="M468" s="435">
        <f>'Supply chain'!F227</f>
        <v>0</v>
      </c>
      <c r="N468" s="435">
        <f>'Supply chain'!G227</f>
        <v>0</v>
      </c>
      <c r="O468" s="435" t="str">
        <f>'Supply chain'!H227</f>
        <v>£</v>
      </c>
      <c r="P468" s="435">
        <f>'Supply chain'!I227</f>
        <v>0</v>
      </c>
      <c r="Q468" s="435" t="str">
        <f>'Supply chain'!J227</f>
        <v>£</v>
      </c>
      <c r="R468" s="435" t="str">
        <f>'Supply chain'!K227</f>
        <v/>
      </c>
      <c r="S468" s="435">
        <f>'Supply chain'!L227</f>
        <v>0</v>
      </c>
      <c r="T468" s="435">
        <f>'Supply chain'!M227</f>
        <v>0</v>
      </c>
      <c r="U468" s="435">
        <f>'Supply chain'!N227</f>
        <v>0</v>
      </c>
      <c r="V468" s="435">
        <f>'Supply chain'!O227</f>
        <v>0</v>
      </c>
      <c r="W468" s="435">
        <f>'Supply chain'!P227</f>
        <v>0</v>
      </c>
      <c r="X468" s="435">
        <f>'Supply chain'!Q227</f>
        <v>0</v>
      </c>
      <c r="Y468" s="435">
        <f>'Supply chain'!R227</f>
        <v>0</v>
      </c>
      <c r="Z468" s="435">
        <f>'Supply chain'!S227</f>
        <v>0</v>
      </c>
      <c r="AA468" s="435" t="str">
        <f>'Supply chain'!T227</f>
        <v/>
      </c>
      <c r="AB468" s="435" t="str">
        <f>'Supply chain'!U227</f>
        <v/>
      </c>
      <c r="AC468" s="435">
        <f>'Supply chain'!V227</f>
        <v>0</v>
      </c>
      <c r="AE468" s="432">
        <f t="shared" si="18"/>
        <v>0</v>
      </c>
      <c r="AF468" s="432">
        <f t="shared" si="19"/>
        <v>0</v>
      </c>
    </row>
    <row r="469" spans="2:32" x14ac:dyDescent="0.35">
      <c r="B469" s="432" t="e">
        <f>"2024"&amp;MATCH(Totals!D469,OrgType,0)&amp;"_"&amp;MATCH(Totals!E469,Organisations,0)&amp;"_"&amp;LEFT(Totals!F469,1)&amp;"_"&amp;LEFT(G469,1)&amp;"_"&amp;COUNTIF($G$3:G469,G469)</f>
        <v>#N/A</v>
      </c>
      <c r="C469" s="432">
        <v>2097</v>
      </c>
      <c r="D469" s="432">
        <f>Introduction!$D$7</f>
        <v>0</v>
      </c>
      <c r="E469" s="432">
        <f>Introduction!$D$8</f>
        <v>0</v>
      </c>
      <c r="F469" s="432" t="s">
        <v>558</v>
      </c>
      <c r="G469" s="432" t="s">
        <v>558</v>
      </c>
      <c r="H469" s="433"/>
      <c r="I469" s="435" t="str">
        <f>'Supply chain'!B228</f>
        <v/>
      </c>
      <c r="J469" s="435" t="str">
        <f>'Supply chain'!C228</f>
        <v/>
      </c>
      <c r="K469" s="435">
        <f>'Supply chain'!D228</f>
        <v>0</v>
      </c>
      <c r="L469" s="435" t="str">
        <f>'Supply chain'!E228</f>
        <v>Tier 2</v>
      </c>
      <c r="M469" s="435">
        <f>'Supply chain'!F228</f>
        <v>0</v>
      </c>
      <c r="N469" s="435">
        <f>'Supply chain'!G228</f>
        <v>0</v>
      </c>
      <c r="O469" s="435" t="str">
        <f>'Supply chain'!H228</f>
        <v>£</v>
      </c>
      <c r="P469" s="435">
        <f>'Supply chain'!I228</f>
        <v>0</v>
      </c>
      <c r="Q469" s="435" t="str">
        <f>'Supply chain'!J228</f>
        <v>£</v>
      </c>
      <c r="R469" s="435" t="str">
        <f>'Supply chain'!K228</f>
        <v/>
      </c>
      <c r="S469" s="435">
        <f>'Supply chain'!L228</f>
        <v>0</v>
      </c>
      <c r="T469" s="435">
        <f>'Supply chain'!M228</f>
        <v>0</v>
      </c>
      <c r="U469" s="435">
        <f>'Supply chain'!N228</f>
        <v>0</v>
      </c>
      <c r="V469" s="435">
        <f>'Supply chain'!O228</f>
        <v>0</v>
      </c>
      <c r="W469" s="435">
        <f>'Supply chain'!P228</f>
        <v>0</v>
      </c>
      <c r="X469" s="435">
        <f>'Supply chain'!Q228</f>
        <v>0</v>
      </c>
      <c r="Y469" s="435">
        <f>'Supply chain'!R228</f>
        <v>0</v>
      </c>
      <c r="Z469" s="435">
        <f>'Supply chain'!S228</f>
        <v>0</v>
      </c>
      <c r="AA469" s="435" t="str">
        <f>'Supply chain'!T228</f>
        <v/>
      </c>
      <c r="AB469" s="435" t="str">
        <f>'Supply chain'!U228</f>
        <v/>
      </c>
      <c r="AC469" s="435">
        <f>'Supply chain'!V228</f>
        <v>0</v>
      </c>
      <c r="AE469" s="432">
        <f t="shared" si="18"/>
        <v>0</v>
      </c>
      <c r="AF469" s="432">
        <f t="shared" si="19"/>
        <v>0</v>
      </c>
    </row>
    <row r="470" spans="2:32" x14ac:dyDescent="0.35">
      <c r="B470" s="432" t="e">
        <f>"2024"&amp;MATCH(Totals!D470,OrgType,0)&amp;"_"&amp;MATCH(Totals!E470,Organisations,0)&amp;"_"&amp;LEFT(Totals!F470,1)&amp;"_"&amp;LEFT(G470,1)&amp;"_"&amp;COUNTIF($G$3:G470,G470)</f>
        <v>#N/A</v>
      </c>
      <c r="C470" s="432">
        <v>2098</v>
      </c>
      <c r="D470" s="432">
        <f>Introduction!$D$7</f>
        <v>0</v>
      </c>
      <c r="E470" s="432">
        <f>Introduction!$D$8</f>
        <v>0</v>
      </c>
      <c r="F470" s="432" t="s">
        <v>558</v>
      </c>
      <c r="G470" s="432" t="s">
        <v>558</v>
      </c>
      <c r="H470" s="433"/>
      <c r="I470" s="435" t="str">
        <f>'Supply chain'!B229</f>
        <v/>
      </c>
      <c r="J470" s="435" t="str">
        <f>'Supply chain'!C229</f>
        <v/>
      </c>
      <c r="K470" s="435">
        <f>'Supply chain'!D229</f>
        <v>0</v>
      </c>
      <c r="L470" s="435" t="str">
        <f>'Supply chain'!E229</f>
        <v>Tier 2</v>
      </c>
      <c r="M470" s="435">
        <f>'Supply chain'!F229</f>
        <v>0</v>
      </c>
      <c r="N470" s="435">
        <f>'Supply chain'!G229</f>
        <v>0</v>
      </c>
      <c r="O470" s="435" t="str">
        <f>'Supply chain'!H229</f>
        <v>£</v>
      </c>
      <c r="P470" s="435">
        <f>'Supply chain'!I229</f>
        <v>0</v>
      </c>
      <c r="Q470" s="435" t="str">
        <f>'Supply chain'!J229</f>
        <v>£</v>
      </c>
      <c r="R470" s="435" t="str">
        <f>'Supply chain'!K229</f>
        <v/>
      </c>
      <c r="S470" s="435">
        <f>'Supply chain'!L229</f>
        <v>0</v>
      </c>
      <c r="T470" s="435">
        <f>'Supply chain'!M229</f>
        <v>0</v>
      </c>
      <c r="U470" s="435">
        <f>'Supply chain'!N229</f>
        <v>0</v>
      </c>
      <c r="V470" s="435">
        <f>'Supply chain'!O229</f>
        <v>0</v>
      </c>
      <c r="W470" s="435">
        <f>'Supply chain'!P229</f>
        <v>0</v>
      </c>
      <c r="X470" s="435">
        <f>'Supply chain'!Q229</f>
        <v>0</v>
      </c>
      <c r="Y470" s="435">
        <f>'Supply chain'!R229</f>
        <v>0</v>
      </c>
      <c r="Z470" s="435">
        <f>'Supply chain'!S229</f>
        <v>0</v>
      </c>
      <c r="AA470" s="435" t="str">
        <f>'Supply chain'!T229</f>
        <v/>
      </c>
      <c r="AB470" s="435" t="str">
        <f>'Supply chain'!U229</f>
        <v/>
      </c>
      <c r="AC470" s="435">
        <f>'Supply chain'!V229</f>
        <v>0</v>
      </c>
      <c r="AE470" s="432">
        <f t="shared" si="18"/>
        <v>0</v>
      </c>
      <c r="AF470" s="432">
        <f t="shared" si="19"/>
        <v>0</v>
      </c>
    </row>
    <row r="471" spans="2:32" x14ac:dyDescent="0.35">
      <c r="B471" s="432" t="e">
        <f>"2024"&amp;MATCH(Totals!D471,OrgType,0)&amp;"_"&amp;MATCH(Totals!E471,Organisations,0)&amp;"_"&amp;LEFT(Totals!F471,1)&amp;"_"&amp;LEFT(G471,1)&amp;"_"&amp;COUNTIF($G$3:G471,G471)</f>
        <v>#N/A</v>
      </c>
      <c r="C471" s="432">
        <v>2099</v>
      </c>
      <c r="D471" s="432">
        <f>Introduction!$D$7</f>
        <v>0</v>
      </c>
      <c r="E471" s="432">
        <f>Introduction!$D$8</f>
        <v>0</v>
      </c>
      <c r="F471" s="432" t="s">
        <v>558</v>
      </c>
      <c r="G471" s="432" t="s">
        <v>558</v>
      </c>
      <c r="H471" s="433"/>
      <c r="I471" s="435" t="str">
        <f>'Supply chain'!B230</f>
        <v/>
      </c>
      <c r="J471" s="435" t="str">
        <f>'Supply chain'!C230</f>
        <v/>
      </c>
      <c r="K471" s="435">
        <f>'Supply chain'!D230</f>
        <v>0</v>
      </c>
      <c r="L471" s="435" t="str">
        <f>'Supply chain'!E230</f>
        <v>Tier 2</v>
      </c>
      <c r="M471" s="435">
        <f>'Supply chain'!F230</f>
        <v>0</v>
      </c>
      <c r="N471" s="435">
        <f>'Supply chain'!G230</f>
        <v>0</v>
      </c>
      <c r="O471" s="435" t="str">
        <f>'Supply chain'!H230</f>
        <v>£</v>
      </c>
      <c r="P471" s="435">
        <f>'Supply chain'!I230</f>
        <v>0</v>
      </c>
      <c r="Q471" s="435" t="str">
        <f>'Supply chain'!J230</f>
        <v>£</v>
      </c>
      <c r="R471" s="435" t="str">
        <f>'Supply chain'!K230</f>
        <v/>
      </c>
      <c r="S471" s="435">
        <f>'Supply chain'!L230</f>
        <v>0</v>
      </c>
      <c r="T471" s="435">
        <f>'Supply chain'!M230</f>
        <v>0</v>
      </c>
      <c r="U471" s="435">
        <f>'Supply chain'!N230</f>
        <v>0</v>
      </c>
      <c r="V471" s="435">
        <f>'Supply chain'!O230</f>
        <v>0</v>
      </c>
      <c r="W471" s="435">
        <f>'Supply chain'!P230</f>
        <v>0</v>
      </c>
      <c r="X471" s="435">
        <f>'Supply chain'!Q230</f>
        <v>0</v>
      </c>
      <c r="Y471" s="435">
        <f>'Supply chain'!R230</f>
        <v>0</v>
      </c>
      <c r="Z471" s="435">
        <f>'Supply chain'!S230</f>
        <v>0</v>
      </c>
      <c r="AA471" s="435" t="str">
        <f>'Supply chain'!T230</f>
        <v/>
      </c>
      <c r="AB471" s="435" t="str">
        <f>'Supply chain'!U230</f>
        <v/>
      </c>
      <c r="AC471" s="435">
        <f>'Supply chain'!V230</f>
        <v>0</v>
      </c>
      <c r="AE471" s="432">
        <f t="shared" si="18"/>
        <v>0</v>
      </c>
      <c r="AF471" s="432">
        <f t="shared" si="19"/>
        <v>0</v>
      </c>
    </row>
    <row r="472" spans="2:32" x14ac:dyDescent="0.35">
      <c r="B472" s="432" t="e">
        <f>"2024"&amp;MATCH(Totals!D472,OrgType,0)&amp;"_"&amp;MATCH(Totals!E472,Organisations,0)&amp;"_"&amp;LEFT(Totals!F472,1)&amp;"_"&amp;LEFT(G472,1)&amp;"_"&amp;COUNTIF($G$3:G472,G472)</f>
        <v>#N/A</v>
      </c>
      <c r="C472" s="432">
        <v>2100</v>
      </c>
      <c r="D472" s="432">
        <f>Introduction!$D$7</f>
        <v>0</v>
      </c>
      <c r="E472" s="432">
        <f>Introduction!$D$8</f>
        <v>0</v>
      </c>
      <c r="F472" s="432" t="s">
        <v>558</v>
      </c>
      <c r="G472" s="432" t="s">
        <v>558</v>
      </c>
      <c r="H472" s="433"/>
      <c r="I472" s="435" t="str">
        <f>'Supply chain'!B231</f>
        <v/>
      </c>
      <c r="J472" s="435" t="str">
        <f>'Supply chain'!C231</f>
        <v/>
      </c>
      <c r="K472" s="435">
        <f>'Supply chain'!D231</f>
        <v>0</v>
      </c>
      <c r="L472" s="435" t="str">
        <f>'Supply chain'!E231</f>
        <v>Tier 2</v>
      </c>
      <c r="M472" s="435">
        <f>'Supply chain'!F231</f>
        <v>0</v>
      </c>
      <c r="N472" s="435">
        <f>'Supply chain'!G231</f>
        <v>0</v>
      </c>
      <c r="O472" s="435" t="str">
        <f>'Supply chain'!H231</f>
        <v>£</v>
      </c>
      <c r="P472" s="435">
        <f>'Supply chain'!I231</f>
        <v>0</v>
      </c>
      <c r="Q472" s="435" t="str">
        <f>'Supply chain'!J231</f>
        <v>£</v>
      </c>
      <c r="R472" s="435" t="str">
        <f>'Supply chain'!K231</f>
        <v/>
      </c>
      <c r="S472" s="435">
        <f>'Supply chain'!L231</f>
        <v>0</v>
      </c>
      <c r="T472" s="435">
        <f>'Supply chain'!M231</f>
        <v>0</v>
      </c>
      <c r="U472" s="435">
        <f>'Supply chain'!N231</f>
        <v>0</v>
      </c>
      <c r="V472" s="435">
        <f>'Supply chain'!O231</f>
        <v>0</v>
      </c>
      <c r="W472" s="435">
        <f>'Supply chain'!P231</f>
        <v>0</v>
      </c>
      <c r="X472" s="435">
        <f>'Supply chain'!Q231</f>
        <v>0</v>
      </c>
      <c r="Y472" s="435">
        <f>'Supply chain'!R231</f>
        <v>0</v>
      </c>
      <c r="Z472" s="435">
        <f>'Supply chain'!S231</f>
        <v>0</v>
      </c>
      <c r="AA472" s="435" t="str">
        <f>'Supply chain'!T231</f>
        <v/>
      </c>
      <c r="AB472" s="435" t="str">
        <f>'Supply chain'!U231</f>
        <v/>
      </c>
      <c r="AC472" s="435">
        <f>'Supply chain'!V231</f>
        <v>0</v>
      </c>
      <c r="AE472" s="432">
        <f t="shared" si="18"/>
        <v>0</v>
      </c>
      <c r="AF472" s="432">
        <f t="shared" si="19"/>
        <v>0</v>
      </c>
    </row>
    <row r="473" spans="2:32" x14ac:dyDescent="0.35">
      <c r="B473" s="432" t="e">
        <f>"2024"&amp;MATCH(Totals!D473,OrgType,0)&amp;"_"&amp;MATCH(Totals!E473,Organisations,0)&amp;"_"&amp;LEFT(Totals!F473,1)&amp;"_"&amp;LEFT(G473,1)&amp;"_"&amp;COUNTIF($G$3:G473,G473)</f>
        <v>#N/A</v>
      </c>
      <c r="C473" s="432">
        <v>2101</v>
      </c>
      <c r="D473" s="432">
        <f>Introduction!$D$7</f>
        <v>0</v>
      </c>
      <c r="E473" s="432">
        <f>Introduction!$D$8</f>
        <v>0</v>
      </c>
      <c r="F473" s="432" t="s">
        <v>558</v>
      </c>
      <c r="G473" s="432" t="s">
        <v>558</v>
      </c>
      <c r="H473" s="433"/>
      <c r="I473" s="435" t="str">
        <f>'Supply chain'!B232</f>
        <v/>
      </c>
      <c r="J473" s="435" t="str">
        <f>'Supply chain'!C232</f>
        <v/>
      </c>
      <c r="K473" s="435">
        <f>'Supply chain'!D232</f>
        <v>0</v>
      </c>
      <c r="L473" s="435" t="str">
        <f>'Supply chain'!E232</f>
        <v>Tier 2</v>
      </c>
      <c r="M473" s="435">
        <f>'Supply chain'!F232</f>
        <v>0</v>
      </c>
      <c r="N473" s="435">
        <f>'Supply chain'!G232</f>
        <v>0</v>
      </c>
      <c r="O473" s="435" t="str">
        <f>'Supply chain'!H232</f>
        <v>£</v>
      </c>
      <c r="P473" s="435">
        <f>'Supply chain'!I232</f>
        <v>0</v>
      </c>
      <c r="Q473" s="435" t="str">
        <f>'Supply chain'!J232</f>
        <v>£</v>
      </c>
      <c r="R473" s="435" t="str">
        <f>'Supply chain'!K232</f>
        <v/>
      </c>
      <c r="S473" s="435">
        <f>'Supply chain'!L232</f>
        <v>0</v>
      </c>
      <c r="T473" s="435">
        <f>'Supply chain'!M232</f>
        <v>0</v>
      </c>
      <c r="U473" s="435">
        <f>'Supply chain'!N232</f>
        <v>0</v>
      </c>
      <c r="V473" s="435">
        <f>'Supply chain'!O232</f>
        <v>0</v>
      </c>
      <c r="W473" s="435">
        <f>'Supply chain'!P232</f>
        <v>0</v>
      </c>
      <c r="X473" s="435">
        <f>'Supply chain'!Q232</f>
        <v>0</v>
      </c>
      <c r="Y473" s="435">
        <f>'Supply chain'!R232</f>
        <v>0</v>
      </c>
      <c r="Z473" s="435">
        <f>'Supply chain'!S232</f>
        <v>0</v>
      </c>
      <c r="AA473" s="435" t="str">
        <f>'Supply chain'!T232</f>
        <v/>
      </c>
      <c r="AB473" s="435" t="str">
        <f>'Supply chain'!U232</f>
        <v/>
      </c>
      <c r="AC473" s="435">
        <f>'Supply chain'!V232</f>
        <v>0</v>
      </c>
      <c r="AE473" s="432">
        <f t="shared" si="18"/>
        <v>0</v>
      </c>
      <c r="AF473" s="432">
        <f t="shared" si="19"/>
        <v>0</v>
      </c>
    </row>
    <row r="474" spans="2:32" x14ac:dyDescent="0.35">
      <c r="B474" s="432" t="e">
        <f>"2024"&amp;MATCH(Totals!D474,OrgType,0)&amp;"_"&amp;MATCH(Totals!E474,Organisations,0)&amp;"_"&amp;LEFT(Totals!F474,1)&amp;"_"&amp;LEFT(G474,1)&amp;"_"&amp;COUNTIF($G$3:G474,G474)</f>
        <v>#N/A</v>
      </c>
      <c r="C474" s="432">
        <v>2102</v>
      </c>
      <c r="D474" s="432">
        <f>Introduction!$D$7</f>
        <v>0</v>
      </c>
      <c r="E474" s="432">
        <f>Introduction!$D$8</f>
        <v>0</v>
      </c>
      <c r="F474" s="432" t="s">
        <v>558</v>
      </c>
      <c r="G474" s="432" t="s">
        <v>558</v>
      </c>
      <c r="H474" s="433"/>
      <c r="I474" s="435" t="str">
        <f>'Supply chain'!B233</f>
        <v/>
      </c>
      <c r="J474" s="435" t="str">
        <f>'Supply chain'!C233</f>
        <v/>
      </c>
      <c r="K474" s="435">
        <f>'Supply chain'!D233</f>
        <v>0</v>
      </c>
      <c r="L474" s="435" t="str">
        <f>'Supply chain'!E233</f>
        <v>Tier 2</v>
      </c>
      <c r="M474" s="435">
        <f>'Supply chain'!F233</f>
        <v>0</v>
      </c>
      <c r="N474" s="435">
        <f>'Supply chain'!G233</f>
        <v>0</v>
      </c>
      <c r="O474" s="435" t="str">
        <f>'Supply chain'!H233</f>
        <v>£</v>
      </c>
      <c r="P474" s="435">
        <f>'Supply chain'!I233</f>
        <v>0</v>
      </c>
      <c r="Q474" s="435" t="str">
        <f>'Supply chain'!J233</f>
        <v>£</v>
      </c>
      <c r="R474" s="435" t="str">
        <f>'Supply chain'!K233</f>
        <v/>
      </c>
      <c r="S474" s="435">
        <f>'Supply chain'!L233</f>
        <v>0</v>
      </c>
      <c r="T474" s="435">
        <f>'Supply chain'!M233</f>
        <v>0</v>
      </c>
      <c r="U474" s="435">
        <f>'Supply chain'!N233</f>
        <v>0</v>
      </c>
      <c r="V474" s="435">
        <f>'Supply chain'!O233</f>
        <v>0</v>
      </c>
      <c r="W474" s="435">
        <f>'Supply chain'!P233</f>
        <v>0</v>
      </c>
      <c r="X474" s="435">
        <f>'Supply chain'!Q233</f>
        <v>0</v>
      </c>
      <c r="Y474" s="435">
        <f>'Supply chain'!R233</f>
        <v>0</v>
      </c>
      <c r="Z474" s="435">
        <f>'Supply chain'!S233</f>
        <v>0</v>
      </c>
      <c r="AA474" s="435" t="str">
        <f>'Supply chain'!T233</f>
        <v/>
      </c>
      <c r="AB474" s="435" t="str">
        <f>'Supply chain'!U233</f>
        <v/>
      </c>
      <c r="AC474" s="435">
        <f>'Supply chain'!V233</f>
        <v>0</v>
      </c>
      <c r="AE474" s="432">
        <f t="shared" si="18"/>
        <v>0</v>
      </c>
      <c r="AF474" s="432">
        <f t="shared" si="19"/>
        <v>0</v>
      </c>
    </row>
    <row r="475" spans="2:32" x14ac:dyDescent="0.35">
      <c r="B475" s="432" t="e">
        <f>"2024"&amp;MATCH(Totals!D475,OrgType,0)&amp;"_"&amp;MATCH(Totals!E475,Organisations,0)&amp;"_"&amp;LEFT(Totals!F475,1)&amp;"_"&amp;LEFT(G475,1)&amp;"_"&amp;COUNTIF($G$3:G475,G475)</f>
        <v>#N/A</v>
      </c>
      <c r="C475" s="432">
        <v>2103</v>
      </c>
      <c r="D475" s="432">
        <f>Introduction!$D$7</f>
        <v>0</v>
      </c>
      <c r="E475" s="432">
        <f>Introduction!$D$8</f>
        <v>0</v>
      </c>
      <c r="F475" s="432" t="s">
        <v>558</v>
      </c>
      <c r="G475" s="432" t="s">
        <v>558</v>
      </c>
      <c r="H475" s="433"/>
      <c r="I475" s="435" t="str">
        <f>'Supply chain'!B234</f>
        <v/>
      </c>
      <c r="J475" s="435" t="str">
        <f>'Supply chain'!C234</f>
        <v/>
      </c>
      <c r="K475" s="435">
        <f>'Supply chain'!D234</f>
        <v>0</v>
      </c>
      <c r="L475" s="435" t="str">
        <f>'Supply chain'!E234</f>
        <v>Tier 2</v>
      </c>
      <c r="M475" s="435">
        <f>'Supply chain'!F234</f>
        <v>0</v>
      </c>
      <c r="N475" s="435">
        <f>'Supply chain'!G234</f>
        <v>0</v>
      </c>
      <c r="O475" s="435" t="str">
        <f>'Supply chain'!H234</f>
        <v>£</v>
      </c>
      <c r="P475" s="435">
        <f>'Supply chain'!I234</f>
        <v>0</v>
      </c>
      <c r="Q475" s="435" t="str">
        <f>'Supply chain'!J234</f>
        <v>£</v>
      </c>
      <c r="R475" s="435" t="str">
        <f>'Supply chain'!K234</f>
        <v/>
      </c>
      <c r="S475" s="435">
        <f>'Supply chain'!L234</f>
        <v>0</v>
      </c>
      <c r="T475" s="435">
        <f>'Supply chain'!M234</f>
        <v>0</v>
      </c>
      <c r="U475" s="435">
        <f>'Supply chain'!N234</f>
        <v>0</v>
      </c>
      <c r="V475" s="435">
        <f>'Supply chain'!O234</f>
        <v>0</v>
      </c>
      <c r="W475" s="435">
        <f>'Supply chain'!P234</f>
        <v>0</v>
      </c>
      <c r="X475" s="435">
        <f>'Supply chain'!Q234</f>
        <v>0</v>
      </c>
      <c r="Y475" s="435">
        <f>'Supply chain'!R234</f>
        <v>0</v>
      </c>
      <c r="Z475" s="435">
        <f>'Supply chain'!S234</f>
        <v>0</v>
      </c>
      <c r="AA475" s="435" t="str">
        <f>'Supply chain'!T234</f>
        <v/>
      </c>
      <c r="AB475" s="435" t="str">
        <f>'Supply chain'!U234</f>
        <v/>
      </c>
      <c r="AC475" s="435">
        <f>'Supply chain'!V234</f>
        <v>0</v>
      </c>
      <c r="AE475" s="432">
        <f t="shared" si="18"/>
        <v>0</v>
      </c>
      <c r="AF475" s="432">
        <f t="shared" si="19"/>
        <v>0</v>
      </c>
    </row>
    <row r="476" spans="2:32" x14ac:dyDescent="0.35">
      <c r="B476" s="432" t="e">
        <f>"2024"&amp;MATCH(Totals!D476,OrgType,0)&amp;"_"&amp;MATCH(Totals!E476,Organisations,0)&amp;"_"&amp;LEFT(Totals!F476,1)&amp;"_"&amp;LEFT(G476,1)&amp;"_"&amp;COUNTIF($G$3:G476,G476)</f>
        <v>#N/A</v>
      </c>
      <c r="C476" s="432">
        <v>2104</v>
      </c>
      <c r="D476" s="432">
        <f>Introduction!$D$7</f>
        <v>0</v>
      </c>
      <c r="E476" s="432">
        <f>Introduction!$D$8</f>
        <v>0</v>
      </c>
      <c r="F476" s="432" t="s">
        <v>558</v>
      </c>
      <c r="G476" s="432" t="s">
        <v>558</v>
      </c>
      <c r="H476" s="433"/>
      <c r="I476" s="435" t="str">
        <f>'Supply chain'!B235</f>
        <v/>
      </c>
      <c r="J476" s="435" t="str">
        <f>'Supply chain'!C235</f>
        <v/>
      </c>
      <c r="K476" s="435">
        <f>'Supply chain'!D235</f>
        <v>0</v>
      </c>
      <c r="L476" s="435" t="str">
        <f>'Supply chain'!E235</f>
        <v>Tier 2</v>
      </c>
      <c r="M476" s="435">
        <f>'Supply chain'!F235</f>
        <v>0</v>
      </c>
      <c r="N476" s="435">
        <f>'Supply chain'!G235</f>
        <v>0</v>
      </c>
      <c r="O476" s="435" t="str">
        <f>'Supply chain'!H235</f>
        <v>£</v>
      </c>
      <c r="P476" s="435">
        <f>'Supply chain'!I235</f>
        <v>0</v>
      </c>
      <c r="Q476" s="435" t="str">
        <f>'Supply chain'!J235</f>
        <v>£</v>
      </c>
      <c r="R476" s="435" t="str">
        <f>'Supply chain'!K235</f>
        <v/>
      </c>
      <c r="S476" s="435">
        <f>'Supply chain'!L235</f>
        <v>0</v>
      </c>
      <c r="T476" s="435">
        <f>'Supply chain'!M235</f>
        <v>0</v>
      </c>
      <c r="U476" s="435">
        <f>'Supply chain'!N235</f>
        <v>0</v>
      </c>
      <c r="V476" s="435">
        <f>'Supply chain'!O235</f>
        <v>0</v>
      </c>
      <c r="W476" s="435">
        <f>'Supply chain'!P235</f>
        <v>0</v>
      </c>
      <c r="X476" s="435">
        <f>'Supply chain'!Q235</f>
        <v>0</v>
      </c>
      <c r="Y476" s="435">
        <f>'Supply chain'!R235</f>
        <v>0</v>
      </c>
      <c r="Z476" s="435">
        <f>'Supply chain'!S235</f>
        <v>0</v>
      </c>
      <c r="AA476" s="435" t="str">
        <f>'Supply chain'!T235</f>
        <v/>
      </c>
      <c r="AB476" s="435" t="str">
        <f>'Supply chain'!U235</f>
        <v/>
      </c>
      <c r="AC476" s="435">
        <f>'Supply chain'!V235</f>
        <v>0</v>
      </c>
      <c r="AE476" s="432">
        <f t="shared" si="18"/>
        <v>0</v>
      </c>
      <c r="AF476" s="432">
        <f t="shared" si="19"/>
        <v>0</v>
      </c>
    </row>
    <row r="477" spans="2:32" x14ac:dyDescent="0.35">
      <c r="B477" s="432" t="e">
        <f>"2024"&amp;MATCH(Totals!D477,OrgType,0)&amp;"_"&amp;MATCH(Totals!E477,Organisations,0)&amp;"_"&amp;LEFT(Totals!F477,1)&amp;"_"&amp;LEFT(G477,1)&amp;"_"&amp;COUNTIF($G$3:G477,G477)</f>
        <v>#N/A</v>
      </c>
      <c r="C477" s="432">
        <v>2105</v>
      </c>
      <c r="D477" s="432">
        <f>Introduction!$D$7</f>
        <v>0</v>
      </c>
      <c r="E477" s="432">
        <f>Introduction!$D$8</f>
        <v>0</v>
      </c>
      <c r="F477" s="432" t="s">
        <v>558</v>
      </c>
      <c r="G477" s="432" t="s">
        <v>558</v>
      </c>
      <c r="H477" s="433"/>
      <c r="I477" s="435" t="str">
        <f>'Supply chain'!B236</f>
        <v/>
      </c>
      <c r="J477" s="435" t="str">
        <f>'Supply chain'!C236</f>
        <v/>
      </c>
      <c r="K477" s="435">
        <f>'Supply chain'!D236</f>
        <v>0</v>
      </c>
      <c r="L477" s="435" t="str">
        <f>'Supply chain'!E236</f>
        <v>Tier 2</v>
      </c>
      <c r="M477" s="435">
        <f>'Supply chain'!F236</f>
        <v>0</v>
      </c>
      <c r="N477" s="435">
        <f>'Supply chain'!G236</f>
        <v>0</v>
      </c>
      <c r="O477" s="435" t="str">
        <f>'Supply chain'!H236</f>
        <v>£</v>
      </c>
      <c r="P477" s="435">
        <f>'Supply chain'!I236</f>
        <v>0</v>
      </c>
      <c r="Q477" s="435" t="str">
        <f>'Supply chain'!J236</f>
        <v>£</v>
      </c>
      <c r="R477" s="435" t="str">
        <f>'Supply chain'!K236</f>
        <v/>
      </c>
      <c r="S477" s="435">
        <f>'Supply chain'!L236</f>
        <v>0</v>
      </c>
      <c r="T477" s="435">
        <f>'Supply chain'!M236</f>
        <v>0</v>
      </c>
      <c r="U477" s="435">
        <f>'Supply chain'!N236</f>
        <v>0</v>
      </c>
      <c r="V477" s="435">
        <f>'Supply chain'!O236</f>
        <v>0</v>
      </c>
      <c r="W477" s="435">
        <f>'Supply chain'!P236</f>
        <v>0</v>
      </c>
      <c r="X477" s="435">
        <f>'Supply chain'!Q236</f>
        <v>0</v>
      </c>
      <c r="Y477" s="435">
        <f>'Supply chain'!R236</f>
        <v>0</v>
      </c>
      <c r="Z477" s="435">
        <f>'Supply chain'!S236</f>
        <v>0</v>
      </c>
      <c r="AA477" s="435" t="str">
        <f>'Supply chain'!T236</f>
        <v/>
      </c>
      <c r="AB477" s="435" t="str">
        <f>'Supply chain'!U236</f>
        <v/>
      </c>
      <c r="AC477" s="435">
        <f>'Supply chain'!V236</f>
        <v>0</v>
      </c>
      <c r="AE477" s="432">
        <f t="shared" si="18"/>
        <v>0</v>
      </c>
      <c r="AF477" s="432">
        <f t="shared" si="19"/>
        <v>0</v>
      </c>
    </row>
    <row r="478" spans="2:32" x14ac:dyDescent="0.35">
      <c r="B478" s="432" t="e">
        <f>"2024"&amp;MATCH(Totals!D478,OrgType,0)&amp;"_"&amp;MATCH(Totals!E478,Organisations,0)&amp;"_"&amp;LEFT(Totals!F478,1)&amp;"_"&amp;LEFT(G478,1)&amp;"_"&amp;COUNTIF($G$3:G478,G478)</f>
        <v>#N/A</v>
      </c>
      <c r="C478" s="432">
        <v>2106</v>
      </c>
      <c r="D478" s="432">
        <f>Introduction!$D$7</f>
        <v>0</v>
      </c>
      <c r="E478" s="432">
        <f>Introduction!$D$8</f>
        <v>0</v>
      </c>
      <c r="F478" s="432" t="s">
        <v>558</v>
      </c>
      <c r="G478" s="432" t="s">
        <v>558</v>
      </c>
      <c r="H478" s="433"/>
      <c r="I478" s="435" t="str">
        <f>'Supply chain'!B237</f>
        <v/>
      </c>
      <c r="J478" s="435" t="str">
        <f>'Supply chain'!C237</f>
        <v/>
      </c>
      <c r="K478" s="435">
        <f>'Supply chain'!D237</f>
        <v>0</v>
      </c>
      <c r="L478" s="435" t="str">
        <f>'Supply chain'!E237</f>
        <v>Tier 2</v>
      </c>
      <c r="M478" s="435">
        <f>'Supply chain'!F237</f>
        <v>0</v>
      </c>
      <c r="N478" s="435">
        <f>'Supply chain'!G237</f>
        <v>0</v>
      </c>
      <c r="O478" s="435" t="str">
        <f>'Supply chain'!H237</f>
        <v>£</v>
      </c>
      <c r="P478" s="435">
        <f>'Supply chain'!I237</f>
        <v>0</v>
      </c>
      <c r="Q478" s="435" t="str">
        <f>'Supply chain'!J237</f>
        <v>£</v>
      </c>
      <c r="R478" s="435" t="str">
        <f>'Supply chain'!K237</f>
        <v/>
      </c>
      <c r="S478" s="435">
        <f>'Supply chain'!L237</f>
        <v>0</v>
      </c>
      <c r="T478" s="435">
        <f>'Supply chain'!M237</f>
        <v>0</v>
      </c>
      <c r="U478" s="435">
        <f>'Supply chain'!N237</f>
        <v>0</v>
      </c>
      <c r="V478" s="435">
        <f>'Supply chain'!O237</f>
        <v>0</v>
      </c>
      <c r="W478" s="435">
        <f>'Supply chain'!P237</f>
        <v>0</v>
      </c>
      <c r="X478" s="435">
        <f>'Supply chain'!Q237</f>
        <v>0</v>
      </c>
      <c r="Y478" s="435">
        <f>'Supply chain'!R237</f>
        <v>0</v>
      </c>
      <c r="Z478" s="435">
        <f>'Supply chain'!S237</f>
        <v>0</v>
      </c>
      <c r="AA478" s="435" t="str">
        <f>'Supply chain'!T237</f>
        <v/>
      </c>
      <c r="AB478" s="435" t="str">
        <f>'Supply chain'!U237</f>
        <v/>
      </c>
      <c r="AC478" s="435">
        <f>'Supply chain'!V237</f>
        <v>0</v>
      </c>
      <c r="AE478" s="432">
        <f t="shared" si="18"/>
        <v>0</v>
      </c>
      <c r="AF478" s="432">
        <f t="shared" si="19"/>
        <v>0</v>
      </c>
    </row>
    <row r="479" spans="2:32" x14ac:dyDescent="0.35">
      <c r="B479" s="432" t="e">
        <f>"2024"&amp;MATCH(Totals!D479,OrgType,0)&amp;"_"&amp;MATCH(Totals!E479,Organisations,0)&amp;"_"&amp;LEFT(Totals!F479,1)&amp;"_"&amp;LEFT(G479,1)&amp;"_"&amp;COUNTIF($G$3:G479,G479)</f>
        <v>#N/A</v>
      </c>
      <c r="C479" s="432">
        <v>2107</v>
      </c>
      <c r="D479" s="432">
        <f>Introduction!$D$7</f>
        <v>0</v>
      </c>
      <c r="E479" s="432">
        <f>Introduction!$D$8</f>
        <v>0</v>
      </c>
      <c r="F479" s="432" t="s">
        <v>558</v>
      </c>
      <c r="G479" s="432" t="s">
        <v>558</v>
      </c>
      <c r="H479" s="433"/>
      <c r="I479" s="435" t="str">
        <f>'Supply chain'!B238</f>
        <v/>
      </c>
      <c r="J479" s="435" t="str">
        <f>'Supply chain'!C238</f>
        <v/>
      </c>
      <c r="K479" s="435">
        <f>'Supply chain'!D238</f>
        <v>0</v>
      </c>
      <c r="L479" s="435" t="str">
        <f>'Supply chain'!E238</f>
        <v>Tier 2</v>
      </c>
      <c r="M479" s="435">
        <f>'Supply chain'!F238</f>
        <v>0</v>
      </c>
      <c r="N479" s="435">
        <f>'Supply chain'!G238</f>
        <v>0</v>
      </c>
      <c r="O479" s="435" t="str">
        <f>'Supply chain'!H238</f>
        <v>£</v>
      </c>
      <c r="P479" s="435">
        <f>'Supply chain'!I238</f>
        <v>0</v>
      </c>
      <c r="Q479" s="435" t="str">
        <f>'Supply chain'!J238</f>
        <v>£</v>
      </c>
      <c r="R479" s="435" t="str">
        <f>'Supply chain'!K238</f>
        <v/>
      </c>
      <c r="S479" s="435">
        <f>'Supply chain'!L238</f>
        <v>0</v>
      </c>
      <c r="T479" s="435">
        <f>'Supply chain'!M238</f>
        <v>0</v>
      </c>
      <c r="U479" s="435">
        <f>'Supply chain'!N238</f>
        <v>0</v>
      </c>
      <c r="V479" s="435">
        <f>'Supply chain'!O238</f>
        <v>0</v>
      </c>
      <c r="W479" s="435">
        <f>'Supply chain'!P238</f>
        <v>0</v>
      </c>
      <c r="X479" s="435">
        <f>'Supply chain'!Q238</f>
        <v>0</v>
      </c>
      <c r="Y479" s="435">
        <f>'Supply chain'!R238</f>
        <v>0</v>
      </c>
      <c r="Z479" s="435">
        <f>'Supply chain'!S238</f>
        <v>0</v>
      </c>
      <c r="AA479" s="435" t="str">
        <f>'Supply chain'!T238</f>
        <v/>
      </c>
      <c r="AB479" s="435" t="str">
        <f>'Supply chain'!U238</f>
        <v/>
      </c>
      <c r="AC479" s="435">
        <f>'Supply chain'!V238</f>
        <v>0</v>
      </c>
      <c r="AE479" s="432">
        <f t="shared" si="18"/>
        <v>0</v>
      </c>
      <c r="AF479" s="432">
        <f t="shared" si="19"/>
        <v>0</v>
      </c>
    </row>
    <row r="480" spans="2:32" x14ac:dyDescent="0.35">
      <c r="B480" s="432" t="e">
        <f>"2024"&amp;MATCH(Totals!D480,OrgType,0)&amp;"_"&amp;MATCH(Totals!E480,Organisations,0)&amp;"_"&amp;LEFT(Totals!F480,1)&amp;"_"&amp;LEFT(G480,1)&amp;"_"&amp;COUNTIF($G$3:G480,G480)</f>
        <v>#N/A</v>
      </c>
      <c r="C480" s="432">
        <v>2108</v>
      </c>
      <c r="D480" s="432">
        <f>Introduction!$D$7</f>
        <v>0</v>
      </c>
      <c r="E480" s="432">
        <f>Introduction!$D$8</f>
        <v>0</v>
      </c>
      <c r="F480" s="432" t="s">
        <v>558</v>
      </c>
      <c r="G480" s="432" t="s">
        <v>558</v>
      </c>
      <c r="H480" s="433"/>
      <c r="I480" s="435" t="str">
        <f>'Supply chain'!B239</f>
        <v/>
      </c>
      <c r="J480" s="435" t="str">
        <f>'Supply chain'!C239</f>
        <v/>
      </c>
      <c r="K480" s="435">
        <f>'Supply chain'!D239</f>
        <v>0</v>
      </c>
      <c r="L480" s="435" t="str">
        <f>'Supply chain'!E239</f>
        <v>Tier 2</v>
      </c>
      <c r="M480" s="435">
        <f>'Supply chain'!F239</f>
        <v>0</v>
      </c>
      <c r="N480" s="435">
        <f>'Supply chain'!G239</f>
        <v>0</v>
      </c>
      <c r="O480" s="435" t="str">
        <f>'Supply chain'!H239</f>
        <v>£</v>
      </c>
      <c r="P480" s="435">
        <f>'Supply chain'!I239</f>
        <v>0</v>
      </c>
      <c r="Q480" s="435" t="str">
        <f>'Supply chain'!J239</f>
        <v>£</v>
      </c>
      <c r="R480" s="435" t="str">
        <f>'Supply chain'!K239</f>
        <v/>
      </c>
      <c r="S480" s="435">
        <f>'Supply chain'!L239</f>
        <v>0</v>
      </c>
      <c r="T480" s="435">
        <f>'Supply chain'!M239</f>
        <v>0</v>
      </c>
      <c r="U480" s="435">
        <f>'Supply chain'!N239</f>
        <v>0</v>
      </c>
      <c r="V480" s="435">
        <f>'Supply chain'!O239</f>
        <v>0</v>
      </c>
      <c r="W480" s="435">
        <f>'Supply chain'!P239</f>
        <v>0</v>
      </c>
      <c r="X480" s="435">
        <f>'Supply chain'!Q239</f>
        <v>0</v>
      </c>
      <c r="Y480" s="435">
        <f>'Supply chain'!R239</f>
        <v>0</v>
      </c>
      <c r="Z480" s="435">
        <f>'Supply chain'!S239</f>
        <v>0</v>
      </c>
      <c r="AA480" s="435" t="str">
        <f>'Supply chain'!T239</f>
        <v/>
      </c>
      <c r="AB480" s="435" t="str">
        <f>'Supply chain'!U239</f>
        <v/>
      </c>
      <c r="AC480" s="435">
        <f>'Supply chain'!V239</f>
        <v>0</v>
      </c>
      <c r="AE480" s="432">
        <f t="shared" si="18"/>
        <v>0</v>
      </c>
      <c r="AF480" s="432">
        <f t="shared" si="19"/>
        <v>0</v>
      </c>
    </row>
    <row r="481" spans="2:32" x14ac:dyDescent="0.35">
      <c r="B481" s="432" t="e">
        <f>"2024"&amp;MATCH(Totals!D481,OrgType,0)&amp;"_"&amp;MATCH(Totals!E481,Organisations,0)&amp;"_"&amp;LEFT(Totals!F481,1)&amp;"_"&amp;LEFT(G481,1)&amp;"_"&amp;COUNTIF($G$3:G481,G481)</f>
        <v>#N/A</v>
      </c>
      <c r="C481" s="432">
        <v>2109</v>
      </c>
      <c r="D481" s="432">
        <f>Introduction!$D$7</f>
        <v>0</v>
      </c>
      <c r="E481" s="432">
        <f>Introduction!$D$8</f>
        <v>0</v>
      </c>
      <c r="F481" s="432" t="s">
        <v>558</v>
      </c>
      <c r="G481" s="432" t="s">
        <v>558</v>
      </c>
      <c r="H481" s="433"/>
      <c r="I481" s="435" t="str">
        <f>'Supply chain'!B240</f>
        <v/>
      </c>
      <c r="J481" s="435" t="str">
        <f>'Supply chain'!C240</f>
        <v/>
      </c>
      <c r="K481" s="435">
        <f>'Supply chain'!D240</f>
        <v>0</v>
      </c>
      <c r="L481" s="435" t="str">
        <f>'Supply chain'!E240</f>
        <v>Tier 2</v>
      </c>
      <c r="M481" s="435">
        <f>'Supply chain'!F240</f>
        <v>0</v>
      </c>
      <c r="N481" s="435">
        <f>'Supply chain'!G240</f>
        <v>0</v>
      </c>
      <c r="O481" s="435" t="str">
        <f>'Supply chain'!H240</f>
        <v>£</v>
      </c>
      <c r="P481" s="435">
        <f>'Supply chain'!I240</f>
        <v>0</v>
      </c>
      <c r="Q481" s="435" t="str">
        <f>'Supply chain'!J240</f>
        <v>£</v>
      </c>
      <c r="R481" s="435" t="str">
        <f>'Supply chain'!K240</f>
        <v/>
      </c>
      <c r="S481" s="435">
        <f>'Supply chain'!L240</f>
        <v>0</v>
      </c>
      <c r="T481" s="435">
        <f>'Supply chain'!M240</f>
        <v>0</v>
      </c>
      <c r="U481" s="435">
        <f>'Supply chain'!N240</f>
        <v>0</v>
      </c>
      <c r="V481" s="435">
        <f>'Supply chain'!O240</f>
        <v>0</v>
      </c>
      <c r="W481" s="435">
        <f>'Supply chain'!P240</f>
        <v>0</v>
      </c>
      <c r="X481" s="435">
        <f>'Supply chain'!Q240</f>
        <v>0</v>
      </c>
      <c r="Y481" s="435">
        <f>'Supply chain'!R240</f>
        <v>0</v>
      </c>
      <c r="Z481" s="435">
        <f>'Supply chain'!S240</f>
        <v>0</v>
      </c>
      <c r="AA481" s="435" t="str">
        <f>'Supply chain'!T240</f>
        <v/>
      </c>
      <c r="AB481" s="435" t="str">
        <f>'Supply chain'!U240</f>
        <v/>
      </c>
      <c r="AC481" s="435">
        <f>'Supply chain'!V240</f>
        <v>0</v>
      </c>
      <c r="AE481" s="432">
        <f t="shared" si="18"/>
        <v>0</v>
      </c>
      <c r="AF481" s="432">
        <f t="shared" si="19"/>
        <v>0</v>
      </c>
    </row>
    <row r="482" spans="2:32" x14ac:dyDescent="0.35">
      <c r="B482" s="432" t="e">
        <f>"2024"&amp;MATCH(Totals!D482,OrgType,0)&amp;"_"&amp;MATCH(Totals!E482,Organisations,0)&amp;"_"&amp;LEFT(Totals!F482,1)&amp;"_"&amp;LEFT(G482,1)&amp;"_"&amp;COUNTIF($G$3:G482,G482)</f>
        <v>#N/A</v>
      </c>
      <c r="C482" s="432">
        <v>2110</v>
      </c>
      <c r="D482" s="432">
        <f>Introduction!$D$7</f>
        <v>0</v>
      </c>
      <c r="E482" s="432">
        <f>Introduction!$D$8</f>
        <v>0</v>
      </c>
      <c r="F482" s="432" t="s">
        <v>558</v>
      </c>
      <c r="G482" s="432" t="s">
        <v>558</v>
      </c>
      <c r="H482" s="433"/>
      <c r="I482" s="435" t="str">
        <f>'Supply chain'!B241</f>
        <v/>
      </c>
      <c r="J482" s="435" t="str">
        <f>'Supply chain'!C241</f>
        <v/>
      </c>
      <c r="K482" s="435">
        <f>'Supply chain'!D241</f>
        <v>0</v>
      </c>
      <c r="L482" s="435" t="str">
        <f>'Supply chain'!E241</f>
        <v>Tier 2</v>
      </c>
      <c r="M482" s="435">
        <f>'Supply chain'!F241</f>
        <v>0</v>
      </c>
      <c r="N482" s="435">
        <f>'Supply chain'!G241</f>
        <v>0</v>
      </c>
      <c r="O482" s="435" t="str">
        <f>'Supply chain'!H241</f>
        <v>£</v>
      </c>
      <c r="P482" s="435">
        <f>'Supply chain'!I241</f>
        <v>0</v>
      </c>
      <c r="Q482" s="435" t="str">
        <f>'Supply chain'!J241</f>
        <v>£</v>
      </c>
      <c r="R482" s="435" t="str">
        <f>'Supply chain'!K241</f>
        <v/>
      </c>
      <c r="S482" s="435">
        <f>'Supply chain'!L241</f>
        <v>0</v>
      </c>
      <c r="T482" s="435">
        <f>'Supply chain'!M241</f>
        <v>0</v>
      </c>
      <c r="U482" s="435">
        <f>'Supply chain'!N241</f>
        <v>0</v>
      </c>
      <c r="V482" s="435">
        <f>'Supply chain'!O241</f>
        <v>0</v>
      </c>
      <c r="W482" s="435">
        <f>'Supply chain'!P241</f>
        <v>0</v>
      </c>
      <c r="X482" s="435">
        <f>'Supply chain'!Q241</f>
        <v>0</v>
      </c>
      <c r="Y482" s="435">
        <f>'Supply chain'!R241</f>
        <v>0</v>
      </c>
      <c r="Z482" s="435">
        <f>'Supply chain'!S241</f>
        <v>0</v>
      </c>
      <c r="AA482" s="435" t="str">
        <f>'Supply chain'!T241</f>
        <v/>
      </c>
      <c r="AB482" s="435" t="str">
        <f>'Supply chain'!U241</f>
        <v/>
      </c>
      <c r="AC482" s="435">
        <f>'Supply chain'!V241</f>
        <v>0</v>
      </c>
      <c r="AE482" s="432">
        <f t="shared" si="18"/>
        <v>0</v>
      </c>
      <c r="AF482" s="432">
        <f t="shared" si="19"/>
        <v>0</v>
      </c>
    </row>
    <row r="483" spans="2:32" x14ac:dyDescent="0.35">
      <c r="B483" s="432" t="e">
        <f>"2024"&amp;MATCH(Totals!D483,OrgType,0)&amp;"_"&amp;MATCH(Totals!E483,Organisations,0)&amp;"_"&amp;LEFT(Totals!F483,1)&amp;"_"&amp;LEFT(G483,1)&amp;"_"&amp;COUNTIF($G$3:G483,G483)</f>
        <v>#N/A</v>
      </c>
      <c r="C483" s="432">
        <v>2111</v>
      </c>
      <c r="D483" s="432">
        <f>Introduction!$D$7</f>
        <v>0</v>
      </c>
      <c r="E483" s="432">
        <f>Introduction!$D$8</f>
        <v>0</v>
      </c>
      <c r="F483" s="432" t="s">
        <v>558</v>
      </c>
      <c r="G483" s="432" t="s">
        <v>558</v>
      </c>
      <c r="H483" s="433"/>
      <c r="I483" s="435" t="str">
        <f>'Supply chain'!B242</f>
        <v/>
      </c>
      <c r="J483" s="435" t="str">
        <f>'Supply chain'!C242</f>
        <v/>
      </c>
      <c r="K483" s="435">
        <f>'Supply chain'!D242</f>
        <v>0</v>
      </c>
      <c r="L483" s="435" t="str">
        <f>'Supply chain'!E242</f>
        <v>Tier 2</v>
      </c>
      <c r="M483" s="435">
        <f>'Supply chain'!F242</f>
        <v>0</v>
      </c>
      <c r="N483" s="435">
        <f>'Supply chain'!G242</f>
        <v>0</v>
      </c>
      <c r="O483" s="435" t="str">
        <f>'Supply chain'!H242</f>
        <v>£</v>
      </c>
      <c r="P483" s="435">
        <f>'Supply chain'!I242</f>
        <v>0</v>
      </c>
      <c r="Q483" s="435" t="str">
        <f>'Supply chain'!J242</f>
        <v>£</v>
      </c>
      <c r="R483" s="435" t="str">
        <f>'Supply chain'!K242</f>
        <v/>
      </c>
      <c r="S483" s="435">
        <f>'Supply chain'!L242</f>
        <v>0</v>
      </c>
      <c r="T483" s="435">
        <f>'Supply chain'!M242</f>
        <v>0</v>
      </c>
      <c r="U483" s="435">
        <f>'Supply chain'!N242</f>
        <v>0</v>
      </c>
      <c r="V483" s="435">
        <f>'Supply chain'!O242</f>
        <v>0</v>
      </c>
      <c r="W483" s="435">
        <f>'Supply chain'!P242</f>
        <v>0</v>
      </c>
      <c r="X483" s="435">
        <f>'Supply chain'!Q242</f>
        <v>0</v>
      </c>
      <c r="Y483" s="435">
        <f>'Supply chain'!R242</f>
        <v>0</v>
      </c>
      <c r="Z483" s="435">
        <f>'Supply chain'!S242</f>
        <v>0</v>
      </c>
      <c r="AA483" s="435" t="str">
        <f>'Supply chain'!T242</f>
        <v/>
      </c>
      <c r="AB483" s="435" t="str">
        <f>'Supply chain'!U242</f>
        <v/>
      </c>
      <c r="AC483" s="435">
        <f>'Supply chain'!V242</f>
        <v>0</v>
      </c>
      <c r="AE483" s="432">
        <f t="shared" si="18"/>
        <v>0</v>
      </c>
      <c r="AF483" s="432">
        <f t="shared" si="19"/>
        <v>0</v>
      </c>
    </row>
    <row r="484" spans="2:32" x14ac:dyDescent="0.35">
      <c r="B484" s="432" t="e">
        <f>"2024"&amp;MATCH(Totals!D484,OrgType,0)&amp;"_"&amp;MATCH(Totals!E484,Organisations,0)&amp;"_"&amp;LEFT(Totals!F484,1)&amp;"_"&amp;LEFT(G484,1)&amp;"_"&amp;COUNTIF($G$3:G484,G484)</f>
        <v>#N/A</v>
      </c>
      <c r="C484" s="432">
        <v>2112</v>
      </c>
      <c r="D484" s="432">
        <f>Introduction!$D$7</f>
        <v>0</v>
      </c>
      <c r="E484" s="432">
        <f>Introduction!$D$8</f>
        <v>0</v>
      </c>
      <c r="F484" s="432" t="s">
        <v>558</v>
      </c>
      <c r="G484" s="432" t="s">
        <v>558</v>
      </c>
      <c r="H484" s="433"/>
      <c r="I484" s="435" t="str">
        <f>'Supply chain'!B243</f>
        <v/>
      </c>
      <c r="J484" s="435" t="str">
        <f>'Supply chain'!C243</f>
        <v/>
      </c>
      <c r="K484" s="435">
        <f>'Supply chain'!D243</f>
        <v>0</v>
      </c>
      <c r="L484" s="435" t="str">
        <f>'Supply chain'!E243</f>
        <v>Tier 2</v>
      </c>
      <c r="M484" s="435">
        <f>'Supply chain'!F243</f>
        <v>0</v>
      </c>
      <c r="N484" s="435">
        <f>'Supply chain'!G243</f>
        <v>0</v>
      </c>
      <c r="O484" s="435" t="str">
        <f>'Supply chain'!H243</f>
        <v>£</v>
      </c>
      <c r="P484" s="435">
        <f>'Supply chain'!I243</f>
        <v>0</v>
      </c>
      <c r="Q484" s="435" t="str">
        <f>'Supply chain'!J243</f>
        <v>£</v>
      </c>
      <c r="R484" s="435" t="str">
        <f>'Supply chain'!K243</f>
        <v/>
      </c>
      <c r="S484" s="435">
        <f>'Supply chain'!L243</f>
        <v>0</v>
      </c>
      <c r="T484" s="435">
        <f>'Supply chain'!M243</f>
        <v>0</v>
      </c>
      <c r="U484" s="435">
        <f>'Supply chain'!N243</f>
        <v>0</v>
      </c>
      <c r="V484" s="435">
        <f>'Supply chain'!O243</f>
        <v>0</v>
      </c>
      <c r="W484" s="435">
        <f>'Supply chain'!P243</f>
        <v>0</v>
      </c>
      <c r="X484" s="435">
        <f>'Supply chain'!Q243</f>
        <v>0</v>
      </c>
      <c r="Y484" s="435">
        <f>'Supply chain'!R243</f>
        <v>0</v>
      </c>
      <c r="Z484" s="435">
        <f>'Supply chain'!S243</f>
        <v>0</v>
      </c>
      <c r="AA484" s="435" t="str">
        <f>'Supply chain'!T243</f>
        <v/>
      </c>
      <c r="AB484" s="435" t="str">
        <f>'Supply chain'!U243</f>
        <v/>
      </c>
      <c r="AC484" s="435">
        <f>'Supply chain'!V243</f>
        <v>0</v>
      </c>
      <c r="AE484" s="432">
        <f t="shared" si="18"/>
        <v>0</v>
      </c>
      <c r="AF484" s="432">
        <f t="shared" si="19"/>
        <v>0</v>
      </c>
    </row>
    <row r="485" spans="2:32" x14ac:dyDescent="0.35">
      <c r="B485" s="432" t="e">
        <f>"2024"&amp;MATCH(Totals!D485,OrgType,0)&amp;"_"&amp;MATCH(Totals!E485,Organisations,0)&amp;"_"&amp;LEFT(Totals!F485,1)&amp;"_"&amp;LEFT(G485,1)&amp;"_"&amp;COUNTIF($G$3:G485,G485)</f>
        <v>#N/A</v>
      </c>
      <c r="C485" s="432">
        <v>2113</v>
      </c>
      <c r="D485" s="432">
        <f>Introduction!$D$7</f>
        <v>0</v>
      </c>
      <c r="E485" s="432">
        <f>Introduction!$D$8</f>
        <v>0</v>
      </c>
      <c r="F485" s="432" t="s">
        <v>558</v>
      </c>
      <c r="G485" s="432" t="s">
        <v>558</v>
      </c>
      <c r="H485" s="433"/>
      <c r="I485" s="435" t="str">
        <f>'Supply chain'!B244</f>
        <v/>
      </c>
      <c r="J485" s="435" t="str">
        <f>'Supply chain'!C244</f>
        <v/>
      </c>
      <c r="K485" s="435">
        <f>'Supply chain'!D244</f>
        <v>0</v>
      </c>
      <c r="L485" s="435" t="str">
        <f>'Supply chain'!E244</f>
        <v>Tier 2</v>
      </c>
      <c r="M485" s="435">
        <f>'Supply chain'!F244</f>
        <v>0</v>
      </c>
      <c r="N485" s="435">
        <f>'Supply chain'!G244</f>
        <v>0</v>
      </c>
      <c r="O485" s="435" t="str">
        <f>'Supply chain'!H244</f>
        <v>£</v>
      </c>
      <c r="P485" s="435">
        <f>'Supply chain'!I244</f>
        <v>0</v>
      </c>
      <c r="Q485" s="435" t="str">
        <f>'Supply chain'!J244</f>
        <v>£</v>
      </c>
      <c r="R485" s="435" t="str">
        <f>'Supply chain'!K244</f>
        <v/>
      </c>
      <c r="S485" s="435">
        <f>'Supply chain'!L244</f>
        <v>0</v>
      </c>
      <c r="T485" s="435">
        <f>'Supply chain'!M244</f>
        <v>0</v>
      </c>
      <c r="U485" s="435">
        <f>'Supply chain'!N244</f>
        <v>0</v>
      </c>
      <c r="V485" s="435">
        <f>'Supply chain'!O244</f>
        <v>0</v>
      </c>
      <c r="W485" s="435">
        <f>'Supply chain'!P244</f>
        <v>0</v>
      </c>
      <c r="X485" s="435">
        <f>'Supply chain'!Q244</f>
        <v>0</v>
      </c>
      <c r="Y485" s="435">
        <f>'Supply chain'!R244</f>
        <v>0</v>
      </c>
      <c r="Z485" s="435">
        <f>'Supply chain'!S244</f>
        <v>0</v>
      </c>
      <c r="AA485" s="435" t="str">
        <f>'Supply chain'!T244</f>
        <v/>
      </c>
      <c r="AB485" s="435" t="str">
        <f>'Supply chain'!U244</f>
        <v/>
      </c>
      <c r="AC485" s="435">
        <f>'Supply chain'!V244</f>
        <v>0</v>
      </c>
      <c r="AE485" s="432">
        <f t="shared" si="18"/>
        <v>0</v>
      </c>
      <c r="AF485" s="432">
        <f t="shared" si="19"/>
        <v>0</v>
      </c>
    </row>
    <row r="486" spans="2:32" x14ac:dyDescent="0.35">
      <c r="B486" s="432" t="e">
        <f>"2024"&amp;MATCH(Totals!D486,OrgType,0)&amp;"_"&amp;MATCH(Totals!E486,Organisations,0)&amp;"_"&amp;LEFT(Totals!F486,1)&amp;"_"&amp;LEFT(G486,1)&amp;"_"&amp;COUNTIF($G$3:G486,G486)</f>
        <v>#N/A</v>
      </c>
      <c r="C486" s="432">
        <v>2114</v>
      </c>
      <c r="D486" s="432">
        <f>Introduction!$D$7</f>
        <v>0</v>
      </c>
      <c r="E486" s="432">
        <f>Introduction!$D$8</f>
        <v>0</v>
      </c>
      <c r="F486" s="432" t="s">
        <v>558</v>
      </c>
      <c r="G486" s="432" t="s">
        <v>558</v>
      </c>
      <c r="H486" s="433"/>
      <c r="I486" s="435" t="str">
        <f>'Supply chain'!B245</f>
        <v/>
      </c>
      <c r="J486" s="435" t="str">
        <f>'Supply chain'!C245</f>
        <v/>
      </c>
      <c r="K486" s="435">
        <f>'Supply chain'!D245</f>
        <v>0</v>
      </c>
      <c r="L486" s="435" t="str">
        <f>'Supply chain'!E245</f>
        <v>Tier 2</v>
      </c>
      <c r="M486" s="435">
        <f>'Supply chain'!F245</f>
        <v>0</v>
      </c>
      <c r="N486" s="435">
        <f>'Supply chain'!G245</f>
        <v>0</v>
      </c>
      <c r="O486" s="435" t="str">
        <f>'Supply chain'!H245</f>
        <v>£</v>
      </c>
      <c r="P486" s="435">
        <f>'Supply chain'!I245</f>
        <v>0</v>
      </c>
      <c r="Q486" s="435" t="str">
        <f>'Supply chain'!J245</f>
        <v>£</v>
      </c>
      <c r="R486" s="435" t="str">
        <f>'Supply chain'!K245</f>
        <v/>
      </c>
      <c r="S486" s="435">
        <f>'Supply chain'!L245</f>
        <v>0</v>
      </c>
      <c r="T486" s="435">
        <f>'Supply chain'!M245</f>
        <v>0</v>
      </c>
      <c r="U486" s="435">
        <f>'Supply chain'!N245</f>
        <v>0</v>
      </c>
      <c r="V486" s="435">
        <f>'Supply chain'!O245</f>
        <v>0</v>
      </c>
      <c r="W486" s="435">
        <f>'Supply chain'!P245</f>
        <v>0</v>
      </c>
      <c r="X486" s="435">
        <f>'Supply chain'!Q245</f>
        <v>0</v>
      </c>
      <c r="Y486" s="435">
        <f>'Supply chain'!R245</f>
        <v>0</v>
      </c>
      <c r="Z486" s="435">
        <f>'Supply chain'!S245</f>
        <v>0</v>
      </c>
      <c r="AA486" s="435" t="str">
        <f>'Supply chain'!T245</f>
        <v/>
      </c>
      <c r="AB486" s="435" t="str">
        <f>'Supply chain'!U245</f>
        <v/>
      </c>
      <c r="AC486" s="435">
        <f>'Supply chain'!V245</f>
        <v>0</v>
      </c>
      <c r="AE486" s="432">
        <f t="shared" si="18"/>
        <v>0</v>
      </c>
      <c r="AF486" s="432">
        <f t="shared" si="19"/>
        <v>0</v>
      </c>
    </row>
    <row r="487" spans="2:32" x14ac:dyDescent="0.35">
      <c r="B487" s="432" t="e">
        <f>"2024"&amp;MATCH(Totals!D487,OrgType,0)&amp;"_"&amp;MATCH(Totals!E487,Organisations,0)&amp;"_"&amp;LEFT(Totals!F487,1)&amp;"_"&amp;LEFT(G487,1)&amp;"_"&amp;COUNTIF($G$3:G487,G487)</f>
        <v>#N/A</v>
      </c>
      <c r="C487" s="432">
        <v>2115</v>
      </c>
      <c r="D487" s="432">
        <f>Introduction!$D$7</f>
        <v>0</v>
      </c>
      <c r="E487" s="432">
        <f>Introduction!$D$8</f>
        <v>0</v>
      </c>
      <c r="F487" s="432" t="s">
        <v>558</v>
      </c>
      <c r="G487" s="432" t="s">
        <v>558</v>
      </c>
      <c r="H487" s="433"/>
      <c r="I487" s="435" t="str">
        <f>'Supply chain'!B246</f>
        <v/>
      </c>
      <c r="J487" s="435" t="str">
        <f>'Supply chain'!C246</f>
        <v/>
      </c>
      <c r="K487" s="435">
        <f>'Supply chain'!D246</f>
        <v>0</v>
      </c>
      <c r="L487" s="435" t="str">
        <f>'Supply chain'!E246</f>
        <v>Tier 2</v>
      </c>
      <c r="M487" s="435">
        <f>'Supply chain'!F246</f>
        <v>0</v>
      </c>
      <c r="N487" s="435">
        <f>'Supply chain'!G246</f>
        <v>0</v>
      </c>
      <c r="O487" s="435" t="str">
        <f>'Supply chain'!H246</f>
        <v>£</v>
      </c>
      <c r="P487" s="435">
        <f>'Supply chain'!I246</f>
        <v>0</v>
      </c>
      <c r="Q487" s="435" t="str">
        <f>'Supply chain'!J246</f>
        <v>£</v>
      </c>
      <c r="R487" s="435" t="str">
        <f>'Supply chain'!K246</f>
        <v/>
      </c>
      <c r="S487" s="435">
        <f>'Supply chain'!L246</f>
        <v>0</v>
      </c>
      <c r="T487" s="435">
        <f>'Supply chain'!M246</f>
        <v>0</v>
      </c>
      <c r="U487" s="435">
        <f>'Supply chain'!N246</f>
        <v>0</v>
      </c>
      <c r="V487" s="435">
        <f>'Supply chain'!O246</f>
        <v>0</v>
      </c>
      <c r="W487" s="435">
        <f>'Supply chain'!P246</f>
        <v>0</v>
      </c>
      <c r="X487" s="435">
        <f>'Supply chain'!Q246</f>
        <v>0</v>
      </c>
      <c r="Y487" s="435">
        <f>'Supply chain'!R246</f>
        <v>0</v>
      </c>
      <c r="Z487" s="435">
        <f>'Supply chain'!S246</f>
        <v>0</v>
      </c>
      <c r="AA487" s="435" t="str">
        <f>'Supply chain'!T246</f>
        <v/>
      </c>
      <c r="AB487" s="435" t="str">
        <f>'Supply chain'!U246</f>
        <v/>
      </c>
      <c r="AC487" s="435">
        <f>'Supply chain'!V246</f>
        <v>0</v>
      </c>
      <c r="AE487" s="432">
        <f t="shared" si="18"/>
        <v>0</v>
      </c>
      <c r="AF487" s="432">
        <f t="shared" si="19"/>
        <v>0</v>
      </c>
    </row>
    <row r="488" spans="2:32" x14ac:dyDescent="0.35">
      <c r="B488" s="432" t="e">
        <f>"2024"&amp;MATCH(Totals!D488,OrgType,0)&amp;"_"&amp;MATCH(Totals!E488,Organisations,0)&amp;"_"&amp;LEFT(Totals!F488,1)&amp;"_"&amp;LEFT(G488,1)&amp;"_"&amp;COUNTIF($G$3:G488,G488)</f>
        <v>#N/A</v>
      </c>
      <c r="C488" s="432">
        <v>2116</v>
      </c>
      <c r="D488" s="432">
        <f>Introduction!$D$7</f>
        <v>0</v>
      </c>
      <c r="E488" s="432">
        <f>Introduction!$D$8</f>
        <v>0</v>
      </c>
      <c r="F488" s="432" t="s">
        <v>558</v>
      </c>
      <c r="G488" s="432" t="s">
        <v>558</v>
      </c>
      <c r="H488" s="433"/>
      <c r="I488" s="435" t="str">
        <f>'Supply chain'!B247</f>
        <v/>
      </c>
      <c r="J488" s="435" t="str">
        <f>'Supply chain'!C247</f>
        <v/>
      </c>
      <c r="K488" s="435">
        <f>'Supply chain'!D247</f>
        <v>0</v>
      </c>
      <c r="L488" s="435" t="str">
        <f>'Supply chain'!E247</f>
        <v>Tier 2</v>
      </c>
      <c r="M488" s="435">
        <f>'Supply chain'!F247</f>
        <v>0</v>
      </c>
      <c r="N488" s="435">
        <f>'Supply chain'!G247</f>
        <v>0</v>
      </c>
      <c r="O488" s="435" t="str">
        <f>'Supply chain'!H247</f>
        <v>£</v>
      </c>
      <c r="P488" s="435">
        <f>'Supply chain'!I247</f>
        <v>0</v>
      </c>
      <c r="Q488" s="435" t="str">
        <f>'Supply chain'!J247</f>
        <v>£</v>
      </c>
      <c r="R488" s="435" t="str">
        <f>'Supply chain'!K247</f>
        <v/>
      </c>
      <c r="S488" s="435">
        <f>'Supply chain'!L247</f>
        <v>0</v>
      </c>
      <c r="T488" s="435">
        <f>'Supply chain'!M247</f>
        <v>0</v>
      </c>
      <c r="U488" s="435">
        <f>'Supply chain'!N247</f>
        <v>0</v>
      </c>
      <c r="V488" s="435">
        <f>'Supply chain'!O247</f>
        <v>0</v>
      </c>
      <c r="W488" s="435">
        <f>'Supply chain'!P247</f>
        <v>0</v>
      </c>
      <c r="X488" s="435">
        <f>'Supply chain'!Q247</f>
        <v>0</v>
      </c>
      <c r="Y488" s="435">
        <f>'Supply chain'!R247</f>
        <v>0</v>
      </c>
      <c r="Z488" s="435">
        <f>'Supply chain'!S247</f>
        <v>0</v>
      </c>
      <c r="AA488" s="435" t="str">
        <f>'Supply chain'!T247</f>
        <v/>
      </c>
      <c r="AB488" s="435" t="str">
        <f>'Supply chain'!U247</f>
        <v/>
      </c>
      <c r="AC488" s="435">
        <f>'Supply chain'!V247</f>
        <v>0</v>
      </c>
      <c r="AE488" s="432">
        <f t="shared" si="18"/>
        <v>0</v>
      </c>
      <c r="AF488" s="432">
        <f t="shared" si="19"/>
        <v>0</v>
      </c>
    </row>
    <row r="489" spans="2:32" x14ac:dyDescent="0.35">
      <c r="B489" s="432" t="e">
        <f>"2024"&amp;MATCH(Totals!D489,OrgType,0)&amp;"_"&amp;MATCH(Totals!E489,Organisations,0)&amp;"_"&amp;LEFT(Totals!F489,1)&amp;"_"&amp;LEFT(G489,1)&amp;"_"&amp;COUNTIF($G$3:G489,G489)</f>
        <v>#N/A</v>
      </c>
      <c r="C489" s="432">
        <v>2117</v>
      </c>
      <c r="D489" s="432">
        <f>Introduction!$D$7</f>
        <v>0</v>
      </c>
      <c r="E489" s="432">
        <f>Introduction!$D$8</f>
        <v>0</v>
      </c>
      <c r="F489" s="432" t="s">
        <v>558</v>
      </c>
      <c r="G489" s="432" t="s">
        <v>558</v>
      </c>
      <c r="H489" s="433"/>
      <c r="I489" s="435" t="str">
        <f>'Supply chain'!B248</f>
        <v/>
      </c>
      <c r="J489" s="435" t="str">
        <f>'Supply chain'!C248</f>
        <v/>
      </c>
      <c r="K489" s="435">
        <f>'Supply chain'!D248</f>
        <v>0</v>
      </c>
      <c r="L489" s="435" t="str">
        <f>'Supply chain'!E248</f>
        <v>Tier 2</v>
      </c>
      <c r="M489" s="435">
        <f>'Supply chain'!F248</f>
        <v>0</v>
      </c>
      <c r="N489" s="435">
        <f>'Supply chain'!G248</f>
        <v>0</v>
      </c>
      <c r="O489" s="435" t="str">
        <f>'Supply chain'!H248</f>
        <v>£</v>
      </c>
      <c r="P489" s="435">
        <f>'Supply chain'!I248</f>
        <v>0</v>
      </c>
      <c r="Q489" s="435" t="str">
        <f>'Supply chain'!J248</f>
        <v>£</v>
      </c>
      <c r="R489" s="435" t="str">
        <f>'Supply chain'!K248</f>
        <v/>
      </c>
      <c r="S489" s="435">
        <f>'Supply chain'!L248</f>
        <v>0</v>
      </c>
      <c r="T489" s="435">
        <f>'Supply chain'!M248</f>
        <v>0</v>
      </c>
      <c r="U489" s="435">
        <f>'Supply chain'!N248</f>
        <v>0</v>
      </c>
      <c r="V489" s="435">
        <f>'Supply chain'!O248</f>
        <v>0</v>
      </c>
      <c r="W489" s="435">
        <f>'Supply chain'!P248</f>
        <v>0</v>
      </c>
      <c r="X489" s="435">
        <f>'Supply chain'!Q248</f>
        <v>0</v>
      </c>
      <c r="Y489" s="435">
        <f>'Supply chain'!R248</f>
        <v>0</v>
      </c>
      <c r="Z489" s="435">
        <f>'Supply chain'!S248</f>
        <v>0</v>
      </c>
      <c r="AA489" s="435" t="str">
        <f>'Supply chain'!T248</f>
        <v/>
      </c>
      <c r="AB489" s="435" t="str">
        <f>'Supply chain'!U248</f>
        <v/>
      </c>
      <c r="AC489" s="435">
        <f>'Supply chain'!V248</f>
        <v>0</v>
      </c>
      <c r="AE489" s="432">
        <f t="shared" si="18"/>
        <v>0</v>
      </c>
      <c r="AF489" s="432">
        <f t="shared" si="19"/>
        <v>0</v>
      </c>
    </row>
    <row r="490" spans="2:32" x14ac:dyDescent="0.35">
      <c r="B490" s="432" t="e">
        <f>"2024"&amp;MATCH(Totals!D490,OrgType,0)&amp;"_"&amp;MATCH(Totals!E490,Organisations,0)&amp;"_"&amp;LEFT(Totals!F490,1)&amp;"_"&amp;LEFT(G490,1)&amp;"_"&amp;COUNTIF($G$3:G490,G490)</f>
        <v>#N/A</v>
      </c>
      <c r="C490" s="432">
        <v>2118</v>
      </c>
      <c r="D490" s="432">
        <f>Introduction!$D$7</f>
        <v>0</v>
      </c>
      <c r="E490" s="432">
        <f>Introduction!$D$8</f>
        <v>0</v>
      </c>
      <c r="F490" s="432" t="s">
        <v>558</v>
      </c>
      <c r="G490" s="432" t="s">
        <v>558</v>
      </c>
      <c r="H490" s="433"/>
      <c r="I490" s="435" t="str">
        <f>'Supply chain'!B249</f>
        <v/>
      </c>
      <c r="J490" s="435" t="str">
        <f>'Supply chain'!C249</f>
        <v/>
      </c>
      <c r="K490" s="435">
        <f>'Supply chain'!D249</f>
        <v>0</v>
      </c>
      <c r="L490" s="435" t="str">
        <f>'Supply chain'!E249</f>
        <v>Tier 2</v>
      </c>
      <c r="M490" s="435">
        <f>'Supply chain'!F249</f>
        <v>0</v>
      </c>
      <c r="N490" s="435">
        <f>'Supply chain'!G249</f>
        <v>0</v>
      </c>
      <c r="O490" s="435" t="str">
        <f>'Supply chain'!H249</f>
        <v>£</v>
      </c>
      <c r="P490" s="435">
        <f>'Supply chain'!I249</f>
        <v>0</v>
      </c>
      <c r="Q490" s="435" t="str">
        <f>'Supply chain'!J249</f>
        <v>£</v>
      </c>
      <c r="R490" s="435" t="str">
        <f>'Supply chain'!K249</f>
        <v/>
      </c>
      <c r="S490" s="435">
        <f>'Supply chain'!L249</f>
        <v>0</v>
      </c>
      <c r="T490" s="435">
        <f>'Supply chain'!M249</f>
        <v>0</v>
      </c>
      <c r="U490" s="435">
        <f>'Supply chain'!N249</f>
        <v>0</v>
      </c>
      <c r="V490" s="435">
        <f>'Supply chain'!O249</f>
        <v>0</v>
      </c>
      <c r="W490" s="435">
        <f>'Supply chain'!P249</f>
        <v>0</v>
      </c>
      <c r="X490" s="435">
        <f>'Supply chain'!Q249</f>
        <v>0</v>
      </c>
      <c r="Y490" s="435">
        <f>'Supply chain'!R249</f>
        <v>0</v>
      </c>
      <c r="Z490" s="435">
        <f>'Supply chain'!S249</f>
        <v>0</v>
      </c>
      <c r="AA490" s="435" t="str">
        <f>'Supply chain'!T249</f>
        <v/>
      </c>
      <c r="AB490" s="435" t="str">
        <f>'Supply chain'!U249</f>
        <v/>
      </c>
      <c r="AC490" s="435">
        <f>'Supply chain'!V249</f>
        <v>0</v>
      </c>
      <c r="AE490" s="432">
        <f t="shared" si="18"/>
        <v>0</v>
      </c>
      <c r="AF490" s="432">
        <f t="shared" si="19"/>
        <v>0</v>
      </c>
    </row>
    <row r="491" spans="2:32" x14ac:dyDescent="0.35">
      <c r="B491" s="432" t="e">
        <f>"2024"&amp;MATCH(Totals!D491,OrgType,0)&amp;"_"&amp;MATCH(Totals!E491,Organisations,0)&amp;"_"&amp;LEFT(Totals!F491,1)&amp;"_"&amp;LEFT(G491,1)&amp;"_"&amp;COUNTIF($G$3:G491,G491)</f>
        <v>#N/A</v>
      </c>
      <c r="C491" s="432">
        <v>2119</v>
      </c>
      <c r="D491" s="432">
        <f>Introduction!$D$7</f>
        <v>0</v>
      </c>
      <c r="E491" s="432">
        <f>Introduction!$D$8</f>
        <v>0</v>
      </c>
      <c r="F491" s="432" t="s">
        <v>558</v>
      </c>
      <c r="G491" s="432" t="s">
        <v>558</v>
      </c>
      <c r="H491" s="433"/>
      <c r="I491" s="435" t="str">
        <f>'Supply chain'!B250</f>
        <v/>
      </c>
      <c r="J491" s="435" t="str">
        <f>'Supply chain'!C250</f>
        <v/>
      </c>
      <c r="K491" s="435">
        <f>'Supply chain'!D250</f>
        <v>0</v>
      </c>
      <c r="L491" s="435" t="str">
        <f>'Supply chain'!E250</f>
        <v>Tier 2</v>
      </c>
      <c r="M491" s="435">
        <f>'Supply chain'!F250</f>
        <v>0</v>
      </c>
      <c r="N491" s="435">
        <f>'Supply chain'!G250</f>
        <v>0</v>
      </c>
      <c r="O491" s="435" t="str">
        <f>'Supply chain'!H250</f>
        <v>£</v>
      </c>
      <c r="P491" s="435">
        <f>'Supply chain'!I250</f>
        <v>0</v>
      </c>
      <c r="Q491" s="435" t="str">
        <f>'Supply chain'!J250</f>
        <v>£</v>
      </c>
      <c r="R491" s="435" t="str">
        <f>'Supply chain'!K250</f>
        <v/>
      </c>
      <c r="S491" s="435">
        <f>'Supply chain'!L250</f>
        <v>0</v>
      </c>
      <c r="T491" s="435">
        <f>'Supply chain'!M250</f>
        <v>0</v>
      </c>
      <c r="U491" s="435">
        <f>'Supply chain'!N250</f>
        <v>0</v>
      </c>
      <c r="V491" s="435">
        <f>'Supply chain'!O250</f>
        <v>0</v>
      </c>
      <c r="W491" s="435">
        <f>'Supply chain'!P250</f>
        <v>0</v>
      </c>
      <c r="X491" s="435">
        <f>'Supply chain'!Q250</f>
        <v>0</v>
      </c>
      <c r="Y491" s="435">
        <f>'Supply chain'!R250</f>
        <v>0</v>
      </c>
      <c r="Z491" s="435">
        <f>'Supply chain'!S250</f>
        <v>0</v>
      </c>
      <c r="AA491" s="435" t="str">
        <f>'Supply chain'!T250</f>
        <v/>
      </c>
      <c r="AB491" s="435" t="str">
        <f>'Supply chain'!U250</f>
        <v/>
      </c>
      <c r="AC491" s="435">
        <f>'Supply chain'!V250</f>
        <v>0</v>
      </c>
      <c r="AE491" s="432">
        <f t="shared" si="18"/>
        <v>0</v>
      </c>
      <c r="AF491" s="432">
        <f t="shared" si="19"/>
        <v>0</v>
      </c>
    </row>
    <row r="492" spans="2:32" x14ac:dyDescent="0.35">
      <c r="B492" s="432" t="e">
        <f>"2024"&amp;MATCH(Totals!D492,OrgType,0)&amp;"_"&amp;MATCH(Totals!E492,Organisations,0)&amp;"_"&amp;LEFT(Totals!F492,1)&amp;"_"&amp;LEFT(G492,1)&amp;"_"&amp;COUNTIF($G$3:G492,G492)</f>
        <v>#N/A</v>
      </c>
      <c r="C492" s="432">
        <v>2024</v>
      </c>
      <c r="D492" s="432">
        <f>Introduction!$D$7</f>
        <v>0</v>
      </c>
      <c r="E492" s="432">
        <f>Introduction!$D$8</f>
        <v>0</v>
      </c>
      <c r="F492" s="432" t="s">
        <v>73</v>
      </c>
      <c r="G492" s="432" t="s">
        <v>1112</v>
      </c>
      <c r="H492" s="433"/>
      <c r="I492" s="432">
        <f>Waste!B8</f>
        <v>0</v>
      </c>
      <c r="J492" s="432">
        <f>Waste!C8</f>
        <v>0</v>
      </c>
      <c r="K492" s="432">
        <f>Waste!D8</f>
        <v>0</v>
      </c>
      <c r="L492" s="432">
        <f>Waste!E8</f>
        <v>0</v>
      </c>
      <c r="M492" s="432" t="str">
        <f>Waste!F8</f>
        <v/>
      </c>
      <c r="N492" s="432">
        <f>Waste!G8</f>
        <v>0</v>
      </c>
      <c r="O492" s="432">
        <f>Waste!H8</f>
        <v>0</v>
      </c>
      <c r="P492" s="432" t="str">
        <f>Waste!I8</f>
        <v/>
      </c>
      <c r="Q492" s="432" t="str">
        <f>Waste!J8</f>
        <v/>
      </c>
      <c r="R492" s="432" t="str">
        <f>Waste!K8</f>
        <v/>
      </c>
      <c r="S492" s="432" t="str">
        <f>Waste!L8</f>
        <v/>
      </c>
      <c r="T492" s="432">
        <f>Waste!M8</f>
        <v>0</v>
      </c>
      <c r="U492" s="432">
        <f>Waste!N8</f>
        <v>0</v>
      </c>
      <c r="V492" s="432" t="str">
        <f>Waste!O8</f>
        <v/>
      </c>
      <c r="W492" s="432" t="str">
        <f>Waste!P8</f>
        <v/>
      </c>
      <c r="X492" s="432" t="str">
        <f>Waste!Q8</f>
        <v/>
      </c>
      <c r="Y492" s="432" t="str">
        <f>Waste!R8</f>
        <v/>
      </c>
      <c r="Z492" s="432" t="str">
        <f>Waste!S8</f>
        <v/>
      </c>
      <c r="AA492" s="432" t="str">
        <f>Waste!T8</f>
        <v/>
      </c>
      <c r="AB492" s="432" t="str">
        <f>Waste!U8</f>
        <v/>
      </c>
      <c r="AC492" s="432" t="str">
        <f>Waste!V8</f>
        <v/>
      </c>
      <c r="AE492" s="432">
        <f t="shared" si="14"/>
        <v>0</v>
      </c>
      <c r="AF492" s="432">
        <f t="shared" si="15"/>
        <v>0</v>
      </c>
    </row>
    <row r="493" spans="2:32" x14ac:dyDescent="0.35">
      <c r="B493" s="432" t="e">
        <f>"2024"&amp;MATCH(Totals!D493,OrgType,0)&amp;"_"&amp;MATCH(Totals!E493,Organisations,0)&amp;"_"&amp;LEFT(Totals!F493,1)&amp;"_"&amp;LEFT(G493,1)&amp;"_"&amp;COUNTIF($G$3:G493,G493)</f>
        <v>#N/A</v>
      </c>
      <c r="C493" s="432">
        <v>2024</v>
      </c>
      <c r="D493" s="432">
        <f>Introduction!$D$7</f>
        <v>0</v>
      </c>
      <c r="E493" s="432">
        <f>Introduction!$D$8</f>
        <v>0</v>
      </c>
      <c r="F493" s="432" t="s">
        <v>73</v>
      </c>
      <c r="G493" s="432" t="s">
        <v>1112</v>
      </c>
      <c r="H493" s="433"/>
      <c r="I493" s="432">
        <f>Waste!B9</f>
        <v>0</v>
      </c>
      <c r="J493" s="432">
        <f>Waste!C9</f>
        <v>0</v>
      </c>
      <c r="K493" s="432">
        <f>Waste!D9</f>
        <v>0</v>
      </c>
      <c r="L493" s="432">
        <f>Waste!E9</f>
        <v>0</v>
      </c>
      <c r="M493" s="432" t="str">
        <f>Waste!F9</f>
        <v/>
      </c>
      <c r="N493" s="432">
        <f>Waste!G9</f>
        <v>0</v>
      </c>
      <c r="O493" s="432">
        <f>Waste!H9</f>
        <v>0</v>
      </c>
      <c r="P493" s="432" t="str">
        <f>Waste!I9</f>
        <v/>
      </c>
      <c r="Q493" s="432" t="str">
        <f>Waste!J9</f>
        <v/>
      </c>
      <c r="R493" s="432" t="str">
        <f>Waste!K9</f>
        <v/>
      </c>
      <c r="S493" s="432" t="str">
        <f>Waste!L9</f>
        <v/>
      </c>
      <c r="T493" s="432">
        <f>Waste!M9</f>
        <v>0</v>
      </c>
      <c r="U493" s="432">
        <f>Waste!N9</f>
        <v>0</v>
      </c>
      <c r="V493" s="432" t="str">
        <f>Waste!O9</f>
        <v/>
      </c>
      <c r="W493" s="432" t="str">
        <f>Waste!P9</f>
        <v/>
      </c>
      <c r="X493" s="432" t="str">
        <f>Waste!Q9</f>
        <v/>
      </c>
      <c r="Y493" s="432" t="str">
        <f>Waste!R9</f>
        <v/>
      </c>
      <c r="Z493" s="432" t="str">
        <f>Waste!S9</f>
        <v/>
      </c>
      <c r="AA493" s="432" t="str">
        <f>Waste!T9</f>
        <v/>
      </c>
      <c r="AB493" s="432" t="str">
        <f>Waste!U9</f>
        <v/>
      </c>
      <c r="AC493" s="432" t="str">
        <f>Waste!V9</f>
        <v/>
      </c>
      <c r="AE493" s="432">
        <f t="shared" si="14"/>
        <v>0</v>
      </c>
      <c r="AF493" s="432">
        <f t="shared" si="15"/>
        <v>0</v>
      </c>
    </row>
    <row r="494" spans="2:32" x14ac:dyDescent="0.35">
      <c r="B494" s="432" t="e">
        <f>"2024"&amp;MATCH(Totals!D494,OrgType,0)&amp;"_"&amp;MATCH(Totals!E494,Organisations,0)&amp;"_"&amp;LEFT(Totals!F494,1)&amp;"_"&amp;LEFT(G494,1)&amp;"_"&amp;COUNTIF($G$3:G494,G494)</f>
        <v>#N/A</v>
      </c>
      <c r="C494" s="432">
        <v>2024</v>
      </c>
      <c r="D494" s="432">
        <f>Introduction!$D$7</f>
        <v>0</v>
      </c>
      <c r="E494" s="432">
        <f>Introduction!$D$8</f>
        <v>0</v>
      </c>
      <c r="F494" s="432" t="s">
        <v>73</v>
      </c>
      <c r="G494" s="432" t="s">
        <v>1112</v>
      </c>
      <c r="H494" s="433"/>
      <c r="I494" s="432">
        <f>Waste!B10</f>
        <v>0</v>
      </c>
      <c r="J494" s="432">
        <f>Waste!C10</f>
        <v>0</v>
      </c>
      <c r="K494" s="432">
        <f>Waste!D10</f>
        <v>0</v>
      </c>
      <c r="L494" s="432">
        <f>Waste!E10</f>
        <v>0</v>
      </c>
      <c r="M494" s="432" t="str">
        <f>Waste!F10</f>
        <v/>
      </c>
      <c r="N494" s="432">
        <f>Waste!G10</f>
        <v>0</v>
      </c>
      <c r="O494" s="432">
        <f>Waste!H10</f>
        <v>0</v>
      </c>
      <c r="P494" s="432" t="str">
        <f>Waste!I10</f>
        <v/>
      </c>
      <c r="Q494" s="432" t="str">
        <f>Waste!J10</f>
        <v/>
      </c>
      <c r="R494" s="432" t="str">
        <f>Waste!K10</f>
        <v/>
      </c>
      <c r="S494" s="432" t="str">
        <f>Waste!L10</f>
        <v/>
      </c>
      <c r="T494" s="432">
        <f>Waste!M10</f>
        <v>0</v>
      </c>
      <c r="U494" s="432">
        <f>Waste!N10</f>
        <v>0</v>
      </c>
      <c r="V494" s="432" t="str">
        <f>Waste!O10</f>
        <v/>
      </c>
      <c r="W494" s="432" t="str">
        <f>Waste!P10</f>
        <v/>
      </c>
      <c r="X494" s="432" t="str">
        <f>Waste!Q10</f>
        <v/>
      </c>
      <c r="Y494" s="432" t="str">
        <f>Waste!R10</f>
        <v/>
      </c>
      <c r="Z494" s="432" t="str">
        <f>Waste!S10</f>
        <v/>
      </c>
      <c r="AA494" s="432" t="str">
        <f>Waste!T10</f>
        <v/>
      </c>
      <c r="AB494" s="432" t="str">
        <f>Waste!U10</f>
        <v/>
      </c>
      <c r="AC494" s="432" t="str">
        <f>Waste!V10</f>
        <v/>
      </c>
      <c r="AE494" s="432">
        <f t="shared" si="14"/>
        <v>0</v>
      </c>
      <c r="AF494" s="432">
        <f t="shared" si="15"/>
        <v>0</v>
      </c>
    </row>
    <row r="495" spans="2:32" x14ac:dyDescent="0.35">
      <c r="B495" s="432" t="e">
        <f>"2024"&amp;MATCH(Totals!D495,OrgType,0)&amp;"_"&amp;MATCH(Totals!E495,Organisations,0)&amp;"_"&amp;LEFT(Totals!F495,1)&amp;"_"&amp;LEFT(G495,1)&amp;"_"&amp;COUNTIF($G$3:G495,G495)</f>
        <v>#N/A</v>
      </c>
      <c r="C495" s="432">
        <v>2024</v>
      </c>
      <c r="D495" s="432">
        <f>Introduction!$D$7</f>
        <v>0</v>
      </c>
      <c r="E495" s="432">
        <f>Introduction!$D$8</f>
        <v>0</v>
      </c>
      <c r="F495" s="432" t="s">
        <v>73</v>
      </c>
      <c r="G495" s="432" t="s">
        <v>1112</v>
      </c>
      <c r="H495" s="433"/>
      <c r="I495" s="432">
        <f>Waste!B11</f>
        <v>0</v>
      </c>
      <c r="J495" s="432">
        <f>Waste!C11</f>
        <v>0</v>
      </c>
      <c r="K495" s="432">
        <f>Waste!D11</f>
        <v>0</v>
      </c>
      <c r="L495" s="432">
        <f>Waste!E11</f>
        <v>0</v>
      </c>
      <c r="M495" s="432" t="str">
        <f>Waste!F11</f>
        <v/>
      </c>
      <c r="N495" s="432">
        <f>Waste!G11</f>
        <v>0</v>
      </c>
      <c r="O495" s="432">
        <f>Waste!H11</f>
        <v>0</v>
      </c>
      <c r="P495" s="432" t="str">
        <f>Waste!I11</f>
        <v/>
      </c>
      <c r="Q495" s="432" t="str">
        <f>Waste!J11</f>
        <v/>
      </c>
      <c r="R495" s="432" t="str">
        <f>Waste!K11</f>
        <v/>
      </c>
      <c r="S495" s="432" t="str">
        <f>Waste!L11</f>
        <v/>
      </c>
      <c r="T495" s="432">
        <f>Waste!M11</f>
        <v>0</v>
      </c>
      <c r="U495" s="432">
        <f>Waste!N11</f>
        <v>0</v>
      </c>
      <c r="V495" s="432" t="str">
        <f>Waste!O11</f>
        <v/>
      </c>
      <c r="W495" s="432" t="str">
        <f>Waste!P11</f>
        <v/>
      </c>
      <c r="X495" s="432" t="str">
        <f>Waste!Q11</f>
        <v/>
      </c>
      <c r="Y495" s="432" t="str">
        <f>Waste!R11</f>
        <v/>
      </c>
      <c r="Z495" s="432" t="str">
        <f>Waste!S11</f>
        <v/>
      </c>
      <c r="AA495" s="432" t="str">
        <f>Waste!T11</f>
        <v/>
      </c>
      <c r="AB495" s="432" t="str">
        <f>Waste!U11</f>
        <v/>
      </c>
      <c r="AC495" s="432" t="str">
        <f>Waste!V11</f>
        <v/>
      </c>
      <c r="AE495" s="432">
        <f t="shared" si="14"/>
        <v>0</v>
      </c>
      <c r="AF495" s="432">
        <f t="shared" si="15"/>
        <v>0</v>
      </c>
    </row>
    <row r="496" spans="2:32" x14ac:dyDescent="0.35">
      <c r="B496" s="432" t="e">
        <f>"2024"&amp;MATCH(Totals!D496,OrgType,0)&amp;"_"&amp;MATCH(Totals!E496,Organisations,0)&amp;"_"&amp;LEFT(Totals!F496,1)&amp;"_"&amp;LEFT(G496,1)&amp;"_"&amp;COUNTIF($G$3:G496,G496)</f>
        <v>#N/A</v>
      </c>
      <c r="C496" s="432">
        <v>2024</v>
      </c>
      <c r="D496" s="432">
        <f>Introduction!$D$7</f>
        <v>0</v>
      </c>
      <c r="E496" s="432">
        <f>Introduction!$D$8</f>
        <v>0</v>
      </c>
      <c r="F496" s="432" t="s">
        <v>73</v>
      </c>
      <c r="G496" s="432" t="s">
        <v>1112</v>
      </c>
      <c r="H496" s="433"/>
      <c r="I496" s="432">
        <f>Waste!B12</f>
        <v>0</v>
      </c>
      <c r="J496" s="432">
        <f>Waste!C12</f>
        <v>0</v>
      </c>
      <c r="K496" s="432">
        <f>Waste!D12</f>
        <v>0</v>
      </c>
      <c r="L496" s="432">
        <f>Waste!E12</f>
        <v>0</v>
      </c>
      <c r="M496" s="432" t="str">
        <f>Waste!F12</f>
        <v/>
      </c>
      <c r="N496" s="432">
        <f>Waste!G12</f>
        <v>0</v>
      </c>
      <c r="O496" s="432">
        <f>Waste!H12</f>
        <v>0</v>
      </c>
      <c r="P496" s="432" t="str">
        <f>Waste!I12</f>
        <v/>
      </c>
      <c r="Q496" s="432" t="str">
        <f>Waste!J12</f>
        <v/>
      </c>
      <c r="R496" s="432" t="str">
        <f>Waste!K12</f>
        <v/>
      </c>
      <c r="S496" s="432" t="str">
        <f>Waste!L12</f>
        <v/>
      </c>
      <c r="T496" s="432">
        <f>Waste!M12</f>
        <v>0</v>
      </c>
      <c r="U496" s="432">
        <f>Waste!N12</f>
        <v>0</v>
      </c>
      <c r="V496" s="432" t="str">
        <f>Waste!O12</f>
        <v/>
      </c>
      <c r="W496" s="432" t="str">
        <f>Waste!P12</f>
        <v/>
      </c>
      <c r="X496" s="432" t="str">
        <f>Waste!Q12</f>
        <v/>
      </c>
      <c r="Y496" s="432" t="str">
        <f>Waste!R12</f>
        <v/>
      </c>
      <c r="Z496" s="432" t="str">
        <f>Waste!S12</f>
        <v/>
      </c>
      <c r="AA496" s="432" t="str">
        <f>Waste!T12</f>
        <v/>
      </c>
      <c r="AB496" s="432" t="str">
        <f>Waste!U12</f>
        <v/>
      </c>
      <c r="AC496" s="432" t="str">
        <f>Waste!V12</f>
        <v/>
      </c>
      <c r="AE496" s="432">
        <f t="shared" si="14"/>
        <v>0</v>
      </c>
      <c r="AF496" s="432">
        <f t="shared" si="15"/>
        <v>0</v>
      </c>
    </row>
    <row r="497" spans="2:32" x14ac:dyDescent="0.35">
      <c r="B497" s="432" t="e">
        <f>"2024"&amp;MATCH(Totals!D497,OrgType,0)&amp;"_"&amp;MATCH(Totals!E497,Organisations,0)&amp;"_"&amp;LEFT(Totals!F497,1)&amp;"_"&amp;LEFT(G497,1)&amp;"_"&amp;COUNTIF($G$3:G497,G497)</f>
        <v>#N/A</v>
      </c>
      <c r="C497" s="432">
        <v>2024</v>
      </c>
      <c r="D497" s="432">
        <f>Introduction!$D$7</f>
        <v>0</v>
      </c>
      <c r="E497" s="432">
        <f>Introduction!$D$8</f>
        <v>0</v>
      </c>
      <c r="F497" s="432" t="s">
        <v>73</v>
      </c>
      <c r="G497" s="432" t="s">
        <v>1112</v>
      </c>
      <c r="H497" s="433"/>
      <c r="I497" s="432">
        <f>Waste!B13</f>
        <v>0</v>
      </c>
      <c r="J497" s="432">
        <f>Waste!C13</f>
        <v>0</v>
      </c>
      <c r="K497" s="432">
        <f>Waste!D13</f>
        <v>0</v>
      </c>
      <c r="L497" s="432">
        <f>Waste!E13</f>
        <v>0</v>
      </c>
      <c r="M497" s="432" t="str">
        <f>Waste!F13</f>
        <v/>
      </c>
      <c r="N497" s="432">
        <f>Waste!G13</f>
        <v>0</v>
      </c>
      <c r="O497" s="432">
        <f>Waste!H13</f>
        <v>0</v>
      </c>
      <c r="P497" s="432" t="str">
        <f>Waste!I13</f>
        <v/>
      </c>
      <c r="Q497" s="432" t="str">
        <f>Waste!J13</f>
        <v/>
      </c>
      <c r="R497" s="432" t="str">
        <f>Waste!K13</f>
        <v/>
      </c>
      <c r="S497" s="432" t="str">
        <f>Waste!L13</f>
        <v/>
      </c>
      <c r="T497" s="432">
        <f>Waste!M13</f>
        <v>0</v>
      </c>
      <c r="U497" s="432">
        <f>Waste!N13</f>
        <v>0</v>
      </c>
      <c r="V497" s="432" t="str">
        <f>Waste!O13</f>
        <v/>
      </c>
      <c r="W497" s="432" t="str">
        <f>Waste!P13</f>
        <v/>
      </c>
      <c r="X497" s="432" t="str">
        <f>Waste!Q13</f>
        <v/>
      </c>
      <c r="Y497" s="432" t="str">
        <f>Waste!R13</f>
        <v/>
      </c>
      <c r="Z497" s="432" t="str">
        <f>Waste!S13</f>
        <v/>
      </c>
      <c r="AA497" s="432" t="str">
        <f>Waste!T13</f>
        <v/>
      </c>
      <c r="AB497" s="432" t="str">
        <f>Waste!U13</f>
        <v/>
      </c>
      <c r="AC497" s="432" t="str">
        <f>Waste!V13</f>
        <v/>
      </c>
      <c r="AE497" s="432">
        <f t="shared" si="14"/>
        <v>0</v>
      </c>
      <c r="AF497" s="432">
        <f t="shared" si="15"/>
        <v>0</v>
      </c>
    </row>
    <row r="498" spans="2:32" x14ac:dyDescent="0.35">
      <c r="B498" s="432" t="e">
        <f>"2024"&amp;MATCH(Totals!D498,OrgType,0)&amp;"_"&amp;MATCH(Totals!E498,Organisations,0)&amp;"_"&amp;LEFT(Totals!F498,1)&amp;"_"&amp;LEFT(G498,1)&amp;"_"&amp;COUNTIF($G$3:G498,G498)</f>
        <v>#N/A</v>
      </c>
      <c r="C498" s="432">
        <v>2024</v>
      </c>
      <c r="D498" s="432">
        <f>Introduction!$D$7</f>
        <v>0</v>
      </c>
      <c r="E498" s="432">
        <f>Introduction!$D$8</f>
        <v>0</v>
      </c>
      <c r="F498" s="432" t="s">
        <v>73</v>
      </c>
      <c r="G498" s="432" t="s">
        <v>1112</v>
      </c>
      <c r="H498" s="433"/>
      <c r="I498" s="432">
        <f>Waste!B14</f>
        <v>0</v>
      </c>
      <c r="J498" s="432">
        <f>Waste!C14</f>
        <v>0</v>
      </c>
      <c r="K498" s="432">
        <f>Waste!D14</f>
        <v>0</v>
      </c>
      <c r="L498" s="432">
        <f>Waste!E14</f>
        <v>0</v>
      </c>
      <c r="M498" s="432" t="str">
        <f>Waste!F14</f>
        <v/>
      </c>
      <c r="N498" s="432">
        <f>Waste!G14</f>
        <v>0</v>
      </c>
      <c r="O498" s="432">
        <f>Waste!H14</f>
        <v>0</v>
      </c>
      <c r="P498" s="432" t="str">
        <f>Waste!I14</f>
        <v/>
      </c>
      <c r="Q498" s="432" t="str">
        <f>Waste!J14</f>
        <v/>
      </c>
      <c r="R498" s="432" t="str">
        <f>Waste!K14</f>
        <v/>
      </c>
      <c r="S498" s="432" t="str">
        <f>Waste!L14</f>
        <v/>
      </c>
      <c r="T498" s="432">
        <f>Waste!M14</f>
        <v>0</v>
      </c>
      <c r="U498" s="432">
        <f>Waste!N14</f>
        <v>0</v>
      </c>
      <c r="V498" s="432" t="str">
        <f>Waste!O14</f>
        <v/>
      </c>
      <c r="W498" s="432" t="str">
        <f>Waste!P14</f>
        <v/>
      </c>
      <c r="X498" s="432" t="str">
        <f>Waste!Q14</f>
        <v/>
      </c>
      <c r="Y498" s="432" t="str">
        <f>Waste!R14</f>
        <v/>
      </c>
      <c r="Z498" s="432" t="str">
        <f>Waste!S14</f>
        <v/>
      </c>
      <c r="AA498" s="432" t="str">
        <f>Waste!T14</f>
        <v/>
      </c>
      <c r="AB498" s="432" t="str">
        <f>Waste!U14</f>
        <v/>
      </c>
      <c r="AC498" s="432" t="str">
        <f>Waste!V14</f>
        <v/>
      </c>
      <c r="AE498" s="432">
        <f t="shared" si="14"/>
        <v>0</v>
      </c>
      <c r="AF498" s="432">
        <f t="shared" si="15"/>
        <v>0</v>
      </c>
    </row>
    <row r="499" spans="2:32" x14ac:dyDescent="0.35">
      <c r="B499" s="432" t="e">
        <f>"2024"&amp;MATCH(Totals!D499,OrgType,0)&amp;"_"&amp;MATCH(Totals!E499,Organisations,0)&amp;"_"&amp;LEFT(Totals!F499,1)&amp;"_"&amp;LEFT(G499,1)&amp;"_"&amp;COUNTIF($G$3:G499,G499)</f>
        <v>#N/A</v>
      </c>
      <c r="C499" s="432">
        <v>2024</v>
      </c>
      <c r="D499" s="432">
        <f>Introduction!$D$7</f>
        <v>0</v>
      </c>
      <c r="E499" s="432">
        <f>Introduction!$D$8</f>
        <v>0</v>
      </c>
      <c r="F499" s="432" t="s">
        <v>73</v>
      </c>
      <c r="G499" s="432" t="s">
        <v>1112</v>
      </c>
      <c r="H499" s="433"/>
      <c r="I499" s="432">
        <f>Waste!B15</f>
        <v>0</v>
      </c>
      <c r="J499" s="432">
        <f>Waste!C15</f>
        <v>0</v>
      </c>
      <c r="K499" s="432">
        <f>Waste!D15</f>
        <v>0</v>
      </c>
      <c r="L499" s="432">
        <f>Waste!E15</f>
        <v>0</v>
      </c>
      <c r="M499" s="432" t="str">
        <f>Waste!F15</f>
        <v/>
      </c>
      <c r="N499" s="432">
        <f>Waste!G15</f>
        <v>0</v>
      </c>
      <c r="O499" s="432">
        <f>Waste!H15</f>
        <v>0</v>
      </c>
      <c r="P499" s="432" t="str">
        <f>Waste!I15</f>
        <v/>
      </c>
      <c r="Q499" s="432" t="str">
        <f>Waste!J15</f>
        <v/>
      </c>
      <c r="R499" s="432" t="str">
        <f>Waste!K15</f>
        <v/>
      </c>
      <c r="S499" s="432" t="str">
        <f>Waste!L15</f>
        <v/>
      </c>
      <c r="T499" s="432">
        <f>Waste!M15</f>
        <v>0</v>
      </c>
      <c r="U499" s="432">
        <f>Waste!N15</f>
        <v>0</v>
      </c>
      <c r="V499" s="432" t="str">
        <f>Waste!O15</f>
        <v/>
      </c>
      <c r="W499" s="432" t="str">
        <f>Waste!P15</f>
        <v/>
      </c>
      <c r="X499" s="432" t="str">
        <f>Waste!Q15</f>
        <v/>
      </c>
      <c r="Y499" s="432" t="str">
        <f>Waste!R15</f>
        <v/>
      </c>
      <c r="Z499" s="432" t="str">
        <f>Waste!S15</f>
        <v/>
      </c>
      <c r="AA499" s="432" t="str">
        <f>Waste!T15</f>
        <v/>
      </c>
      <c r="AB499" s="432" t="str">
        <f>Waste!U15</f>
        <v/>
      </c>
      <c r="AC499" s="432" t="str">
        <f>Waste!V15</f>
        <v/>
      </c>
      <c r="AE499" s="432">
        <f t="shared" si="14"/>
        <v>0</v>
      </c>
      <c r="AF499" s="432">
        <f t="shared" si="15"/>
        <v>0</v>
      </c>
    </row>
    <row r="500" spans="2:32" x14ac:dyDescent="0.35">
      <c r="B500" s="432" t="e">
        <f>"2024"&amp;MATCH(Totals!D500,OrgType,0)&amp;"_"&amp;MATCH(Totals!E500,Organisations,0)&amp;"_"&amp;LEFT(Totals!F500,1)&amp;"_"&amp;LEFT(G500,1)&amp;"_"&amp;COUNTIF($G$3:G500,G500)</f>
        <v>#N/A</v>
      </c>
      <c r="C500" s="432">
        <v>2024</v>
      </c>
      <c r="D500" s="432">
        <f>Introduction!$D$7</f>
        <v>0</v>
      </c>
      <c r="E500" s="432">
        <f>Introduction!$D$8</f>
        <v>0</v>
      </c>
      <c r="F500" s="432" t="s">
        <v>73</v>
      </c>
      <c r="G500" s="432" t="s">
        <v>1112</v>
      </c>
      <c r="H500" s="433"/>
      <c r="I500" s="432">
        <f>Waste!B16</f>
        <v>0</v>
      </c>
      <c r="J500" s="432">
        <f>Waste!C16</f>
        <v>0</v>
      </c>
      <c r="K500" s="432">
        <f>Waste!D16</f>
        <v>0</v>
      </c>
      <c r="L500" s="432">
        <f>Waste!E16</f>
        <v>0</v>
      </c>
      <c r="M500" s="432" t="str">
        <f>Waste!F16</f>
        <v/>
      </c>
      <c r="N500" s="432">
        <f>Waste!G16</f>
        <v>0</v>
      </c>
      <c r="O500" s="432">
        <f>Waste!H16</f>
        <v>0</v>
      </c>
      <c r="P500" s="432" t="str">
        <f>Waste!I16</f>
        <v/>
      </c>
      <c r="Q500" s="432" t="str">
        <f>Waste!J16</f>
        <v/>
      </c>
      <c r="R500" s="432" t="str">
        <f>Waste!K16</f>
        <v/>
      </c>
      <c r="S500" s="432" t="str">
        <f>Waste!L16</f>
        <v/>
      </c>
      <c r="T500" s="432">
        <f>Waste!M16</f>
        <v>0</v>
      </c>
      <c r="U500" s="432">
        <f>Waste!N16</f>
        <v>0</v>
      </c>
      <c r="V500" s="432" t="str">
        <f>Waste!O16</f>
        <v/>
      </c>
      <c r="W500" s="432" t="str">
        <f>Waste!P16</f>
        <v/>
      </c>
      <c r="X500" s="432" t="str">
        <f>Waste!Q16</f>
        <v/>
      </c>
      <c r="Y500" s="432" t="str">
        <f>Waste!R16</f>
        <v/>
      </c>
      <c r="Z500" s="432" t="str">
        <f>Waste!S16</f>
        <v/>
      </c>
      <c r="AA500" s="432" t="str">
        <f>Waste!T16</f>
        <v/>
      </c>
      <c r="AB500" s="432" t="str">
        <f>Waste!U16</f>
        <v/>
      </c>
      <c r="AC500" s="432" t="str">
        <f>Waste!V16</f>
        <v/>
      </c>
      <c r="AE500" s="432">
        <f t="shared" si="14"/>
        <v>0</v>
      </c>
      <c r="AF500" s="432">
        <f t="shared" si="15"/>
        <v>0</v>
      </c>
    </row>
    <row r="501" spans="2:32" x14ac:dyDescent="0.35">
      <c r="B501" s="432" t="e">
        <f>"2024"&amp;MATCH(Totals!D501,OrgType,0)&amp;"_"&amp;MATCH(Totals!E501,Organisations,0)&amp;"_"&amp;LEFT(Totals!F501,1)&amp;"_"&amp;LEFT(G501,1)&amp;"_"&amp;COUNTIF($G$3:G501,G501)</f>
        <v>#N/A</v>
      </c>
      <c r="C501" s="432">
        <v>2024</v>
      </c>
      <c r="D501" s="432">
        <f>Introduction!$D$7</f>
        <v>0</v>
      </c>
      <c r="E501" s="432">
        <f>Introduction!$D$8</f>
        <v>0</v>
      </c>
      <c r="F501" s="432" t="s">
        <v>73</v>
      </c>
      <c r="G501" s="432" t="s">
        <v>1112</v>
      </c>
      <c r="H501" s="433"/>
      <c r="I501" s="432">
        <f>Waste!B17</f>
        <v>0</v>
      </c>
      <c r="J501" s="432">
        <f>Waste!C17</f>
        <v>0</v>
      </c>
      <c r="K501" s="432">
        <f>Waste!D17</f>
        <v>0</v>
      </c>
      <c r="L501" s="432">
        <f>Waste!E17</f>
        <v>0</v>
      </c>
      <c r="M501" s="432" t="str">
        <f>Waste!F17</f>
        <v/>
      </c>
      <c r="N501" s="432">
        <f>Waste!G17</f>
        <v>0</v>
      </c>
      <c r="O501" s="432">
        <f>Waste!H17</f>
        <v>0</v>
      </c>
      <c r="P501" s="432" t="str">
        <f>Waste!I17</f>
        <v/>
      </c>
      <c r="Q501" s="432" t="str">
        <f>Waste!J17</f>
        <v/>
      </c>
      <c r="R501" s="432" t="str">
        <f>Waste!K17</f>
        <v/>
      </c>
      <c r="S501" s="432" t="str">
        <f>Waste!L17</f>
        <v/>
      </c>
      <c r="T501" s="432">
        <f>Waste!M17</f>
        <v>0</v>
      </c>
      <c r="U501" s="432">
        <f>Waste!N17</f>
        <v>0</v>
      </c>
      <c r="V501" s="432" t="str">
        <f>Waste!O17</f>
        <v/>
      </c>
      <c r="W501" s="432" t="str">
        <f>Waste!P17</f>
        <v/>
      </c>
      <c r="X501" s="432" t="str">
        <f>Waste!Q17</f>
        <v/>
      </c>
      <c r="Y501" s="432" t="str">
        <f>Waste!R17</f>
        <v/>
      </c>
      <c r="Z501" s="432" t="str">
        <f>Waste!S17</f>
        <v/>
      </c>
      <c r="AA501" s="432" t="str">
        <f>Waste!T17</f>
        <v/>
      </c>
      <c r="AB501" s="432" t="str">
        <f>Waste!U17</f>
        <v/>
      </c>
      <c r="AC501" s="432" t="str">
        <f>Waste!V17</f>
        <v/>
      </c>
      <c r="AE501" s="432">
        <f t="shared" ref="AE501:AE564" si="20">IF(AND(R501="",N501&lt;&gt;0),1,0)</f>
        <v>0</v>
      </c>
      <c r="AF501" s="432">
        <f t="shared" ref="AF501:AF564" si="21">IF(AND(S501="",N501&lt;&gt;0),1,0)</f>
        <v>0</v>
      </c>
    </row>
    <row r="502" spans="2:32" x14ac:dyDescent="0.35">
      <c r="B502" s="432" t="e">
        <f>"2024"&amp;MATCH(Totals!D502,OrgType,0)&amp;"_"&amp;MATCH(Totals!E502,Organisations,0)&amp;"_"&amp;LEFT(Totals!F502,1)&amp;"_"&amp;LEFT(G502,1)&amp;"_"&amp;COUNTIF($G$3:G502,G502)</f>
        <v>#N/A</v>
      </c>
      <c r="C502" s="432">
        <v>2024</v>
      </c>
      <c r="D502" s="432">
        <f>Introduction!$D$7</f>
        <v>0</v>
      </c>
      <c r="E502" s="432">
        <f>Introduction!$D$8</f>
        <v>0</v>
      </c>
      <c r="F502" s="432" t="s">
        <v>73</v>
      </c>
      <c r="G502" s="432" t="s">
        <v>1112</v>
      </c>
      <c r="H502" s="433"/>
      <c r="I502" s="432">
        <f>Waste!B18</f>
        <v>0</v>
      </c>
      <c r="J502" s="432">
        <f>Waste!C18</f>
        <v>0</v>
      </c>
      <c r="K502" s="432">
        <f>Waste!D18</f>
        <v>0</v>
      </c>
      <c r="L502" s="432">
        <f>Waste!E18</f>
        <v>0</v>
      </c>
      <c r="M502" s="432" t="str">
        <f>Waste!F18</f>
        <v/>
      </c>
      <c r="N502" s="432">
        <f>Waste!G18</f>
        <v>0</v>
      </c>
      <c r="O502" s="432">
        <f>Waste!H18</f>
        <v>0</v>
      </c>
      <c r="P502" s="432" t="str">
        <f>Waste!I18</f>
        <v/>
      </c>
      <c r="Q502" s="432" t="str">
        <f>Waste!J18</f>
        <v/>
      </c>
      <c r="R502" s="432" t="str">
        <f>Waste!K18</f>
        <v/>
      </c>
      <c r="S502" s="432" t="str">
        <f>Waste!L18</f>
        <v/>
      </c>
      <c r="T502" s="432">
        <f>Waste!M18</f>
        <v>0</v>
      </c>
      <c r="U502" s="432">
        <f>Waste!N18</f>
        <v>0</v>
      </c>
      <c r="V502" s="432" t="str">
        <f>Waste!O18</f>
        <v/>
      </c>
      <c r="W502" s="432" t="str">
        <f>Waste!P18</f>
        <v/>
      </c>
      <c r="X502" s="432" t="str">
        <f>Waste!Q18</f>
        <v/>
      </c>
      <c r="Y502" s="432" t="str">
        <f>Waste!R18</f>
        <v/>
      </c>
      <c r="Z502" s="432" t="str">
        <f>Waste!S18</f>
        <v/>
      </c>
      <c r="AA502" s="432" t="str">
        <f>Waste!T18</f>
        <v/>
      </c>
      <c r="AB502" s="432" t="str">
        <f>Waste!U18</f>
        <v/>
      </c>
      <c r="AC502" s="432" t="str">
        <f>Waste!V18</f>
        <v/>
      </c>
      <c r="AE502" s="432">
        <f t="shared" si="20"/>
        <v>0</v>
      </c>
      <c r="AF502" s="432">
        <f t="shared" si="21"/>
        <v>0</v>
      </c>
    </row>
    <row r="503" spans="2:32" x14ac:dyDescent="0.35">
      <c r="B503" s="432" t="e">
        <f>"2024"&amp;MATCH(Totals!D503,OrgType,0)&amp;"_"&amp;MATCH(Totals!E503,Organisations,0)&amp;"_"&amp;LEFT(Totals!F503,1)&amp;"_"&amp;LEFT(G503,1)&amp;"_"&amp;COUNTIF($G$3:G503,G503)</f>
        <v>#N/A</v>
      </c>
      <c r="C503" s="432">
        <v>2024</v>
      </c>
      <c r="D503" s="432">
        <f>Introduction!$D$7</f>
        <v>0</v>
      </c>
      <c r="E503" s="432">
        <f>Introduction!$D$8</f>
        <v>0</v>
      </c>
      <c r="F503" s="432" t="s">
        <v>73</v>
      </c>
      <c r="G503" s="432" t="s">
        <v>1112</v>
      </c>
      <c r="H503" s="433"/>
      <c r="I503" s="432">
        <f>Waste!B19</f>
        <v>0</v>
      </c>
      <c r="J503" s="432">
        <f>Waste!C19</f>
        <v>0</v>
      </c>
      <c r="K503" s="432">
        <f>Waste!D19</f>
        <v>0</v>
      </c>
      <c r="L503" s="432">
        <f>Waste!E19</f>
        <v>0</v>
      </c>
      <c r="M503" s="432" t="str">
        <f>Waste!F19</f>
        <v/>
      </c>
      <c r="N503" s="432">
        <f>Waste!G19</f>
        <v>0</v>
      </c>
      <c r="O503" s="432">
        <f>Waste!H19</f>
        <v>0</v>
      </c>
      <c r="P503" s="432" t="str">
        <f>Waste!I19</f>
        <v/>
      </c>
      <c r="Q503" s="432" t="str">
        <f>Waste!J19</f>
        <v/>
      </c>
      <c r="R503" s="432" t="str">
        <f>Waste!K19</f>
        <v/>
      </c>
      <c r="S503" s="432" t="str">
        <f>Waste!L19</f>
        <v/>
      </c>
      <c r="T503" s="432">
        <f>Waste!M19</f>
        <v>0</v>
      </c>
      <c r="U503" s="432">
        <f>Waste!N19</f>
        <v>0</v>
      </c>
      <c r="V503" s="432" t="str">
        <f>Waste!O19</f>
        <v/>
      </c>
      <c r="W503" s="432" t="str">
        <f>Waste!P19</f>
        <v/>
      </c>
      <c r="X503" s="432" t="str">
        <f>Waste!Q19</f>
        <v/>
      </c>
      <c r="Y503" s="432" t="str">
        <f>Waste!R19</f>
        <v/>
      </c>
      <c r="Z503" s="432" t="str">
        <f>Waste!S19</f>
        <v/>
      </c>
      <c r="AA503" s="432" t="str">
        <f>Waste!T19</f>
        <v/>
      </c>
      <c r="AB503" s="432" t="str">
        <f>Waste!U19</f>
        <v/>
      </c>
      <c r="AC503" s="432" t="str">
        <f>Waste!V19</f>
        <v/>
      </c>
      <c r="AE503" s="432">
        <f t="shared" si="20"/>
        <v>0</v>
      </c>
      <c r="AF503" s="432">
        <f t="shared" si="21"/>
        <v>0</v>
      </c>
    </row>
    <row r="504" spans="2:32" x14ac:dyDescent="0.35">
      <c r="B504" s="432" t="e">
        <f>"2024"&amp;MATCH(Totals!D504,OrgType,0)&amp;"_"&amp;MATCH(Totals!E504,Organisations,0)&amp;"_"&amp;LEFT(Totals!F504,1)&amp;"_"&amp;LEFT(G504,1)&amp;"_"&amp;COUNTIF($G$3:G504,G504)</f>
        <v>#N/A</v>
      </c>
      <c r="C504" s="432">
        <v>2024</v>
      </c>
      <c r="D504" s="432">
        <f>Introduction!$D$7</f>
        <v>0</v>
      </c>
      <c r="E504" s="432">
        <f>Introduction!$D$8</f>
        <v>0</v>
      </c>
      <c r="F504" s="432" t="s">
        <v>73</v>
      </c>
      <c r="G504" s="432" t="s">
        <v>1112</v>
      </c>
      <c r="H504" s="433"/>
      <c r="I504" s="432">
        <f>Waste!B20</f>
        <v>0</v>
      </c>
      <c r="J504" s="432">
        <f>Waste!C20</f>
        <v>0</v>
      </c>
      <c r="K504" s="432">
        <f>Waste!D20</f>
        <v>0</v>
      </c>
      <c r="L504" s="432">
        <f>Waste!E20</f>
        <v>0</v>
      </c>
      <c r="M504" s="432" t="str">
        <f>Waste!F20</f>
        <v/>
      </c>
      <c r="N504" s="432">
        <f>Waste!G20</f>
        <v>0</v>
      </c>
      <c r="O504" s="432">
        <f>Waste!H20</f>
        <v>0</v>
      </c>
      <c r="P504" s="432" t="str">
        <f>Waste!I20</f>
        <v/>
      </c>
      <c r="Q504" s="432" t="str">
        <f>Waste!J20</f>
        <v/>
      </c>
      <c r="R504" s="432" t="str">
        <f>Waste!K20</f>
        <v/>
      </c>
      <c r="S504" s="432" t="str">
        <f>Waste!L20</f>
        <v/>
      </c>
      <c r="T504" s="432">
        <f>Waste!M20</f>
        <v>0</v>
      </c>
      <c r="U504" s="432">
        <f>Waste!N20</f>
        <v>0</v>
      </c>
      <c r="V504" s="432" t="str">
        <f>Waste!O20</f>
        <v/>
      </c>
      <c r="W504" s="432" t="str">
        <f>Waste!P20</f>
        <v/>
      </c>
      <c r="X504" s="432" t="str">
        <f>Waste!Q20</f>
        <v/>
      </c>
      <c r="Y504" s="432" t="str">
        <f>Waste!R20</f>
        <v/>
      </c>
      <c r="Z504" s="432" t="str">
        <f>Waste!S20</f>
        <v/>
      </c>
      <c r="AA504" s="432" t="str">
        <f>Waste!T20</f>
        <v/>
      </c>
      <c r="AB504" s="432" t="str">
        <f>Waste!U20</f>
        <v/>
      </c>
      <c r="AC504" s="432" t="str">
        <f>Waste!V20</f>
        <v/>
      </c>
      <c r="AE504" s="432">
        <f t="shared" si="20"/>
        <v>0</v>
      </c>
      <c r="AF504" s="432">
        <f t="shared" si="21"/>
        <v>0</v>
      </c>
    </row>
    <row r="505" spans="2:32" x14ac:dyDescent="0.35">
      <c r="B505" s="432" t="e">
        <f>"2024"&amp;MATCH(Totals!D505,OrgType,0)&amp;"_"&amp;MATCH(Totals!E505,Organisations,0)&amp;"_"&amp;LEFT(Totals!F505,1)&amp;"_"&amp;LEFT(G505,1)&amp;"_"&amp;COUNTIF($G$3:G505,G505)</f>
        <v>#N/A</v>
      </c>
      <c r="C505" s="432">
        <v>2024</v>
      </c>
      <c r="D505" s="432">
        <f>Introduction!$D$7</f>
        <v>0</v>
      </c>
      <c r="E505" s="432">
        <f>Introduction!$D$8</f>
        <v>0</v>
      </c>
      <c r="F505" s="432" t="s">
        <v>73</v>
      </c>
      <c r="G505" s="432" t="s">
        <v>1112</v>
      </c>
      <c r="H505" s="433"/>
      <c r="I505" s="432">
        <f>Waste!B21</f>
        <v>0</v>
      </c>
      <c r="J505" s="432">
        <f>Waste!C21</f>
        <v>0</v>
      </c>
      <c r="K505" s="432">
        <f>Waste!D21</f>
        <v>0</v>
      </c>
      <c r="L505" s="432">
        <f>Waste!E21</f>
        <v>0</v>
      </c>
      <c r="M505" s="432" t="str">
        <f>Waste!F21</f>
        <v/>
      </c>
      <c r="N505" s="432">
        <f>Waste!G21</f>
        <v>0</v>
      </c>
      <c r="O505" s="432">
        <f>Waste!H21</f>
        <v>0</v>
      </c>
      <c r="P505" s="432" t="str">
        <f>Waste!I21</f>
        <v/>
      </c>
      <c r="Q505" s="432" t="str">
        <f>Waste!J21</f>
        <v/>
      </c>
      <c r="R505" s="432" t="str">
        <f>Waste!K21</f>
        <v/>
      </c>
      <c r="S505" s="432" t="str">
        <f>Waste!L21</f>
        <v/>
      </c>
      <c r="T505" s="432">
        <f>Waste!M21</f>
        <v>0</v>
      </c>
      <c r="U505" s="432">
        <f>Waste!N21</f>
        <v>0</v>
      </c>
      <c r="V505" s="432" t="str">
        <f>Waste!O21</f>
        <v/>
      </c>
      <c r="W505" s="432" t="str">
        <f>Waste!P21</f>
        <v/>
      </c>
      <c r="X505" s="432" t="str">
        <f>Waste!Q21</f>
        <v/>
      </c>
      <c r="Y505" s="432" t="str">
        <f>Waste!R21</f>
        <v/>
      </c>
      <c r="Z505" s="432" t="str">
        <f>Waste!S21</f>
        <v/>
      </c>
      <c r="AA505" s="432" t="str">
        <f>Waste!T21</f>
        <v/>
      </c>
      <c r="AB505" s="432" t="str">
        <f>Waste!U21</f>
        <v/>
      </c>
      <c r="AC505" s="432" t="str">
        <f>Waste!V21</f>
        <v/>
      </c>
      <c r="AE505" s="432">
        <f t="shared" si="20"/>
        <v>0</v>
      </c>
      <c r="AF505" s="432">
        <f t="shared" si="21"/>
        <v>0</v>
      </c>
    </row>
    <row r="506" spans="2:32" x14ac:dyDescent="0.35">
      <c r="B506" s="432" t="e">
        <f>"2024"&amp;MATCH(Totals!D506,OrgType,0)&amp;"_"&amp;MATCH(Totals!E506,Organisations,0)&amp;"_"&amp;LEFT(Totals!F506,1)&amp;"_"&amp;LEFT(G506,1)&amp;"_"&amp;COUNTIF($G$3:G506,G506)</f>
        <v>#N/A</v>
      </c>
      <c r="C506" s="432">
        <v>2024</v>
      </c>
      <c r="D506" s="432">
        <f>Introduction!$D$7</f>
        <v>0</v>
      </c>
      <c r="E506" s="432">
        <f>Introduction!$D$8</f>
        <v>0</v>
      </c>
      <c r="F506" s="432" t="s">
        <v>73</v>
      </c>
      <c r="G506" s="432" t="s">
        <v>1112</v>
      </c>
      <c r="H506" s="433"/>
      <c r="I506" s="432">
        <f>Waste!B22</f>
        <v>0</v>
      </c>
      <c r="J506" s="432">
        <f>Waste!C22</f>
        <v>0</v>
      </c>
      <c r="K506" s="432">
        <f>Waste!D22</f>
        <v>0</v>
      </c>
      <c r="L506" s="432">
        <f>Waste!E22</f>
        <v>0</v>
      </c>
      <c r="M506" s="432" t="str">
        <f>Waste!F22</f>
        <v/>
      </c>
      <c r="N506" s="432">
        <f>Waste!G22</f>
        <v>0</v>
      </c>
      <c r="O506" s="432">
        <f>Waste!H22</f>
        <v>0</v>
      </c>
      <c r="P506" s="432" t="str">
        <f>Waste!I22</f>
        <v/>
      </c>
      <c r="Q506" s="432" t="str">
        <f>Waste!J22</f>
        <v/>
      </c>
      <c r="R506" s="432" t="str">
        <f>Waste!K22</f>
        <v/>
      </c>
      <c r="S506" s="432" t="str">
        <f>Waste!L22</f>
        <v/>
      </c>
      <c r="T506" s="432">
        <f>Waste!M22</f>
        <v>0</v>
      </c>
      <c r="U506" s="432">
        <f>Waste!N22</f>
        <v>0</v>
      </c>
      <c r="V506" s="432" t="str">
        <f>Waste!O22</f>
        <v/>
      </c>
      <c r="W506" s="432" t="str">
        <f>Waste!P22</f>
        <v/>
      </c>
      <c r="X506" s="432" t="str">
        <f>Waste!Q22</f>
        <v/>
      </c>
      <c r="Y506" s="432" t="str">
        <f>Waste!R22</f>
        <v/>
      </c>
      <c r="Z506" s="432" t="str">
        <f>Waste!S22</f>
        <v/>
      </c>
      <c r="AA506" s="432" t="str">
        <f>Waste!T22</f>
        <v/>
      </c>
      <c r="AB506" s="432" t="str">
        <f>Waste!U22</f>
        <v/>
      </c>
      <c r="AC506" s="432" t="str">
        <f>Waste!V22</f>
        <v/>
      </c>
      <c r="AE506" s="432">
        <f t="shared" si="20"/>
        <v>0</v>
      </c>
      <c r="AF506" s="432">
        <f t="shared" si="21"/>
        <v>0</v>
      </c>
    </row>
    <row r="507" spans="2:32" x14ac:dyDescent="0.35">
      <c r="B507" s="432" t="e">
        <f>"2024"&amp;MATCH(Totals!D507,OrgType,0)&amp;"_"&amp;MATCH(Totals!E507,Organisations,0)&amp;"_"&amp;LEFT(Totals!F507,1)&amp;"_"&amp;LEFT(G507,1)&amp;"_"&amp;COUNTIF($G$3:G507,G507)</f>
        <v>#N/A</v>
      </c>
      <c r="C507" s="432">
        <v>2024</v>
      </c>
      <c r="D507" s="432">
        <f>Introduction!$D$7</f>
        <v>0</v>
      </c>
      <c r="E507" s="432">
        <f>Introduction!$D$8</f>
        <v>0</v>
      </c>
      <c r="F507" s="432" t="s">
        <v>73</v>
      </c>
      <c r="G507" s="432" t="s">
        <v>1112</v>
      </c>
      <c r="H507" s="433"/>
      <c r="I507" s="432">
        <f>Waste!B23</f>
        <v>0</v>
      </c>
      <c r="J507" s="432">
        <f>Waste!C23</f>
        <v>0</v>
      </c>
      <c r="K507" s="432">
        <f>Waste!D23</f>
        <v>0</v>
      </c>
      <c r="L507" s="432">
        <f>Waste!E23</f>
        <v>0</v>
      </c>
      <c r="M507" s="432" t="str">
        <f>Waste!F23</f>
        <v/>
      </c>
      <c r="N507" s="432">
        <f>Waste!G23</f>
        <v>0</v>
      </c>
      <c r="O507" s="432">
        <f>Waste!H23</f>
        <v>0</v>
      </c>
      <c r="P507" s="432" t="str">
        <f>Waste!I23</f>
        <v/>
      </c>
      <c r="Q507" s="432" t="str">
        <f>Waste!J23</f>
        <v/>
      </c>
      <c r="R507" s="432" t="str">
        <f>Waste!K23</f>
        <v/>
      </c>
      <c r="S507" s="432" t="str">
        <f>Waste!L23</f>
        <v/>
      </c>
      <c r="T507" s="432">
        <f>Waste!M23</f>
        <v>0</v>
      </c>
      <c r="U507" s="432">
        <f>Waste!N23</f>
        <v>0</v>
      </c>
      <c r="V507" s="432" t="str">
        <f>Waste!O23</f>
        <v/>
      </c>
      <c r="W507" s="432" t="str">
        <f>Waste!P23</f>
        <v/>
      </c>
      <c r="X507" s="432" t="str">
        <f>Waste!Q23</f>
        <v/>
      </c>
      <c r="Y507" s="432" t="str">
        <f>Waste!R23</f>
        <v/>
      </c>
      <c r="Z507" s="432" t="str">
        <f>Waste!S23</f>
        <v/>
      </c>
      <c r="AA507" s="432" t="str">
        <f>Waste!T23</f>
        <v/>
      </c>
      <c r="AB507" s="432" t="str">
        <f>Waste!U23</f>
        <v/>
      </c>
      <c r="AC507" s="432" t="str">
        <f>Waste!V23</f>
        <v/>
      </c>
      <c r="AE507" s="432">
        <f t="shared" si="20"/>
        <v>0</v>
      </c>
      <c r="AF507" s="432">
        <f t="shared" si="21"/>
        <v>0</v>
      </c>
    </row>
    <row r="508" spans="2:32" x14ac:dyDescent="0.35">
      <c r="B508" s="432" t="e">
        <f>"2024"&amp;MATCH(Totals!D508,OrgType,0)&amp;"_"&amp;MATCH(Totals!E508,Organisations,0)&amp;"_"&amp;LEFT(Totals!F508,1)&amp;"_"&amp;LEFT(G508,1)&amp;"_"&amp;COUNTIF($G$3:G508,G508)</f>
        <v>#N/A</v>
      </c>
      <c r="C508" s="432">
        <v>2024</v>
      </c>
      <c r="D508" s="432">
        <f>Introduction!$D$7</f>
        <v>0</v>
      </c>
      <c r="E508" s="432">
        <f>Introduction!$D$8</f>
        <v>0</v>
      </c>
      <c r="F508" s="432" t="s">
        <v>73</v>
      </c>
      <c r="G508" s="432" t="s">
        <v>1112</v>
      </c>
      <c r="H508" s="433"/>
      <c r="I508" s="432">
        <f>Waste!B24</f>
        <v>0</v>
      </c>
      <c r="J508" s="432">
        <f>Waste!C24</f>
        <v>0</v>
      </c>
      <c r="K508" s="432">
        <f>Waste!D24</f>
        <v>0</v>
      </c>
      <c r="L508" s="432">
        <f>Waste!E24</f>
        <v>0</v>
      </c>
      <c r="M508" s="432" t="str">
        <f>Waste!F24</f>
        <v/>
      </c>
      <c r="N508" s="432">
        <f>Waste!G24</f>
        <v>0</v>
      </c>
      <c r="O508" s="432">
        <f>Waste!H24</f>
        <v>0</v>
      </c>
      <c r="P508" s="432" t="str">
        <f>Waste!I24</f>
        <v/>
      </c>
      <c r="Q508" s="432" t="str">
        <f>Waste!J24</f>
        <v/>
      </c>
      <c r="R508" s="432" t="str">
        <f>Waste!K24</f>
        <v/>
      </c>
      <c r="S508" s="432" t="str">
        <f>Waste!L24</f>
        <v/>
      </c>
      <c r="T508" s="432">
        <f>Waste!M24</f>
        <v>0</v>
      </c>
      <c r="U508" s="432">
        <f>Waste!N24</f>
        <v>0</v>
      </c>
      <c r="V508" s="432" t="str">
        <f>Waste!O24</f>
        <v/>
      </c>
      <c r="W508" s="432" t="str">
        <f>Waste!P24</f>
        <v/>
      </c>
      <c r="X508" s="432" t="str">
        <f>Waste!Q24</f>
        <v/>
      </c>
      <c r="Y508" s="432" t="str">
        <f>Waste!R24</f>
        <v/>
      </c>
      <c r="Z508" s="432" t="str">
        <f>Waste!S24</f>
        <v/>
      </c>
      <c r="AA508" s="432" t="str">
        <f>Waste!T24</f>
        <v/>
      </c>
      <c r="AB508" s="432" t="str">
        <f>Waste!U24</f>
        <v/>
      </c>
      <c r="AC508" s="432" t="str">
        <f>Waste!V24</f>
        <v/>
      </c>
      <c r="AE508" s="432">
        <f t="shared" si="20"/>
        <v>0</v>
      </c>
      <c r="AF508" s="432">
        <f t="shared" si="21"/>
        <v>0</v>
      </c>
    </row>
    <row r="509" spans="2:32" x14ac:dyDescent="0.35">
      <c r="B509" s="432" t="e">
        <f>"2024"&amp;MATCH(Totals!D509,OrgType,0)&amp;"_"&amp;MATCH(Totals!E509,Organisations,0)&amp;"_"&amp;LEFT(Totals!F509,1)&amp;"_"&amp;LEFT(G509,1)&amp;"_"&amp;COUNTIF($G$3:G509,G509)</f>
        <v>#N/A</v>
      </c>
      <c r="C509" s="432">
        <v>2024</v>
      </c>
      <c r="D509" s="432">
        <f>Introduction!$D$7</f>
        <v>0</v>
      </c>
      <c r="E509" s="432">
        <f>Introduction!$D$8</f>
        <v>0</v>
      </c>
      <c r="F509" s="432" t="s">
        <v>73</v>
      </c>
      <c r="G509" s="432" t="s">
        <v>1112</v>
      </c>
      <c r="H509" s="433"/>
      <c r="I509" s="432">
        <f>Waste!B25</f>
        <v>0</v>
      </c>
      <c r="J509" s="432">
        <f>Waste!C25</f>
        <v>0</v>
      </c>
      <c r="K509" s="432">
        <f>Waste!D25</f>
        <v>0</v>
      </c>
      <c r="L509" s="432">
        <f>Waste!E25</f>
        <v>0</v>
      </c>
      <c r="M509" s="432" t="str">
        <f>Waste!F25</f>
        <v/>
      </c>
      <c r="N509" s="432">
        <f>Waste!G25</f>
        <v>0</v>
      </c>
      <c r="O509" s="432">
        <f>Waste!H25</f>
        <v>0</v>
      </c>
      <c r="P509" s="432" t="str">
        <f>Waste!I25</f>
        <v/>
      </c>
      <c r="Q509" s="432" t="str">
        <f>Waste!J25</f>
        <v/>
      </c>
      <c r="R509" s="432" t="str">
        <f>Waste!K25</f>
        <v/>
      </c>
      <c r="S509" s="432" t="str">
        <f>Waste!L25</f>
        <v/>
      </c>
      <c r="T509" s="432">
        <f>Waste!M25</f>
        <v>0</v>
      </c>
      <c r="U509" s="432">
        <f>Waste!N25</f>
        <v>0</v>
      </c>
      <c r="V509" s="432" t="str">
        <f>Waste!O25</f>
        <v/>
      </c>
      <c r="W509" s="432" t="str">
        <f>Waste!P25</f>
        <v/>
      </c>
      <c r="X509" s="432" t="str">
        <f>Waste!Q25</f>
        <v/>
      </c>
      <c r="Y509" s="432" t="str">
        <f>Waste!R25</f>
        <v/>
      </c>
      <c r="Z509" s="432" t="str">
        <f>Waste!S25</f>
        <v/>
      </c>
      <c r="AA509" s="432" t="str">
        <f>Waste!T25</f>
        <v/>
      </c>
      <c r="AB509" s="432" t="str">
        <f>Waste!U25</f>
        <v/>
      </c>
      <c r="AC509" s="432" t="str">
        <f>Waste!V25</f>
        <v/>
      </c>
      <c r="AE509" s="432">
        <f t="shared" si="20"/>
        <v>0</v>
      </c>
      <c r="AF509" s="432">
        <f t="shared" si="21"/>
        <v>0</v>
      </c>
    </row>
    <row r="510" spans="2:32" x14ac:dyDescent="0.35">
      <c r="B510" s="432" t="e">
        <f>"2024"&amp;MATCH(Totals!D510,OrgType,0)&amp;"_"&amp;MATCH(Totals!E510,Organisations,0)&amp;"_"&amp;LEFT(Totals!F510,1)&amp;"_"&amp;LEFT(G510,1)&amp;"_"&amp;COUNTIF($G$3:G510,G510)</f>
        <v>#N/A</v>
      </c>
      <c r="C510" s="432">
        <v>2024</v>
      </c>
      <c r="D510" s="432">
        <f>Introduction!$D$7</f>
        <v>0</v>
      </c>
      <c r="E510" s="432">
        <f>Introduction!$D$8</f>
        <v>0</v>
      </c>
      <c r="F510" s="432" t="s">
        <v>73</v>
      </c>
      <c r="G510" s="432" t="s">
        <v>1112</v>
      </c>
      <c r="H510" s="433"/>
      <c r="I510" s="432">
        <f>Waste!B26</f>
        <v>0</v>
      </c>
      <c r="J510" s="432">
        <f>Waste!C26</f>
        <v>0</v>
      </c>
      <c r="K510" s="432">
        <f>Waste!D26</f>
        <v>0</v>
      </c>
      <c r="L510" s="432">
        <f>Waste!E26</f>
        <v>0</v>
      </c>
      <c r="M510" s="432" t="str">
        <f>Waste!F26</f>
        <v/>
      </c>
      <c r="N510" s="432">
        <f>Waste!G26</f>
        <v>0</v>
      </c>
      <c r="O510" s="432">
        <f>Waste!H26</f>
        <v>0</v>
      </c>
      <c r="P510" s="432" t="str">
        <f>Waste!I26</f>
        <v/>
      </c>
      <c r="Q510" s="432" t="str">
        <f>Waste!J26</f>
        <v/>
      </c>
      <c r="R510" s="432" t="str">
        <f>Waste!K26</f>
        <v/>
      </c>
      <c r="S510" s="432" t="str">
        <f>Waste!L26</f>
        <v/>
      </c>
      <c r="T510" s="432">
        <f>Waste!M26</f>
        <v>0</v>
      </c>
      <c r="U510" s="432">
        <f>Waste!N26</f>
        <v>0</v>
      </c>
      <c r="V510" s="432" t="str">
        <f>Waste!O26</f>
        <v/>
      </c>
      <c r="W510" s="432" t="str">
        <f>Waste!P26</f>
        <v/>
      </c>
      <c r="X510" s="432" t="str">
        <f>Waste!Q26</f>
        <v/>
      </c>
      <c r="Y510" s="432" t="str">
        <f>Waste!R26</f>
        <v/>
      </c>
      <c r="Z510" s="432" t="str">
        <f>Waste!S26</f>
        <v/>
      </c>
      <c r="AA510" s="432" t="str">
        <f>Waste!T26</f>
        <v/>
      </c>
      <c r="AB510" s="432" t="str">
        <f>Waste!U26</f>
        <v/>
      </c>
      <c r="AC510" s="432" t="str">
        <f>Waste!V26</f>
        <v/>
      </c>
      <c r="AE510" s="432">
        <f t="shared" si="20"/>
        <v>0</v>
      </c>
      <c r="AF510" s="432">
        <f t="shared" si="21"/>
        <v>0</v>
      </c>
    </row>
    <row r="511" spans="2:32" x14ac:dyDescent="0.35">
      <c r="B511" s="432" t="e">
        <f>"2024"&amp;MATCH(Totals!D511,OrgType,0)&amp;"_"&amp;MATCH(Totals!E511,Organisations,0)&amp;"_"&amp;LEFT(Totals!F511,1)&amp;"_"&amp;LEFT(G511,1)&amp;"_"&amp;COUNTIF($G$3:G511,G511)</f>
        <v>#N/A</v>
      </c>
      <c r="C511" s="432">
        <v>2024</v>
      </c>
      <c r="D511" s="432">
        <f>Introduction!$D$7</f>
        <v>0</v>
      </c>
      <c r="E511" s="432">
        <f>Introduction!$D$8</f>
        <v>0</v>
      </c>
      <c r="F511" s="432" t="s">
        <v>73</v>
      </c>
      <c r="G511" s="432" t="s">
        <v>1112</v>
      </c>
      <c r="H511" s="433"/>
      <c r="I511" s="432">
        <f>Waste!B27</f>
        <v>0</v>
      </c>
      <c r="J511" s="432">
        <f>Waste!C27</f>
        <v>0</v>
      </c>
      <c r="K511" s="432">
        <f>Waste!D27</f>
        <v>0</v>
      </c>
      <c r="L511" s="432">
        <f>Waste!E27</f>
        <v>0</v>
      </c>
      <c r="M511" s="432" t="str">
        <f>Waste!F27</f>
        <v/>
      </c>
      <c r="N511" s="432">
        <f>Waste!G27</f>
        <v>0</v>
      </c>
      <c r="O511" s="432">
        <f>Waste!H27</f>
        <v>0</v>
      </c>
      <c r="P511" s="432" t="str">
        <f>Waste!I27</f>
        <v/>
      </c>
      <c r="Q511" s="432" t="str">
        <f>Waste!J27</f>
        <v/>
      </c>
      <c r="R511" s="432" t="str">
        <f>Waste!K27</f>
        <v/>
      </c>
      <c r="S511" s="432" t="str">
        <f>Waste!L27</f>
        <v/>
      </c>
      <c r="T511" s="432">
        <f>Waste!M27</f>
        <v>0</v>
      </c>
      <c r="U511" s="432">
        <f>Waste!N27</f>
        <v>0</v>
      </c>
      <c r="V511" s="432" t="str">
        <f>Waste!O27</f>
        <v/>
      </c>
      <c r="W511" s="432" t="str">
        <f>Waste!P27</f>
        <v/>
      </c>
      <c r="X511" s="432" t="str">
        <f>Waste!Q27</f>
        <v/>
      </c>
      <c r="Y511" s="432" t="str">
        <f>Waste!R27</f>
        <v/>
      </c>
      <c r="Z511" s="432" t="str">
        <f>Waste!S27</f>
        <v/>
      </c>
      <c r="AA511" s="432" t="str">
        <f>Waste!T27</f>
        <v/>
      </c>
      <c r="AB511" s="432" t="str">
        <f>Waste!U27</f>
        <v/>
      </c>
      <c r="AC511" s="432" t="str">
        <f>Waste!V27</f>
        <v/>
      </c>
      <c r="AE511" s="432">
        <f t="shared" si="20"/>
        <v>0</v>
      </c>
      <c r="AF511" s="432">
        <f t="shared" si="21"/>
        <v>0</v>
      </c>
    </row>
    <row r="512" spans="2:32" x14ac:dyDescent="0.35">
      <c r="B512" s="432" t="e">
        <f>"2024"&amp;MATCH(Totals!D512,OrgType,0)&amp;"_"&amp;MATCH(Totals!E512,Organisations,0)&amp;"_"&amp;LEFT(Totals!F512,1)&amp;"_"&amp;LEFT(G512,1)&amp;"_"&amp;COUNTIF($G$3:G512,G512)</f>
        <v>#N/A</v>
      </c>
      <c r="C512" s="432">
        <v>2024</v>
      </c>
      <c r="D512" s="432">
        <f>Introduction!$D$7</f>
        <v>0</v>
      </c>
      <c r="E512" s="432">
        <f>Introduction!$D$8</f>
        <v>0</v>
      </c>
      <c r="F512" s="432" t="s">
        <v>73</v>
      </c>
      <c r="G512" s="432" t="s">
        <v>1112</v>
      </c>
      <c r="H512" s="433"/>
      <c r="I512" s="432">
        <f>Waste!B28</f>
        <v>0</v>
      </c>
      <c r="J512" s="432">
        <f>Waste!C28</f>
        <v>0</v>
      </c>
      <c r="K512" s="432">
        <f>Waste!D28</f>
        <v>0</v>
      </c>
      <c r="L512" s="432">
        <f>Waste!E28</f>
        <v>0</v>
      </c>
      <c r="M512" s="432" t="str">
        <f>Waste!F28</f>
        <v/>
      </c>
      <c r="N512" s="432">
        <f>Waste!G28</f>
        <v>0</v>
      </c>
      <c r="O512" s="432">
        <f>Waste!H28</f>
        <v>0</v>
      </c>
      <c r="P512" s="432" t="str">
        <f>Waste!I28</f>
        <v/>
      </c>
      <c r="Q512" s="432" t="str">
        <f>Waste!J28</f>
        <v/>
      </c>
      <c r="R512" s="432" t="str">
        <f>Waste!K28</f>
        <v/>
      </c>
      <c r="S512" s="432" t="str">
        <f>Waste!L28</f>
        <v/>
      </c>
      <c r="T512" s="432">
        <f>Waste!M28</f>
        <v>0</v>
      </c>
      <c r="U512" s="432">
        <f>Waste!N28</f>
        <v>0</v>
      </c>
      <c r="V512" s="432" t="str">
        <f>Waste!O28</f>
        <v/>
      </c>
      <c r="W512" s="432" t="str">
        <f>Waste!P28</f>
        <v/>
      </c>
      <c r="X512" s="432" t="str">
        <f>Waste!Q28</f>
        <v/>
      </c>
      <c r="Y512" s="432" t="str">
        <f>Waste!R28</f>
        <v/>
      </c>
      <c r="Z512" s="432" t="str">
        <f>Waste!S28</f>
        <v/>
      </c>
      <c r="AA512" s="432" t="str">
        <f>Waste!T28</f>
        <v/>
      </c>
      <c r="AB512" s="432" t="str">
        <f>Waste!U28</f>
        <v/>
      </c>
      <c r="AC512" s="432" t="str">
        <f>Waste!V28</f>
        <v/>
      </c>
      <c r="AE512" s="432">
        <f t="shared" si="20"/>
        <v>0</v>
      </c>
      <c r="AF512" s="432">
        <f t="shared" si="21"/>
        <v>0</v>
      </c>
    </row>
    <row r="513" spans="2:32" x14ac:dyDescent="0.35">
      <c r="B513" s="432" t="e">
        <f>"2024"&amp;MATCH(Totals!D513,OrgType,0)&amp;"_"&amp;MATCH(Totals!E513,Organisations,0)&amp;"_"&amp;LEFT(Totals!F513,1)&amp;"_"&amp;LEFT(G513,1)&amp;"_"&amp;COUNTIF($G$3:G513,G513)</f>
        <v>#N/A</v>
      </c>
      <c r="C513" s="432">
        <v>2024</v>
      </c>
      <c r="D513" s="432">
        <f>Introduction!$D$7</f>
        <v>0</v>
      </c>
      <c r="E513" s="432">
        <f>Introduction!$D$8</f>
        <v>0</v>
      </c>
      <c r="F513" s="432" t="s">
        <v>73</v>
      </c>
      <c r="G513" s="432" t="s">
        <v>1112</v>
      </c>
      <c r="H513" s="433"/>
      <c r="I513" s="432">
        <f>Waste!B29</f>
        <v>0</v>
      </c>
      <c r="J513" s="432">
        <f>Waste!C29</f>
        <v>0</v>
      </c>
      <c r="K513" s="432">
        <f>Waste!D29</f>
        <v>0</v>
      </c>
      <c r="L513" s="432">
        <f>Waste!E29</f>
        <v>0</v>
      </c>
      <c r="M513" s="432" t="str">
        <f>Waste!F29</f>
        <v/>
      </c>
      <c r="N513" s="432">
        <f>Waste!G29</f>
        <v>0</v>
      </c>
      <c r="O513" s="432">
        <f>Waste!H29</f>
        <v>0</v>
      </c>
      <c r="P513" s="432" t="str">
        <f>Waste!I29</f>
        <v/>
      </c>
      <c r="Q513" s="432" t="str">
        <f>Waste!J29</f>
        <v/>
      </c>
      <c r="R513" s="432" t="str">
        <f>Waste!K29</f>
        <v/>
      </c>
      <c r="S513" s="432" t="str">
        <f>Waste!L29</f>
        <v/>
      </c>
      <c r="T513" s="432">
        <f>Waste!M29</f>
        <v>0</v>
      </c>
      <c r="U513" s="432">
        <f>Waste!N29</f>
        <v>0</v>
      </c>
      <c r="V513" s="432" t="str">
        <f>Waste!O29</f>
        <v/>
      </c>
      <c r="W513" s="432" t="str">
        <f>Waste!P29</f>
        <v/>
      </c>
      <c r="X513" s="432" t="str">
        <f>Waste!Q29</f>
        <v/>
      </c>
      <c r="Y513" s="432" t="str">
        <f>Waste!R29</f>
        <v/>
      </c>
      <c r="Z513" s="432" t="str">
        <f>Waste!S29</f>
        <v/>
      </c>
      <c r="AA513" s="432" t="str">
        <f>Waste!T29</f>
        <v/>
      </c>
      <c r="AB513" s="432" t="str">
        <f>Waste!U29</f>
        <v/>
      </c>
      <c r="AC513" s="432" t="str">
        <f>Waste!V29</f>
        <v/>
      </c>
      <c r="AE513" s="432">
        <f t="shared" si="20"/>
        <v>0</v>
      </c>
      <c r="AF513" s="432">
        <f t="shared" si="21"/>
        <v>0</v>
      </c>
    </row>
    <row r="514" spans="2:32" x14ac:dyDescent="0.35">
      <c r="B514" s="432" t="e">
        <f>"2024"&amp;MATCH(Totals!D514,OrgType,0)&amp;"_"&amp;MATCH(Totals!E514,Organisations,0)&amp;"_"&amp;LEFT(Totals!F514,1)&amp;"_"&amp;LEFT(G514,1)&amp;"_"&amp;COUNTIF($G$3:G514,G514)</f>
        <v>#N/A</v>
      </c>
      <c r="C514" s="432">
        <v>2024</v>
      </c>
      <c r="D514" s="432">
        <f>Introduction!$D$7</f>
        <v>0</v>
      </c>
      <c r="E514" s="432">
        <f>Introduction!$D$8</f>
        <v>0</v>
      </c>
      <c r="F514" s="432" t="s">
        <v>73</v>
      </c>
      <c r="G514" s="432" t="s">
        <v>1112</v>
      </c>
      <c r="H514" s="433"/>
      <c r="I514" s="432">
        <f>Waste!B30</f>
        <v>0</v>
      </c>
      <c r="J514" s="432">
        <f>Waste!C30</f>
        <v>0</v>
      </c>
      <c r="K514" s="432">
        <f>Waste!D30</f>
        <v>0</v>
      </c>
      <c r="L514" s="432">
        <f>Waste!E30</f>
        <v>0</v>
      </c>
      <c r="M514" s="432" t="str">
        <f>Waste!F30</f>
        <v/>
      </c>
      <c r="N514" s="432">
        <f>Waste!G30</f>
        <v>0</v>
      </c>
      <c r="O514" s="432">
        <f>Waste!H30</f>
        <v>0</v>
      </c>
      <c r="P514" s="432" t="str">
        <f>Waste!I30</f>
        <v/>
      </c>
      <c r="Q514" s="432" t="str">
        <f>Waste!J30</f>
        <v/>
      </c>
      <c r="R514" s="432" t="str">
        <f>Waste!K30</f>
        <v/>
      </c>
      <c r="S514" s="432" t="str">
        <f>Waste!L30</f>
        <v/>
      </c>
      <c r="T514" s="432">
        <f>Waste!M30</f>
        <v>0</v>
      </c>
      <c r="U514" s="432">
        <f>Waste!N30</f>
        <v>0</v>
      </c>
      <c r="V514" s="432" t="str">
        <f>Waste!O30</f>
        <v/>
      </c>
      <c r="W514" s="432" t="str">
        <f>Waste!P30</f>
        <v/>
      </c>
      <c r="X514" s="432" t="str">
        <f>Waste!Q30</f>
        <v/>
      </c>
      <c r="Y514" s="432" t="str">
        <f>Waste!R30</f>
        <v/>
      </c>
      <c r="Z514" s="432" t="str">
        <f>Waste!S30</f>
        <v/>
      </c>
      <c r="AA514" s="432" t="str">
        <f>Waste!T30</f>
        <v/>
      </c>
      <c r="AB514" s="432" t="str">
        <f>Waste!U30</f>
        <v/>
      </c>
      <c r="AC514" s="432" t="str">
        <f>Waste!V30</f>
        <v/>
      </c>
      <c r="AE514" s="432">
        <f t="shared" si="20"/>
        <v>0</v>
      </c>
      <c r="AF514" s="432">
        <f t="shared" si="21"/>
        <v>0</v>
      </c>
    </row>
    <row r="515" spans="2:32" x14ac:dyDescent="0.35">
      <c r="B515" s="432" t="e">
        <f>"2024"&amp;MATCH(Totals!D515,OrgType,0)&amp;"_"&amp;MATCH(Totals!E515,Organisations,0)&amp;"_"&amp;LEFT(Totals!F515,1)&amp;"_"&amp;LEFT(G515,1)&amp;"_"&amp;COUNTIF($G$3:G515,G515)</f>
        <v>#N/A</v>
      </c>
      <c r="C515" s="432">
        <v>2024</v>
      </c>
      <c r="D515" s="432">
        <f>Introduction!$D$7</f>
        <v>0</v>
      </c>
      <c r="E515" s="432">
        <f>Introduction!$D$8</f>
        <v>0</v>
      </c>
      <c r="F515" s="432" t="s">
        <v>73</v>
      </c>
      <c r="G515" s="432" t="s">
        <v>1112</v>
      </c>
      <c r="H515" s="433"/>
      <c r="I515" s="432">
        <f>Waste!B31</f>
        <v>0</v>
      </c>
      <c r="J515" s="432">
        <f>Waste!C31</f>
        <v>0</v>
      </c>
      <c r="K515" s="432">
        <f>Waste!D31</f>
        <v>0</v>
      </c>
      <c r="L515" s="432">
        <f>Waste!E31</f>
        <v>0</v>
      </c>
      <c r="M515" s="432" t="str">
        <f>Waste!F31</f>
        <v/>
      </c>
      <c r="N515" s="432">
        <f>Waste!G31</f>
        <v>0</v>
      </c>
      <c r="O515" s="432">
        <f>Waste!H31</f>
        <v>0</v>
      </c>
      <c r="P515" s="432" t="str">
        <f>Waste!I31</f>
        <v/>
      </c>
      <c r="Q515" s="432" t="str">
        <f>Waste!J31</f>
        <v/>
      </c>
      <c r="R515" s="432" t="str">
        <f>Waste!K31</f>
        <v/>
      </c>
      <c r="S515" s="432" t="str">
        <f>Waste!L31</f>
        <v/>
      </c>
      <c r="T515" s="432">
        <f>Waste!M31</f>
        <v>0</v>
      </c>
      <c r="U515" s="432">
        <f>Waste!N31</f>
        <v>0</v>
      </c>
      <c r="V515" s="432" t="str">
        <f>Waste!O31</f>
        <v/>
      </c>
      <c r="W515" s="432" t="str">
        <f>Waste!P31</f>
        <v/>
      </c>
      <c r="X515" s="432" t="str">
        <f>Waste!Q31</f>
        <v/>
      </c>
      <c r="Y515" s="432" t="str">
        <f>Waste!R31</f>
        <v/>
      </c>
      <c r="Z515" s="432" t="str">
        <f>Waste!S31</f>
        <v/>
      </c>
      <c r="AA515" s="432" t="str">
        <f>Waste!T31</f>
        <v/>
      </c>
      <c r="AB515" s="432" t="str">
        <f>Waste!U31</f>
        <v/>
      </c>
      <c r="AC515" s="432" t="str">
        <f>Waste!V31</f>
        <v/>
      </c>
      <c r="AE515" s="432">
        <f t="shared" si="20"/>
        <v>0</v>
      </c>
      <c r="AF515" s="432">
        <f t="shared" si="21"/>
        <v>0</v>
      </c>
    </row>
    <row r="516" spans="2:32" x14ac:dyDescent="0.35">
      <c r="B516" s="432" t="e">
        <f>"2024"&amp;MATCH(Totals!D516,OrgType,0)&amp;"_"&amp;MATCH(Totals!E516,Organisations,0)&amp;"_"&amp;LEFT(Totals!F516,1)&amp;"_"&amp;LEFT(G516,1)&amp;"_"&amp;COUNTIF($G$3:G516,G516)</f>
        <v>#N/A</v>
      </c>
      <c r="C516" s="432">
        <v>2024</v>
      </c>
      <c r="D516" s="432">
        <f>Introduction!$D$7</f>
        <v>0</v>
      </c>
      <c r="E516" s="432">
        <f>Introduction!$D$8</f>
        <v>0</v>
      </c>
      <c r="F516" s="432" t="s">
        <v>73</v>
      </c>
      <c r="G516" s="432" t="s">
        <v>1112</v>
      </c>
      <c r="H516" s="433"/>
      <c r="I516" s="432">
        <f>Waste!B32</f>
        <v>0</v>
      </c>
      <c r="J516" s="432">
        <f>Waste!C32</f>
        <v>0</v>
      </c>
      <c r="K516" s="432">
        <f>Waste!D32</f>
        <v>0</v>
      </c>
      <c r="L516" s="432">
        <f>Waste!E32</f>
        <v>0</v>
      </c>
      <c r="M516" s="432" t="str">
        <f>Waste!F32</f>
        <v/>
      </c>
      <c r="N516" s="432">
        <f>Waste!G32</f>
        <v>0</v>
      </c>
      <c r="O516" s="432">
        <f>Waste!H32</f>
        <v>0</v>
      </c>
      <c r="P516" s="432" t="str">
        <f>Waste!I32</f>
        <v/>
      </c>
      <c r="Q516" s="432" t="str">
        <f>Waste!J32</f>
        <v/>
      </c>
      <c r="R516" s="432" t="str">
        <f>Waste!K32</f>
        <v/>
      </c>
      <c r="S516" s="432" t="str">
        <f>Waste!L32</f>
        <v/>
      </c>
      <c r="T516" s="432">
        <f>Waste!M32</f>
        <v>0</v>
      </c>
      <c r="U516" s="432">
        <f>Waste!N32</f>
        <v>0</v>
      </c>
      <c r="V516" s="432" t="str">
        <f>Waste!O32</f>
        <v/>
      </c>
      <c r="W516" s="432" t="str">
        <f>Waste!P32</f>
        <v/>
      </c>
      <c r="X516" s="432" t="str">
        <f>Waste!Q32</f>
        <v/>
      </c>
      <c r="Y516" s="432" t="str">
        <f>Waste!R32</f>
        <v/>
      </c>
      <c r="Z516" s="432" t="str">
        <f>Waste!S32</f>
        <v/>
      </c>
      <c r="AA516" s="432" t="str">
        <f>Waste!T32</f>
        <v/>
      </c>
      <c r="AB516" s="432" t="str">
        <f>Waste!U32</f>
        <v/>
      </c>
      <c r="AC516" s="432" t="str">
        <f>Waste!V32</f>
        <v/>
      </c>
      <c r="AE516" s="432">
        <f t="shared" si="20"/>
        <v>0</v>
      </c>
      <c r="AF516" s="432">
        <f t="shared" si="21"/>
        <v>0</v>
      </c>
    </row>
    <row r="517" spans="2:32" x14ac:dyDescent="0.35">
      <c r="B517" s="432" t="e">
        <f>"2024"&amp;MATCH(Totals!D517,OrgType,0)&amp;"_"&amp;MATCH(Totals!E517,Organisations,0)&amp;"_"&amp;LEFT(Totals!F517,1)&amp;"_"&amp;LEFT(G517,1)&amp;"_"&amp;COUNTIF($G$3:G517,G517)</f>
        <v>#N/A</v>
      </c>
      <c r="C517" s="432">
        <v>2024</v>
      </c>
      <c r="D517" s="432">
        <f>Introduction!$D$7</f>
        <v>0</v>
      </c>
      <c r="E517" s="432">
        <f>Introduction!$D$8</f>
        <v>0</v>
      </c>
      <c r="F517" s="432" t="s">
        <v>73</v>
      </c>
      <c r="G517" s="432" t="s">
        <v>1112</v>
      </c>
      <c r="H517" s="433"/>
      <c r="I517" s="432">
        <f>Waste!B33</f>
        <v>0</v>
      </c>
      <c r="J517" s="432">
        <f>Waste!C33</f>
        <v>0</v>
      </c>
      <c r="K517" s="432">
        <f>Waste!D33</f>
        <v>0</v>
      </c>
      <c r="L517" s="432">
        <f>Waste!E33</f>
        <v>0</v>
      </c>
      <c r="M517" s="432" t="str">
        <f>Waste!F33</f>
        <v/>
      </c>
      <c r="N517" s="432">
        <f>Waste!G33</f>
        <v>0</v>
      </c>
      <c r="O517" s="432">
        <f>Waste!H33</f>
        <v>0</v>
      </c>
      <c r="P517" s="432" t="str">
        <f>Waste!I33</f>
        <v/>
      </c>
      <c r="Q517" s="432" t="str">
        <f>Waste!J33</f>
        <v/>
      </c>
      <c r="R517" s="432" t="str">
        <f>Waste!K33</f>
        <v/>
      </c>
      <c r="S517" s="432" t="str">
        <f>Waste!L33</f>
        <v/>
      </c>
      <c r="T517" s="432">
        <f>Waste!M33</f>
        <v>0</v>
      </c>
      <c r="U517" s="432">
        <f>Waste!N33</f>
        <v>0</v>
      </c>
      <c r="V517" s="432" t="str">
        <f>Waste!O33</f>
        <v/>
      </c>
      <c r="W517" s="432" t="str">
        <f>Waste!P33</f>
        <v/>
      </c>
      <c r="X517" s="432" t="str">
        <f>Waste!Q33</f>
        <v/>
      </c>
      <c r="Y517" s="432" t="str">
        <f>Waste!R33</f>
        <v/>
      </c>
      <c r="Z517" s="432" t="str">
        <f>Waste!S33</f>
        <v/>
      </c>
      <c r="AA517" s="432" t="str">
        <f>Waste!T33</f>
        <v/>
      </c>
      <c r="AB517" s="432" t="str">
        <f>Waste!U33</f>
        <v/>
      </c>
      <c r="AC517" s="432" t="str">
        <f>Waste!V33</f>
        <v/>
      </c>
      <c r="AE517" s="432">
        <f t="shared" si="20"/>
        <v>0</v>
      </c>
      <c r="AF517" s="432">
        <f t="shared" si="21"/>
        <v>0</v>
      </c>
    </row>
    <row r="518" spans="2:32" x14ac:dyDescent="0.35">
      <c r="B518" s="432" t="e">
        <f>"2024"&amp;MATCH(Totals!D518,OrgType,0)&amp;"_"&amp;MATCH(Totals!E518,Organisations,0)&amp;"_"&amp;LEFT(Totals!F518,1)&amp;"_"&amp;LEFT(G518,1)&amp;"_"&amp;COUNTIF($G$3:G518,G518)</f>
        <v>#N/A</v>
      </c>
      <c r="C518" s="432">
        <v>2024</v>
      </c>
      <c r="D518" s="432">
        <f>Introduction!$D$7</f>
        <v>0</v>
      </c>
      <c r="E518" s="432">
        <f>Introduction!$D$8</f>
        <v>0</v>
      </c>
      <c r="F518" s="432" t="s">
        <v>73</v>
      </c>
      <c r="G518" s="432" t="s">
        <v>1112</v>
      </c>
      <c r="H518" s="433"/>
      <c r="I518" s="432">
        <f>Waste!B34</f>
        <v>0</v>
      </c>
      <c r="J518" s="432">
        <f>Waste!C34</f>
        <v>0</v>
      </c>
      <c r="K518" s="432">
        <f>Waste!D34</f>
        <v>0</v>
      </c>
      <c r="L518" s="432">
        <f>Waste!E34</f>
        <v>0</v>
      </c>
      <c r="M518" s="432" t="str">
        <f>Waste!F34</f>
        <v/>
      </c>
      <c r="N518" s="432">
        <f>Waste!G34</f>
        <v>0</v>
      </c>
      <c r="O518" s="432">
        <f>Waste!H34</f>
        <v>0</v>
      </c>
      <c r="P518" s="432" t="str">
        <f>Waste!I34</f>
        <v/>
      </c>
      <c r="Q518" s="432" t="str">
        <f>Waste!J34</f>
        <v/>
      </c>
      <c r="R518" s="432" t="str">
        <f>Waste!K34</f>
        <v/>
      </c>
      <c r="S518" s="432" t="str">
        <f>Waste!L34</f>
        <v/>
      </c>
      <c r="T518" s="432">
        <f>Waste!M34</f>
        <v>0</v>
      </c>
      <c r="U518" s="432">
        <f>Waste!N34</f>
        <v>0</v>
      </c>
      <c r="V518" s="432" t="str">
        <f>Waste!O34</f>
        <v/>
      </c>
      <c r="W518" s="432" t="str">
        <f>Waste!P34</f>
        <v/>
      </c>
      <c r="X518" s="432" t="str">
        <f>Waste!Q34</f>
        <v/>
      </c>
      <c r="Y518" s="432" t="str">
        <f>Waste!R34</f>
        <v/>
      </c>
      <c r="Z518" s="432" t="str">
        <f>Waste!S34</f>
        <v/>
      </c>
      <c r="AA518" s="432" t="str">
        <f>Waste!T34</f>
        <v/>
      </c>
      <c r="AB518" s="432" t="str">
        <f>Waste!U34</f>
        <v/>
      </c>
      <c r="AC518" s="432" t="str">
        <f>Waste!V34</f>
        <v/>
      </c>
      <c r="AE518" s="432">
        <f t="shared" si="20"/>
        <v>0</v>
      </c>
      <c r="AF518" s="432">
        <f t="shared" si="21"/>
        <v>0</v>
      </c>
    </row>
    <row r="519" spans="2:32" x14ac:dyDescent="0.35">
      <c r="B519" s="432" t="e">
        <f>"2024"&amp;MATCH(Totals!D519,OrgType,0)&amp;"_"&amp;MATCH(Totals!E519,Organisations,0)&amp;"_"&amp;LEFT(Totals!F519,1)&amp;"_"&amp;LEFT(G519,1)&amp;"_"&amp;COUNTIF($G$3:G519,G519)</f>
        <v>#N/A</v>
      </c>
      <c r="C519" s="432">
        <v>2024</v>
      </c>
      <c r="D519" s="432">
        <f>Introduction!$D$7</f>
        <v>0</v>
      </c>
      <c r="E519" s="432">
        <f>Introduction!$D$8</f>
        <v>0</v>
      </c>
      <c r="F519" s="432" t="s">
        <v>73</v>
      </c>
      <c r="G519" s="432" t="s">
        <v>1112</v>
      </c>
      <c r="H519" s="433"/>
      <c r="I519" s="432">
        <f>Waste!B35</f>
        <v>0</v>
      </c>
      <c r="J519" s="432">
        <f>Waste!C35</f>
        <v>0</v>
      </c>
      <c r="K519" s="432">
        <f>Waste!D35</f>
        <v>0</v>
      </c>
      <c r="L519" s="432">
        <f>Waste!E35</f>
        <v>0</v>
      </c>
      <c r="M519" s="432" t="str">
        <f>Waste!F35</f>
        <v/>
      </c>
      <c r="N519" s="432">
        <f>Waste!G35</f>
        <v>0</v>
      </c>
      <c r="O519" s="432">
        <f>Waste!H35</f>
        <v>0</v>
      </c>
      <c r="P519" s="432" t="str">
        <f>Waste!I35</f>
        <v/>
      </c>
      <c r="Q519" s="432" t="str">
        <f>Waste!J35</f>
        <v/>
      </c>
      <c r="R519" s="432" t="str">
        <f>Waste!K35</f>
        <v/>
      </c>
      <c r="S519" s="432" t="str">
        <f>Waste!L35</f>
        <v/>
      </c>
      <c r="T519" s="432">
        <f>Waste!M35</f>
        <v>0</v>
      </c>
      <c r="U519" s="432">
        <f>Waste!N35</f>
        <v>0</v>
      </c>
      <c r="V519" s="432" t="str">
        <f>Waste!O35</f>
        <v/>
      </c>
      <c r="W519" s="432" t="str">
        <f>Waste!P35</f>
        <v/>
      </c>
      <c r="X519" s="432" t="str">
        <f>Waste!Q35</f>
        <v/>
      </c>
      <c r="Y519" s="432" t="str">
        <f>Waste!R35</f>
        <v/>
      </c>
      <c r="Z519" s="432" t="str">
        <f>Waste!S35</f>
        <v/>
      </c>
      <c r="AA519" s="432" t="str">
        <f>Waste!T35</f>
        <v/>
      </c>
      <c r="AB519" s="432" t="str">
        <f>Waste!U35</f>
        <v/>
      </c>
      <c r="AC519" s="432" t="str">
        <f>Waste!V35</f>
        <v/>
      </c>
      <c r="AE519" s="432">
        <f t="shared" si="20"/>
        <v>0</v>
      </c>
      <c r="AF519" s="432">
        <f t="shared" si="21"/>
        <v>0</v>
      </c>
    </row>
    <row r="520" spans="2:32" x14ac:dyDescent="0.35">
      <c r="B520" s="432" t="e">
        <f>"2024"&amp;MATCH(Totals!D520,OrgType,0)&amp;"_"&amp;MATCH(Totals!E520,Organisations,0)&amp;"_"&amp;LEFT(Totals!F520,1)&amp;"_"&amp;LEFT(G520,1)&amp;"_"&amp;COUNTIF($G$3:G520,G520)</f>
        <v>#N/A</v>
      </c>
      <c r="C520" s="432">
        <v>2024</v>
      </c>
      <c r="D520" s="432">
        <f>Introduction!$D$7</f>
        <v>0</v>
      </c>
      <c r="E520" s="432">
        <f>Introduction!$D$8</f>
        <v>0</v>
      </c>
      <c r="F520" s="432" t="s">
        <v>73</v>
      </c>
      <c r="G520" s="432" t="s">
        <v>1112</v>
      </c>
      <c r="H520" s="433"/>
      <c r="I520" s="432">
        <f>Waste!B36</f>
        <v>0</v>
      </c>
      <c r="J520" s="432">
        <f>Waste!C36</f>
        <v>0</v>
      </c>
      <c r="K520" s="432">
        <f>Waste!D36</f>
        <v>0</v>
      </c>
      <c r="L520" s="432">
        <f>Waste!E36</f>
        <v>0</v>
      </c>
      <c r="M520" s="432" t="str">
        <f>Waste!F36</f>
        <v/>
      </c>
      <c r="N520" s="432">
        <f>Waste!G36</f>
        <v>0</v>
      </c>
      <c r="O520" s="432">
        <f>Waste!H36</f>
        <v>0</v>
      </c>
      <c r="P520" s="432" t="str">
        <f>Waste!I36</f>
        <v/>
      </c>
      <c r="Q520" s="432" t="str">
        <f>Waste!J36</f>
        <v/>
      </c>
      <c r="R520" s="432" t="str">
        <f>Waste!K36</f>
        <v/>
      </c>
      <c r="S520" s="432" t="str">
        <f>Waste!L36</f>
        <v/>
      </c>
      <c r="T520" s="432">
        <f>Waste!M36</f>
        <v>0</v>
      </c>
      <c r="U520" s="432">
        <f>Waste!N36</f>
        <v>0</v>
      </c>
      <c r="V520" s="432" t="str">
        <f>Waste!O36</f>
        <v/>
      </c>
      <c r="W520" s="432" t="str">
        <f>Waste!P36</f>
        <v/>
      </c>
      <c r="X520" s="432" t="str">
        <f>Waste!Q36</f>
        <v/>
      </c>
      <c r="Y520" s="432" t="str">
        <f>Waste!R36</f>
        <v/>
      </c>
      <c r="Z520" s="432" t="str">
        <f>Waste!S36</f>
        <v/>
      </c>
      <c r="AA520" s="432" t="str">
        <f>Waste!T36</f>
        <v/>
      </c>
      <c r="AB520" s="432" t="str">
        <f>Waste!U36</f>
        <v/>
      </c>
      <c r="AC520" s="432" t="str">
        <f>Waste!V36</f>
        <v/>
      </c>
      <c r="AE520" s="432">
        <f t="shared" si="20"/>
        <v>0</v>
      </c>
      <c r="AF520" s="432">
        <f t="shared" si="21"/>
        <v>0</v>
      </c>
    </row>
    <row r="521" spans="2:32" x14ac:dyDescent="0.35">
      <c r="B521" s="432" t="e">
        <f>"2024"&amp;MATCH(Totals!D521,OrgType,0)&amp;"_"&amp;MATCH(Totals!E521,Organisations,0)&amp;"_"&amp;LEFT(Totals!F521,1)&amp;"_"&amp;LEFT(G521,1)&amp;"_"&amp;COUNTIF($G$3:G521,G521)</f>
        <v>#N/A</v>
      </c>
      <c r="C521" s="432">
        <v>2024</v>
      </c>
      <c r="D521" s="432">
        <f>Introduction!$D$7</f>
        <v>0</v>
      </c>
      <c r="E521" s="432">
        <f>Introduction!$D$8</f>
        <v>0</v>
      </c>
      <c r="F521" s="432" t="s">
        <v>73</v>
      </c>
      <c r="G521" s="432" t="s">
        <v>1112</v>
      </c>
      <c r="H521" s="433"/>
      <c r="I521" s="432">
        <f>Waste!B37</f>
        <v>0</v>
      </c>
      <c r="J521" s="432">
        <f>Waste!C37</f>
        <v>0</v>
      </c>
      <c r="K521" s="432">
        <f>Waste!D37</f>
        <v>0</v>
      </c>
      <c r="L521" s="432">
        <f>Waste!E37</f>
        <v>0</v>
      </c>
      <c r="M521" s="432" t="str">
        <f>Waste!F37</f>
        <v/>
      </c>
      <c r="N521" s="432">
        <f>Waste!G37</f>
        <v>0</v>
      </c>
      <c r="O521" s="432">
        <f>Waste!H37</f>
        <v>0</v>
      </c>
      <c r="P521" s="432" t="str">
        <f>Waste!I37</f>
        <v/>
      </c>
      <c r="Q521" s="432" t="str">
        <f>Waste!J37</f>
        <v/>
      </c>
      <c r="R521" s="432" t="str">
        <f>Waste!K37</f>
        <v/>
      </c>
      <c r="S521" s="432" t="str">
        <f>Waste!L37</f>
        <v/>
      </c>
      <c r="T521" s="432">
        <f>Waste!M37</f>
        <v>0</v>
      </c>
      <c r="U521" s="432">
        <f>Waste!N37</f>
        <v>0</v>
      </c>
      <c r="V521" s="432" t="str">
        <f>Waste!O37</f>
        <v/>
      </c>
      <c r="W521" s="432" t="str">
        <f>Waste!P37</f>
        <v/>
      </c>
      <c r="X521" s="432" t="str">
        <f>Waste!Q37</f>
        <v/>
      </c>
      <c r="Y521" s="432" t="str">
        <f>Waste!R37</f>
        <v/>
      </c>
      <c r="Z521" s="432" t="str">
        <f>Waste!S37</f>
        <v/>
      </c>
      <c r="AA521" s="432" t="str">
        <f>Waste!T37</f>
        <v/>
      </c>
      <c r="AB521" s="432" t="str">
        <f>Waste!U37</f>
        <v/>
      </c>
      <c r="AC521" s="432" t="str">
        <f>Waste!V37</f>
        <v/>
      </c>
      <c r="AE521" s="432">
        <f t="shared" si="20"/>
        <v>0</v>
      </c>
      <c r="AF521" s="432">
        <f t="shared" si="21"/>
        <v>0</v>
      </c>
    </row>
    <row r="522" spans="2:32" x14ac:dyDescent="0.35">
      <c r="B522" s="432" t="e">
        <f>"2024"&amp;MATCH(Totals!D522,OrgType,0)&amp;"_"&amp;MATCH(Totals!E522,Organisations,0)&amp;"_"&amp;LEFT(Totals!F522,1)&amp;"_"&amp;LEFT(G522,1)&amp;"_"&amp;COUNTIF($G$3:G522,G522)</f>
        <v>#N/A</v>
      </c>
      <c r="C522" s="432">
        <v>2024</v>
      </c>
      <c r="D522" s="432">
        <f>Introduction!$D$7</f>
        <v>0</v>
      </c>
      <c r="E522" s="432">
        <f>Introduction!$D$8</f>
        <v>0</v>
      </c>
      <c r="F522" s="432" t="s">
        <v>73</v>
      </c>
      <c r="G522" s="432" t="s">
        <v>1112</v>
      </c>
      <c r="H522" s="433"/>
      <c r="I522" s="432">
        <f>Waste!B38</f>
        <v>0</v>
      </c>
      <c r="J522" s="432">
        <f>Waste!C38</f>
        <v>0</v>
      </c>
      <c r="K522" s="432">
        <f>Waste!D38</f>
        <v>0</v>
      </c>
      <c r="L522" s="432">
        <f>Waste!E38</f>
        <v>0</v>
      </c>
      <c r="M522" s="432" t="str">
        <f>Waste!F38</f>
        <v/>
      </c>
      <c r="N522" s="432">
        <f>Waste!G38</f>
        <v>0</v>
      </c>
      <c r="O522" s="432">
        <f>Waste!H38</f>
        <v>0</v>
      </c>
      <c r="P522" s="432" t="str">
        <f>Waste!I38</f>
        <v/>
      </c>
      <c r="Q522" s="432" t="str">
        <f>Waste!J38</f>
        <v/>
      </c>
      <c r="R522" s="432" t="str">
        <f>Waste!K38</f>
        <v/>
      </c>
      <c r="S522" s="432" t="str">
        <f>Waste!L38</f>
        <v/>
      </c>
      <c r="T522" s="432">
        <f>Waste!M38</f>
        <v>0</v>
      </c>
      <c r="U522" s="432">
        <f>Waste!N38</f>
        <v>0</v>
      </c>
      <c r="V522" s="432" t="str">
        <f>Waste!O38</f>
        <v/>
      </c>
      <c r="W522" s="432" t="str">
        <f>Waste!P38</f>
        <v/>
      </c>
      <c r="X522" s="432" t="str">
        <f>Waste!Q38</f>
        <v/>
      </c>
      <c r="Y522" s="432" t="str">
        <f>Waste!R38</f>
        <v/>
      </c>
      <c r="Z522" s="432" t="str">
        <f>Waste!S38</f>
        <v/>
      </c>
      <c r="AA522" s="432" t="str">
        <f>Waste!T38</f>
        <v/>
      </c>
      <c r="AB522" s="432" t="str">
        <f>Waste!U38</f>
        <v/>
      </c>
      <c r="AC522" s="432" t="str">
        <f>Waste!V38</f>
        <v/>
      </c>
      <c r="AE522" s="432">
        <f t="shared" si="20"/>
        <v>0</v>
      </c>
      <c r="AF522" s="432">
        <f t="shared" si="21"/>
        <v>0</v>
      </c>
    </row>
    <row r="523" spans="2:32" x14ac:dyDescent="0.35">
      <c r="B523" s="432" t="e">
        <f>"2024"&amp;MATCH(Totals!D523,OrgType,0)&amp;"_"&amp;MATCH(Totals!E523,Organisations,0)&amp;"_"&amp;LEFT(Totals!F523,1)&amp;"_"&amp;LEFT(G523,1)&amp;"_"&amp;COUNTIF($G$3:G523,G523)</f>
        <v>#N/A</v>
      </c>
      <c r="C523" s="432">
        <v>2024</v>
      </c>
      <c r="D523" s="432">
        <f>Introduction!$D$7</f>
        <v>0</v>
      </c>
      <c r="E523" s="432">
        <f>Introduction!$D$8</f>
        <v>0</v>
      </c>
      <c r="F523" s="432" t="s">
        <v>73</v>
      </c>
      <c r="G523" s="432" t="s">
        <v>1112</v>
      </c>
      <c r="H523" s="433"/>
      <c r="I523" s="432">
        <f>Waste!B39</f>
        <v>0</v>
      </c>
      <c r="J523" s="432">
        <f>Waste!C39</f>
        <v>0</v>
      </c>
      <c r="K523" s="432">
        <f>Waste!D39</f>
        <v>0</v>
      </c>
      <c r="L523" s="432">
        <f>Waste!E39</f>
        <v>0</v>
      </c>
      <c r="M523" s="432" t="str">
        <f>Waste!F39</f>
        <v/>
      </c>
      <c r="N523" s="432">
        <f>Waste!G39</f>
        <v>0</v>
      </c>
      <c r="O523" s="432">
        <f>Waste!H39</f>
        <v>0</v>
      </c>
      <c r="P523" s="432" t="str">
        <f>Waste!I39</f>
        <v/>
      </c>
      <c r="Q523" s="432" t="str">
        <f>Waste!J39</f>
        <v/>
      </c>
      <c r="R523" s="432" t="str">
        <f>Waste!K39</f>
        <v/>
      </c>
      <c r="S523" s="432" t="str">
        <f>Waste!L39</f>
        <v/>
      </c>
      <c r="T523" s="432">
        <f>Waste!M39</f>
        <v>0</v>
      </c>
      <c r="U523" s="432">
        <f>Waste!N39</f>
        <v>0</v>
      </c>
      <c r="V523" s="432" t="str">
        <f>Waste!O39</f>
        <v/>
      </c>
      <c r="W523" s="432" t="str">
        <f>Waste!P39</f>
        <v/>
      </c>
      <c r="X523" s="432" t="str">
        <f>Waste!Q39</f>
        <v/>
      </c>
      <c r="Y523" s="432" t="str">
        <f>Waste!R39</f>
        <v/>
      </c>
      <c r="Z523" s="432" t="str">
        <f>Waste!S39</f>
        <v/>
      </c>
      <c r="AA523" s="432" t="str">
        <f>Waste!T39</f>
        <v/>
      </c>
      <c r="AB523" s="432" t="str">
        <f>Waste!U39</f>
        <v/>
      </c>
      <c r="AC523" s="432" t="str">
        <f>Waste!V39</f>
        <v/>
      </c>
      <c r="AE523" s="432">
        <f t="shared" si="20"/>
        <v>0</v>
      </c>
      <c r="AF523" s="432">
        <f t="shared" si="21"/>
        <v>0</v>
      </c>
    </row>
    <row r="524" spans="2:32" x14ac:dyDescent="0.35">
      <c r="B524" s="432" t="e">
        <f>"2024"&amp;MATCH(Totals!D524,OrgType,0)&amp;"_"&amp;MATCH(Totals!E524,Organisations,0)&amp;"_"&amp;LEFT(Totals!F524,1)&amp;"_"&amp;LEFT(G524,1)&amp;"_"&amp;COUNTIF($G$3:G524,G524)</f>
        <v>#N/A</v>
      </c>
      <c r="C524" s="432">
        <v>2024</v>
      </c>
      <c r="D524" s="432">
        <f>Introduction!$D$7</f>
        <v>0</v>
      </c>
      <c r="E524" s="432">
        <f>Introduction!$D$8</f>
        <v>0</v>
      </c>
      <c r="F524" s="432" t="s">
        <v>73</v>
      </c>
      <c r="G524" s="432" t="s">
        <v>1112</v>
      </c>
      <c r="H524" s="433"/>
      <c r="I524" s="432">
        <f>Waste!B40</f>
        <v>0</v>
      </c>
      <c r="J524" s="432">
        <f>Waste!C40</f>
        <v>0</v>
      </c>
      <c r="K524" s="432">
        <f>Waste!D40</f>
        <v>0</v>
      </c>
      <c r="L524" s="432">
        <f>Waste!E40</f>
        <v>0</v>
      </c>
      <c r="M524" s="432" t="str">
        <f>Waste!F40</f>
        <v/>
      </c>
      <c r="N524" s="432">
        <f>Waste!G40</f>
        <v>0</v>
      </c>
      <c r="O524" s="432">
        <f>Waste!H40</f>
        <v>0</v>
      </c>
      <c r="P524" s="432" t="str">
        <f>Waste!I40</f>
        <v/>
      </c>
      <c r="Q524" s="432" t="str">
        <f>Waste!J40</f>
        <v/>
      </c>
      <c r="R524" s="432" t="str">
        <f>Waste!K40</f>
        <v/>
      </c>
      <c r="S524" s="432" t="str">
        <f>Waste!L40</f>
        <v/>
      </c>
      <c r="T524" s="432">
        <f>Waste!M40</f>
        <v>0</v>
      </c>
      <c r="U524" s="432">
        <f>Waste!N40</f>
        <v>0</v>
      </c>
      <c r="V524" s="432" t="str">
        <f>Waste!O40</f>
        <v/>
      </c>
      <c r="W524" s="432" t="str">
        <f>Waste!P40</f>
        <v/>
      </c>
      <c r="X524" s="432" t="str">
        <f>Waste!Q40</f>
        <v/>
      </c>
      <c r="Y524" s="432" t="str">
        <f>Waste!R40</f>
        <v/>
      </c>
      <c r="Z524" s="432" t="str">
        <f>Waste!S40</f>
        <v/>
      </c>
      <c r="AA524" s="432" t="str">
        <f>Waste!T40</f>
        <v/>
      </c>
      <c r="AB524" s="432" t="str">
        <f>Waste!U40</f>
        <v/>
      </c>
      <c r="AC524" s="432" t="str">
        <f>Waste!V40</f>
        <v/>
      </c>
      <c r="AE524" s="432">
        <f t="shared" si="20"/>
        <v>0</v>
      </c>
      <c r="AF524" s="432">
        <f t="shared" si="21"/>
        <v>0</v>
      </c>
    </row>
    <row r="525" spans="2:32" x14ac:dyDescent="0.35">
      <c r="B525" s="432" t="e">
        <f>"2024"&amp;MATCH(Totals!D525,OrgType,0)&amp;"_"&amp;MATCH(Totals!E525,Organisations,0)&amp;"_"&amp;LEFT(Totals!F525,1)&amp;"_"&amp;LEFT(G525,1)&amp;"_"&amp;COUNTIF($G$3:G525,G525)</f>
        <v>#N/A</v>
      </c>
      <c r="C525" s="432">
        <v>2024</v>
      </c>
      <c r="D525" s="432">
        <f>Introduction!$D$7</f>
        <v>0</v>
      </c>
      <c r="E525" s="432">
        <f>Introduction!$D$8</f>
        <v>0</v>
      </c>
      <c r="F525" s="432" t="s">
        <v>73</v>
      </c>
      <c r="G525" s="432" t="s">
        <v>1112</v>
      </c>
      <c r="H525" s="433"/>
      <c r="I525" s="432">
        <f>Waste!B41</f>
        <v>0</v>
      </c>
      <c r="J525" s="432">
        <f>Waste!C41</f>
        <v>0</v>
      </c>
      <c r="K525" s="432">
        <f>Waste!D41</f>
        <v>0</v>
      </c>
      <c r="L525" s="432">
        <f>Waste!E41</f>
        <v>0</v>
      </c>
      <c r="M525" s="432" t="str">
        <f>Waste!F41</f>
        <v/>
      </c>
      <c r="N525" s="432">
        <f>Waste!G41</f>
        <v>0</v>
      </c>
      <c r="O525" s="432">
        <f>Waste!H41</f>
        <v>0</v>
      </c>
      <c r="P525" s="432" t="str">
        <f>Waste!I41</f>
        <v/>
      </c>
      <c r="Q525" s="432" t="str">
        <f>Waste!J41</f>
        <v/>
      </c>
      <c r="R525" s="432" t="str">
        <f>Waste!K41</f>
        <v/>
      </c>
      <c r="S525" s="432" t="str">
        <f>Waste!L41</f>
        <v/>
      </c>
      <c r="T525" s="432">
        <f>Waste!M41</f>
        <v>0</v>
      </c>
      <c r="U525" s="432">
        <f>Waste!N41</f>
        <v>0</v>
      </c>
      <c r="V525" s="432" t="str">
        <f>Waste!O41</f>
        <v/>
      </c>
      <c r="W525" s="432" t="str">
        <f>Waste!P41</f>
        <v/>
      </c>
      <c r="X525" s="432" t="str">
        <f>Waste!Q41</f>
        <v/>
      </c>
      <c r="Y525" s="432" t="str">
        <f>Waste!R41</f>
        <v/>
      </c>
      <c r="Z525" s="432" t="str">
        <f>Waste!S41</f>
        <v/>
      </c>
      <c r="AA525" s="432" t="str">
        <f>Waste!T41</f>
        <v/>
      </c>
      <c r="AB525" s="432" t="str">
        <f>Waste!U41</f>
        <v/>
      </c>
      <c r="AC525" s="432" t="str">
        <f>Waste!V41</f>
        <v/>
      </c>
      <c r="AE525" s="432">
        <f t="shared" si="20"/>
        <v>0</v>
      </c>
      <c r="AF525" s="432">
        <f t="shared" si="21"/>
        <v>0</v>
      </c>
    </row>
    <row r="526" spans="2:32" x14ac:dyDescent="0.35">
      <c r="B526" s="432" t="e">
        <f>"2024"&amp;MATCH(Totals!D526,OrgType,0)&amp;"_"&amp;MATCH(Totals!E526,Organisations,0)&amp;"_"&amp;LEFT(Totals!F526,1)&amp;"_"&amp;LEFT(G526,1)&amp;"_"&amp;COUNTIF($G$3:G526,G526)</f>
        <v>#N/A</v>
      </c>
      <c r="C526" s="432">
        <v>2024</v>
      </c>
      <c r="D526" s="432">
        <f>Introduction!$D$7</f>
        <v>0</v>
      </c>
      <c r="E526" s="432">
        <f>Introduction!$D$8</f>
        <v>0</v>
      </c>
      <c r="F526" s="432" t="s">
        <v>73</v>
      </c>
      <c r="G526" s="432" t="s">
        <v>1112</v>
      </c>
      <c r="H526" s="433"/>
      <c r="I526" s="432">
        <f>Waste!B42</f>
        <v>0</v>
      </c>
      <c r="J526" s="432">
        <f>Waste!C42</f>
        <v>0</v>
      </c>
      <c r="K526" s="432">
        <f>Waste!D42</f>
        <v>0</v>
      </c>
      <c r="L526" s="432">
        <f>Waste!E42</f>
        <v>0</v>
      </c>
      <c r="M526" s="432" t="str">
        <f>Waste!F42</f>
        <v/>
      </c>
      <c r="N526" s="432">
        <f>Waste!G42</f>
        <v>0</v>
      </c>
      <c r="O526" s="432">
        <f>Waste!H42</f>
        <v>0</v>
      </c>
      <c r="P526" s="432" t="str">
        <f>Waste!I42</f>
        <v/>
      </c>
      <c r="Q526" s="432" t="str">
        <f>Waste!J42</f>
        <v/>
      </c>
      <c r="R526" s="432" t="str">
        <f>Waste!K42</f>
        <v/>
      </c>
      <c r="S526" s="432" t="str">
        <f>Waste!L42</f>
        <v/>
      </c>
      <c r="T526" s="432">
        <f>Waste!M42</f>
        <v>0</v>
      </c>
      <c r="U526" s="432">
        <f>Waste!N42</f>
        <v>0</v>
      </c>
      <c r="V526" s="432" t="str">
        <f>Waste!O42</f>
        <v/>
      </c>
      <c r="W526" s="432" t="str">
        <f>Waste!P42</f>
        <v/>
      </c>
      <c r="X526" s="432" t="str">
        <f>Waste!Q42</f>
        <v/>
      </c>
      <c r="Y526" s="432" t="str">
        <f>Waste!R42</f>
        <v/>
      </c>
      <c r="Z526" s="432" t="str">
        <f>Waste!S42</f>
        <v/>
      </c>
      <c r="AA526" s="432" t="str">
        <f>Waste!T42</f>
        <v/>
      </c>
      <c r="AB526" s="432" t="str">
        <f>Waste!U42</f>
        <v/>
      </c>
      <c r="AC526" s="432" t="str">
        <f>Waste!V42</f>
        <v/>
      </c>
      <c r="AE526" s="432">
        <f t="shared" si="20"/>
        <v>0</v>
      </c>
      <c r="AF526" s="432">
        <f t="shared" si="21"/>
        <v>0</v>
      </c>
    </row>
    <row r="527" spans="2:32" x14ac:dyDescent="0.35">
      <c r="B527" s="432" t="e">
        <f>"2024"&amp;MATCH(Totals!D527,OrgType,0)&amp;"_"&amp;MATCH(Totals!E527,Organisations,0)&amp;"_"&amp;LEFT(Totals!F527,1)&amp;"_"&amp;LEFT(G527,1)&amp;"_"&amp;COUNTIF($G$3:G527,G527)</f>
        <v>#N/A</v>
      </c>
      <c r="C527" s="432">
        <v>2024</v>
      </c>
      <c r="D527" s="432">
        <f>Introduction!$D$7</f>
        <v>0</v>
      </c>
      <c r="E527" s="432">
        <f>Introduction!$D$8</f>
        <v>0</v>
      </c>
      <c r="F527" s="432" t="s">
        <v>73</v>
      </c>
      <c r="G527" s="432" t="s">
        <v>1112</v>
      </c>
      <c r="H527" s="433"/>
      <c r="I527" s="432">
        <f>Waste!B43</f>
        <v>0</v>
      </c>
      <c r="J527" s="432">
        <f>Waste!C43</f>
        <v>0</v>
      </c>
      <c r="K527" s="432">
        <f>Waste!D43</f>
        <v>0</v>
      </c>
      <c r="L527" s="432">
        <f>Waste!E43</f>
        <v>0</v>
      </c>
      <c r="M527" s="432" t="str">
        <f>Waste!F43</f>
        <v/>
      </c>
      <c r="N527" s="432">
        <f>Waste!G43</f>
        <v>0</v>
      </c>
      <c r="O527" s="432">
        <f>Waste!H43</f>
        <v>0</v>
      </c>
      <c r="P527" s="432" t="str">
        <f>Waste!I43</f>
        <v/>
      </c>
      <c r="Q527" s="432" t="str">
        <f>Waste!J43</f>
        <v/>
      </c>
      <c r="R527" s="432" t="str">
        <f>Waste!K43</f>
        <v/>
      </c>
      <c r="S527" s="432" t="str">
        <f>Waste!L43</f>
        <v/>
      </c>
      <c r="T527" s="432">
        <f>Waste!M43</f>
        <v>0</v>
      </c>
      <c r="U527" s="432">
        <f>Waste!N43</f>
        <v>0</v>
      </c>
      <c r="V527" s="432" t="str">
        <f>Waste!O43</f>
        <v/>
      </c>
      <c r="W527" s="432" t="str">
        <f>Waste!P43</f>
        <v/>
      </c>
      <c r="X527" s="432" t="str">
        <f>Waste!Q43</f>
        <v/>
      </c>
      <c r="Y527" s="432" t="str">
        <f>Waste!R43</f>
        <v/>
      </c>
      <c r="Z527" s="432" t="str">
        <f>Waste!S43</f>
        <v/>
      </c>
      <c r="AA527" s="432" t="str">
        <f>Waste!T43</f>
        <v/>
      </c>
      <c r="AB527" s="432" t="str">
        <f>Waste!U43</f>
        <v/>
      </c>
      <c r="AC527" s="432" t="str">
        <f>Waste!V43</f>
        <v/>
      </c>
      <c r="AE527" s="432">
        <f t="shared" si="20"/>
        <v>0</v>
      </c>
      <c r="AF527" s="432">
        <f t="shared" si="21"/>
        <v>0</v>
      </c>
    </row>
    <row r="528" spans="2:32" x14ac:dyDescent="0.35">
      <c r="B528" s="432" t="e">
        <f>"2024"&amp;MATCH(Totals!D528,OrgType,0)&amp;"_"&amp;MATCH(Totals!E528,Organisations,0)&amp;"_"&amp;LEFT(Totals!F528,1)&amp;"_"&amp;LEFT(G528,1)&amp;"_"&amp;COUNTIF($G$3:G528,G528)</f>
        <v>#N/A</v>
      </c>
      <c r="C528" s="432">
        <v>2024</v>
      </c>
      <c r="D528" s="432">
        <f>Introduction!$D$7</f>
        <v>0</v>
      </c>
      <c r="E528" s="432">
        <f>Introduction!$D$8</f>
        <v>0</v>
      </c>
      <c r="F528" s="432" t="s">
        <v>73</v>
      </c>
      <c r="G528" s="432" t="s">
        <v>1112</v>
      </c>
      <c r="H528" s="433"/>
      <c r="I528" s="432">
        <f>Waste!B44</f>
        <v>0</v>
      </c>
      <c r="J528" s="432">
        <f>Waste!C44</f>
        <v>0</v>
      </c>
      <c r="K528" s="432">
        <f>Waste!D44</f>
        <v>0</v>
      </c>
      <c r="L528" s="432">
        <f>Waste!E44</f>
        <v>0</v>
      </c>
      <c r="M528" s="432" t="str">
        <f>Waste!F44</f>
        <v/>
      </c>
      <c r="N528" s="432">
        <f>Waste!G44</f>
        <v>0</v>
      </c>
      <c r="O528" s="432">
        <f>Waste!H44</f>
        <v>0</v>
      </c>
      <c r="P528" s="432" t="str">
        <f>Waste!I44</f>
        <v/>
      </c>
      <c r="Q528" s="432" t="str">
        <f>Waste!J44</f>
        <v/>
      </c>
      <c r="R528" s="432" t="str">
        <f>Waste!K44</f>
        <v/>
      </c>
      <c r="S528" s="432" t="str">
        <f>Waste!L44</f>
        <v/>
      </c>
      <c r="T528" s="432">
        <f>Waste!M44</f>
        <v>0</v>
      </c>
      <c r="U528" s="432">
        <f>Waste!N44</f>
        <v>0</v>
      </c>
      <c r="V528" s="432" t="str">
        <f>Waste!O44</f>
        <v/>
      </c>
      <c r="W528" s="432" t="str">
        <f>Waste!P44</f>
        <v/>
      </c>
      <c r="X528" s="432" t="str">
        <f>Waste!Q44</f>
        <v/>
      </c>
      <c r="Y528" s="432" t="str">
        <f>Waste!R44</f>
        <v/>
      </c>
      <c r="Z528" s="432" t="str">
        <f>Waste!S44</f>
        <v/>
      </c>
      <c r="AA528" s="432" t="str">
        <f>Waste!T44</f>
        <v/>
      </c>
      <c r="AB528" s="432" t="str">
        <f>Waste!U44</f>
        <v/>
      </c>
      <c r="AC528" s="432" t="str">
        <f>Waste!V44</f>
        <v/>
      </c>
      <c r="AE528" s="432">
        <f t="shared" si="20"/>
        <v>0</v>
      </c>
      <c r="AF528" s="432">
        <f t="shared" si="21"/>
        <v>0</v>
      </c>
    </row>
    <row r="529" spans="2:32" x14ac:dyDescent="0.35">
      <c r="B529" s="432" t="e">
        <f>"2024"&amp;MATCH(Totals!D529,OrgType,0)&amp;"_"&amp;MATCH(Totals!E529,Organisations,0)&amp;"_"&amp;LEFT(Totals!F529,1)&amp;"_"&amp;LEFT(G529,1)&amp;"_"&amp;COUNTIF($G$3:G529,G529)</f>
        <v>#N/A</v>
      </c>
      <c r="C529" s="432">
        <v>2024</v>
      </c>
      <c r="D529" s="432">
        <f>Introduction!$D$7</f>
        <v>0</v>
      </c>
      <c r="E529" s="432">
        <f>Introduction!$D$8</f>
        <v>0</v>
      </c>
      <c r="F529" s="432" t="s">
        <v>73</v>
      </c>
      <c r="G529" s="432" t="s">
        <v>1112</v>
      </c>
      <c r="H529" s="433"/>
      <c r="I529" s="432">
        <f>Waste!B45</f>
        <v>0</v>
      </c>
      <c r="J529" s="432">
        <f>Waste!C45</f>
        <v>0</v>
      </c>
      <c r="K529" s="432">
        <f>Waste!D45</f>
        <v>0</v>
      </c>
      <c r="L529" s="432">
        <f>Waste!E45</f>
        <v>0</v>
      </c>
      <c r="M529" s="432" t="str">
        <f>Waste!F45</f>
        <v/>
      </c>
      <c r="N529" s="432">
        <f>Waste!G45</f>
        <v>0</v>
      </c>
      <c r="O529" s="432">
        <f>Waste!H45</f>
        <v>0</v>
      </c>
      <c r="P529" s="432" t="str">
        <f>Waste!I45</f>
        <v/>
      </c>
      <c r="Q529" s="432" t="str">
        <f>Waste!J45</f>
        <v/>
      </c>
      <c r="R529" s="432" t="str">
        <f>Waste!K45</f>
        <v/>
      </c>
      <c r="S529" s="432" t="str">
        <f>Waste!L45</f>
        <v/>
      </c>
      <c r="T529" s="432">
        <f>Waste!M45</f>
        <v>0</v>
      </c>
      <c r="U529" s="432">
        <f>Waste!N45</f>
        <v>0</v>
      </c>
      <c r="V529" s="432" t="str">
        <f>Waste!O45</f>
        <v/>
      </c>
      <c r="W529" s="432" t="str">
        <f>Waste!P45</f>
        <v/>
      </c>
      <c r="X529" s="432" t="str">
        <f>Waste!Q45</f>
        <v/>
      </c>
      <c r="Y529" s="432" t="str">
        <f>Waste!R45</f>
        <v/>
      </c>
      <c r="Z529" s="432" t="str">
        <f>Waste!S45</f>
        <v/>
      </c>
      <c r="AA529" s="432" t="str">
        <f>Waste!T45</f>
        <v/>
      </c>
      <c r="AB529" s="432" t="str">
        <f>Waste!U45</f>
        <v/>
      </c>
      <c r="AC529" s="432" t="str">
        <f>Waste!V45</f>
        <v/>
      </c>
      <c r="AE529" s="432">
        <f t="shared" si="20"/>
        <v>0</v>
      </c>
      <c r="AF529" s="432">
        <f t="shared" si="21"/>
        <v>0</v>
      </c>
    </row>
    <row r="530" spans="2:32" x14ac:dyDescent="0.35">
      <c r="B530" s="432" t="e">
        <f>"2024"&amp;MATCH(Totals!D530,OrgType,0)&amp;"_"&amp;MATCH(Totals!E530,Organisations,0)&amp;"_"&amp;LEFT(Totals!F530,1)&amp;"_"&amp;LEFT(G530,1)&amp;"_"&amp;COUNTIF($G$3:G530,G530)</f>
        <v>#N/A</v>
      </c>
      <c r="C530" s="432">
        <v>2024</v>
      </c>
      <c r="D530" s="432">
        <f>Introduction!$D$7</f>
        <v>0</v>
      </c>
      <c r="E530" s="432">
        <f>Introduction!$D$8</f>
        <v>0</v>
      </c>
      <c r="F530" s="432" t="s">
        <v>73</v>
      </c>
      <c r="G530" s="432" t="s">
        <v>1112</v>
      </c>
      <c r="H530" s="433"/>
      <c r="I530" s="432">
        <f>Waste!B46</f>
        <v>0</v>
      </c>
      <c r="J530" s="432">
        <f>Waste!C46</f>
        <v>0</v>
      </c>
      <c r="K530" s="432">
        <f>Waste!D46</f>
        <v>0</v>
      </c>
      <c r="L530" s="432">
        <f>Waste!E46</f>
        <v>0</v>
      </c>
      <c r="M530" s="432" t="str">
        <f>Waste!F46</f>
        <v/>
      </c>
      <c r="N530" s="432">
        <f>Waste!G46</f>
        <v>0</v>
      </c>
      <c r="O530" s="432">
        <f>Waste!H46</f>
        <v>0</v>
      </c>
      <c r="P530" s="432" t="str">
        <f>Waste!I46</f>
        <v/>
      </c>
      <c r="Q530" s="432" t="str">
        <f>Waste!J46</f>
        <v/>
      </c>
      <c r="R530" s="432" t="str">
        <f>Waste!K46</f>
        <v/>
      </c>
      <c r="S530" s="432" t="str">
        <f>Waste!L46</f>
        <v/>
      </c>
      <c r="T530" s="432">
        <f>Waste!M46</f>
        <v>0</v>
      </c>
      <c r="U530" s="432">
        <f>Waste!N46</f>
        <v>0</v>
      </c>
      <c r="V530" s="432" t="str">
        <f>Waste!O46</f>
        <v/>
      </c>
      <c r="W530" s="432" t="str">
        <f>Waste!P46</f>
        <v/>
      </c>
      <c r="X530" s="432" t="str">
        <f>Waste!Q46</f>
        <v/>
      </c>
      <c r="Y530" s="432" t="str">
        <f>Waste!R46</f>
        <v/>
      </c>
      <c r="Z530" s="432" t="str">
        <f>Waste!S46</f>
        <v/>
      </c>
      <c r="AA530" s="432" t="str">
        <f>Waste!T46</f>
        <v/>
      </c>
      <c r="AB530" s="432" t="str">
        <f>Waste!U46</f>
        <v/>
      </c>
      <c r="AC530" s="432" t="str">
        <f>Waste!V46</f>
        <v/>
      </c>
      <c r="AE530" s="432">
        <f t="shared" si="20"/>
        <v>0</v>
      </c>
      <c r="AF530" s="432">
        <f t="shared" si="21"/>
        <v>0</v>
      </c>
    </row>
    <row r="531" spans="2:32" x14ac:dyDescent="0.35">
      <c r="B531" s="432" t="e">
        <f>"2024"&amp;MATCH(Totals!D531,OrgType,0)&amp;"_"&amp;MATCH(Totals!E531,Organisations,0)&amp;"_"&amp;LEFT(Totals!F531,1)&amp;"_"&amp;LEFT(G531,1)&amp;"_"&amp;COUNTIF($G$3:G531,G531)</f>
        <v>#N/A</v>
      </c>
      <c r="C531" s="432">
        <v>2024</v>
      </c>
      <c r="D531" s="432">
        <f>Introduction!$D$7</f>
        <v>0</v>
      </c>
      <c r="E531" s="432">
        <f>Introduction!$D$8</f>
        <v>0</v>
      </c>
      <c r="F531" s="432" t="s">
        <v>73</v>
      </c>
      <c r="G531" s="432" t="s">
        <v>1112</v>
      </c>
      <c r="H531" s="433"/>
      <c r="I531" s="432">
        <f>Waste!B47</f>
        <v>0</v>
      </c>
      <c r="J531" s="432">
        <f>Waste!C47</f>
        <v>0</v>
      </c>
      <c r="K531" s="432">
        <f>Waste!D47</f>
        <v>0</v>
      </c>
      <c r="L531" s="432">
        <f>Waste!E47</f>
        <v>0</v>
      </c>
      <c r="M531" s="432" t="str">
        <f>Waste!F47</f>
        <v/>
      </c>
      <c r="N531" s="432">
        <f>Waste!G47</f>
        <v>0</v>
      </c>
      <c r="O531" s="432">
        <f>Waste!H47</f>
        <v>0</v>
      </c>
      <c r="P531" s="432" t="str">
        <f>Waste!I47</f>
        <v/>
      </c>
      <c r="Q531" s="432" t="str">
        <f>Waste!J47</f>
        <v/>
      </c>
      <c r="R531" s="432" t="str">
        <f>Waste!K47</f>
        <v/>
      </c>
      <c r="S531" s="432" t="str">
        <f>Waste!L47</f>
        <v/>
      </c>
      <c r="T531" s="432">
        <f>Waste!M47</f>
        <v>0</v>
      </c>
      <c r="U531" s="432">
        <f>Waste!N47</f>
        <v>0</v>
      </c>
      <c r="V531" s="432" t="str">
        <f>Waste!O47</f>
        <v/>
      </c>
      <c r="W531" s="432" t="str">
        <f>Waste!P47</f>
        <v/>
      </c>
      <c r="X531" s="432" t="str">
        <f>Waste!Q47</f>
        <v/>
      </c>
      <c r="Y531" s="432" t="str">
        <f>Waste!R47</f>
        <v/>
      </c>
      <c r="Z531" s="432" t="str">
        <f>Waste!S47</f>
        <v/>
      </c>
      <c r="AA531" s="432" t="str">
        <f>Waste!T47</f>
        <v/>
      </c>
      <c r="AB531" s="432" t="str">
        <f>Waste!U47</f>
        <v/>
      </c>
      <c r="AC531" s="432" t="str">
        <f>Waste!V47</f>
        <v/>
      </c>
      <c r="AE531" s="432">
        <f t="shared" si="20"/>
        <v>0</v>
      </c>
      <c r="AF531" s="432">
        <f t="shared" si="21"/>
        <v>0</v>
      </c>
    </row>
    <row r="532" spans="2:32" x14ac:dyDescent="0.35">
      <c r="B532" s="432" t="e">
        <f>"2024"&amp;MATCH(Totals!D532,OrgType,0)&amp;"_"&amp;MATCH(Totals!E532,Organisations,0)&amp;"_"&amp;LEFT(Totals!F532,1)&amp;"_"&amp;LEFT(G532,1)&amp;"_"&amp;COUNTIF($G$3:G532,G532)</f>
        <v>#N/A</v>
      </c>
      <c r="C532" s="432">
        <v>2024</v>
      </c>
      <c r="D532" s="432">
        <f>Introduction!$D$7</f>
        <v>0</v>
      </c>
      <c r="E532" s="432">
        <f>Introduction!$D$8</f>
        <v>0</v>
      </c>
      <c r="F532" s="432" t="s">
        <v>73</v>
      </c>
      <c r="G532" s="432" t="s">
        <v>1112</v>
      </c>
      <c r="H532" s="433"/>
      <c r="I532" s="432">
        <f>Waste!B48</f>
        <v>0</v>
      </c>
      <c r="J532" s="432">
        <f>Waste!C48</f>
        <v>0</v>
      </c>
      <c r="K532" s="432">
        <f>Waste!D48</f>
        <v>0</v>
      </c>
      <c r="L532" s="432">
        <f>Waste!E48</f>
        <v>0</v>
      </c>
      <c r="M532" s="432" t="str">
        <f>Waste!F48</f>
        <v/>
      </c>
      <c r="N532" s="432">
        <f>Waste!G48</f>
        <v>0</v>
      </c>
      <c r="O532" s="432">
        <f>Waste!H48</f>
        <v>0</v>
      </c>
      <c r="P532" s="432" t="str">
        <f>Waste!I48</f>
        <v/>
      </c>
      <c r="Q532" s="432" t="str">
        <f>Waste!J48</f>
        <v/>
      </c>
      <c r="R532" s="432" t="str">
        <f>Waste!K48</f>
        <v/>
      </c>
      <c r="S532" s="432" t="str">
        <f>Waste!L48</f>
        <v/>
      </c>
      <c r="T532" s="432">
        <f>Waste!M48</f>
        <v>0</v>
      </c>
      <c r="U532" s="432">
        <f>Waste!N48</f>
        <v>0</v>
      </c>
      <c r="V532" s="432" t="str">
        <f>Waste!O48</f>
        <v/>
      </c>
      <c r="W532" s="432" t="str">
        <f>Waste!P48</f>
        <v/>
      </c>
      <c r="X532" s="432" t="str">
        <f>Waste!Q48</f>
        <v/>
      </c>
      <c r="Y532" s="432" t="str">
        <f>Waste!R48</f>
        <v/>
      </c>
      <c r="Z532" s="432" t="str">
        <f>Waste!S48</f>
        <v/>
      </c>
      <c r="AA532" s="432" t="str">
        <f>Waste!T48</f>
        <v/>
      </c>
      <c r="AB532" s="432" t="str">
        <f>Waste!U48</f>
        <v/>
      </c>
      <c r="AC532" s="432" t="str">
        <f>Waste!V48</f>
        <v/>
      </c>
      <c r="AE532" s="432">
        <f t="shared" si="20"/>
        <v>0</v>
      </c>
      <c r="AF532" s="432">
        <f t="shared" si="21"/>
        <v>0</v>
      </c>
    </row>
    <row r="533" spans="2:32" x14ac:dyDescent="0.35">
      <c r="B533" s="432" t="e">
        <f>"2024"&amp;MATCH(Totals!D533,OrgType,0)&amp;"_"&amp;MATCH(Totals!E533,Organisations,0)&amp;"_"&amp;LEFT(Totals!F533,1)&amp;"_"&amp;LEFT(G533,1)&amp;"_"&amp;COUNTIF($G$3:G533,G533)</f>
        <v>#N/A</v>
      </c>
      <c r="C533" s="432">
        <v>2024</v>
      </c>
      <c r="D533" s="432">
        <f>Introduction!$D$7</f>
        <v>0</v>
      </c>
      <c r="E533" s="432">
        <f>Introduction!$D$8</f>
        <v>0</v>
      </c>
      <c r="F533" s="432" t="s">
        <v>73</v>
      </c>
      <c r="G533" s="432" t="s">
        <v>1113</v>
      </c>
      <c r="H533" s="433"/>
      <c r="I533" s="432">
        <f>Waste!B53</f>
        <v>0</v>
      </c>
      <c r="J533" s="432">
        <f>Waste!C53</f>
        <v>0</v>
      </c>
      <c r="K533" s="432">
        <f>Waste!D53</f>
        <v>0</v>
      </c>
      <c r="L533" s="432">
        <f>Waste!E53</f>
        <v>0</v>
      </c>
      <c r="M533" s="432" t="str">
        <f>Waste!F53</f>
        <v/>
      </c>
      <c r="N533" s="432">
        <f>Waste!G53</f>
        <v>0</v>
      </c>
      <c r="O533" s="432">
        <f>Waste!H53</f>
        <v>0</v>
      </c>
      <c r="P533" s="432" t="str">
        <f>Waste!I53</f>
        <v/>
      </c>
      <c r="Q533" s="432" t="str">
        <f>Waste!J53</f>
        <v/>
      </c>
      <c r="R533" s="432" t="str">
        <f>Waste!K53</f>
        <v/>
      </c>
      <c r="S533" s="432">
        <f>Waste!L53</f>
        <v>0</v>
      </c>
      <c r="T533" s="432">
        <f>Waste!M53</f>
        <v>0</v>
      </c>
      <c r="U533" s="432">
        <f>Waste!N53</f>
        <v>0</v>
      </c>
      <c r="V533" s="432" t="str">
        <f>Waste!O53</f>
        <v/>
      </c>
      <c r="W533" s="432" t="str">
        <f>Waste!P53</f>
        <v/>
      </c>
      <c r="X533" s="432" t="str">
        <f>Waste!Q53</f>
        <v/>
      </c>
      <c r="Y533" s="432" t="str">
        <f>Waste!R53</f>
        <v/>
      </c>
      <c r="Z533" s="432" t="str">
        <f>Waste!S53</f>
        <v/>
      </c>
      <c r="AA533" s="432" t="str">
        <f>Waste!T53</f>
        <v/>
      </c>
      <c r="AB533" s="432" t="str">
        <f>Waste!U53</f>
        <v/>
      </c>
      <c r="AC533" s="432" t="str">
        <f>Waste!V53</f>
        <v/>
      </c>
      <c r="AE533" s="432">
        <f t="shared" si="20"/>
        <v>0</v>
      </c>
      <c r="AF533" s="432">
        <f t="shared" si="21"/>
        <v>0</v>
      </c>
    </row>
    <row r="534" spans="2:32" x14ac:dyDescent="0.35">
      <c r="B534" s="432" t="e">
        <f>"2024"&amp;MATCH(Totals!D534,OrgType,0)&amp;"_"&amp;MATCH(Totals!E534,Organisations,0)&amp;"_"&amp;LEFT(Totals!F534,1)&amp;"_"&amp;LEFT(G534,1)&amp;"_"&amp;COUNTIF($G$3:G534,G534)</f>
        <v>#N/A</v>
      </c>
      <c r="C534" s="432">
        <v>2024</v>
      </c>
      <c r="D534" s="432">
        <f>Introduction!$D$7</f>
        <v>0</v>
      </c>
      <c r="E534" s="432">
        <f>Introduction!$D$8</f>
        <v>0</v>
      </c>
      <c r="F534" s="432" t="s">
        <v>73</v>
      </c>
      <c r="G534" s="432" t="s">
        <v>1113</v>
      </c>
      <c r="H534" s="433"/>
      <c r="I534" s="432">
        <f>Waste!B54</f>
        <v>0</v>
      </c>
      <c r="J534" s="432">
        <f>Waste!C54</f>
        <v>0</v>
      </c>
      <c r="K534" s="432">
        <f>Waste!D54</f>
        <v>0</v>
      </c>
      <c r="L534" s="432">
        <f>Waste!E54</f>
        <v>0</v>
      </c>
      <c r="M534" s="432" t="str">
        <f>Waste!F54</f>
        <v/>
      </c>
      <c r="N534" s="432">
        <f>Waste!G54</f>
        <v>0</v>
      </c>
      <c r="O534" s="432">
        <f>Waste!H54</f>
        <v>0</v>
      </c>
      <c r="P534" s="432" t="str">
        <f>Waste!I54</f>
        <v/>
      </c>
      <c r="Q534" s="432" t="str">
        <f>Waste!J54</f>
        <v/>
      </c>
      <c r="R534" s="432" t="str">
        <f>Waste!K54</f>
        <v/>
      </c>
      <c r="S534" s="432">
        <f>Waste!L54</f>
        <v>0</v>
      </c>
      <c r="T534" s="432">
        <f>Waste!M54</f>
        <v>0</v>
      </c>
      <c r="U534" s="432">
        <f>Waste!N54</f>
        <v>0</v>
      </c>
      <c r="V534" s="432" t="str">
        <f>Waste!O54</f>
        <v/>
      </c>
      <c r="W534" s="432" t="str">
        <f>Waste!P54</f>
        <v/>
      </c>
      <c r="X534" s="432" t="str">
        <f>Waste!Q54</f>
        <v/>
      </c>
      <c r="Y534" s="432" t="str">
        <f>Waste!R54</f>
        <v/>
      </c>
      <c r="Z534" s="432" t="str">
        <f>Waste!S54</f>
        <v/>
      </c>
      <c r="AA534" s="432" t="str">
        <f>Waste!T54</f>
        <v/>
      </c>
      <c r="AB534" s="432" t="str">
        <f>Waste!U54</f>
        <v/>
      </c>
      <c r="AC534" s="432" t="str">
        <f>Waste!V54</f>
        <v/>
      </c>
      <c r="AE534" s="432">
        <f t="shared" si="20"/>
        <v>0</v>
      </c>
      <c r="AF534" s="432">
        <f t="shared" si="21"/>
        <v>0</v>
      </c>
    </row>
    <row r="535" spans="2:32" x14ac:dyDescent="0.35">
      <c r="B535" s="432" t="e">
        <f>"2024"&amp;MATCH(Totals!D535,OrgType,0)&amp;"_"&amp;MATCH(Totals!E535,Organisations,0)&amp;"_"&amp;LEFT(Totals!F535,1)&amp;"_"&amp;LEFT(G535,1)&amp;"_"&amp;COUNTIF($G$3:G535,G535)</f>
        <v>#N/A</v>
      </c>
      <c r="C535" s="432">
        <v>2024</v>
      </c>
      <c r="D535" s="432">
        <f>Introduction!$D$7</f>
        <v>0</v>
      </c>
      <c r="E535" s="432">
        <f>Introduction!$D$8</f>
        <v>0</v>
      </c>
      <c r="F535" s="432" t="s">
        <v>73</v>
      </c>
      <c r="G535" s="432" t="s">
        <v>1113</v>
      </c>
      <c r="H535" s="433"/>
      <c r="I535" s="432">
        <f>Waste!B55</f>
        <v>0</v>
      </c>
      <c r="J535" s="432">
        <f>Waste!C55</f>
        <v>0</v>
      </c>
      <c r="K535" s="432">
        <f>Waste!D55</f>
        <v>0</v>
      </c>
      <c r="L535" s="432">
        <f>Waste!E55</f>
        <v>0</v>
      </c>
      <c r="M535" s="432" t="str">
        <f>Waste!F55</f>
        <v/>
      </c>
      <c r="N535" s="432">
        <f>Waste!G55</f>
        <v>0</v>
      </c>
      <c r="O535" s="432">
        <f>Waste!H55</f>
        <v>0</v>
      </c>
      <c r="P535" s="432" t="str">
        <f>Waste!I55</f>
        <v/>
      </c>
      <c r="Q535" s="432" t="str">
        <f>Waste!J55</f>
        <v/>
      </c>
      <c r="R535" s="432" t="str">
        <f>Waste!K55</f>
        <v/>
      </c>
      <c r="S535" s="432">
        <f>Waste!L55</f>
        <v>0</v>
      </c>
      <c r="T535" s="432">
        <f>Waste!M55</f>
        <v>0</v>
      </c>
      <c r="U535" s="432">
        <f>Waste!N55</f>
        <v>0</v>
      </c>
      <c r="V535" s="432" t="str">
        <f>Waste!O55</f>
        <v/>
      </c>
      <c r="W535" s="432" t="str">
        <f>Waste!P55</f>
        <v/>
      </c>
      <c r="X535" s="432" t="str">
        <f>Waste!Q55</f>
        <v/>
      </c>
      <c r="Y535" s="432" t="str">
        <f>Waste!R55</f>
        <v/>
      </c>
      <c r="Z535" s="432" t="str">
        <f>Waste!S55</f>
        <v/>
      </c>
      <c r="AA535" s="432" t="str">
        <f>Waste!T55</f>
        <v/>
      </c>
      <c r="AB535" s="432" t="str">
        <f>Waste!U55</f>
        <v/>
      </c>
      <c r="AC535" s="432" t="str">
        <f>Waste!V55</f>
        <v/>
      </c>
      <c r="AE535" s="432">
        <f t="shared" si="20"/>
        <v>0</v>
      </c>
      <c r="AF535" s="432">
        <f t="shared" si="21"/>
        <v>0</v>
      </c>
    </row>
    <row r="536" spans="2:32" x14ac:dyDescent="0.35">
      <c r="B536" s="432" t="e">
        <f>"2024"&amp;MATCH(Totals!D536,OrgType,0)&amp;"_"&amp;MATCH(Totals!E536,Organisations,0)&amp;"_"&amp;LEFT(Totals!F536,1)&amp;"_"&amp;LEFT(G536,1)&amp;"_"&amp;COUNTIF($G$3:G536,G536)</f>
        <v>#N/A</v>
      </c>
      <c r="C536" s="432">
        <v>2024</v>
      </c>
      <c r="D536" s="432">
        <f>Introduction!$D$7</f>
        <v>0</v>
      </c>
      <c r="E536" s="432">
        <f>Introduction!$D$8</f>
        <v>0</v>
      </c>
      <c r="F536" s="432" t="s">
        <v>73</v>
      </c>
      <c r="G536" s="432" t="s">
        <v>1113</v>
      </c>
      <c r="H536" s="433"/>
      <c r="I536" s="432">
        <f>Waste!B56</f>
        <v>0</v>
      </c>
      <c r="J536" s="432">
        <f>Waste!C56</f>
        <v>0</v>
      </c>
      <c r="K536" s="432">
        <f>Waste!D56</f>
        <v>0</v>
      </c>
      <c r="L536" s="432">
        <f>Waste!E56</f>
        <v>0</v>
      </c>
      <c r="M536" s="432" t="str">
        <f>Waste!F56</f>
        <v/>
      </c>
      <c r="N536" s="432">
        <f>Waste!G56</f>
        <v>0</v>
      </c>
      <c r="O536" s="432">
        <f>Waste!H56</f>
        <v>0</v>
      </c>
      <c r="P536" s="432" t="str">
        <f>Waste!I56</f>
        <v/>
      </c>
      <c r="Q536" s="432" t="str">
        <f>Waste!J56</f>
        <v/>
      </c>
      <c r="R536" s="432" t="str">
        <f>Waste!K56</f>
        <v/>
      </c>
      <c r="S536" s="432">
        <f>Waste!L56</f>
        <v>0</v>
      </c>
      <c r="T536" s="432">
        <f>Waste!M56</f>
        <v>0</v>
      </c>
      <c r="U536" s="432">
        <f>Waste!N56</f>
        <v>0</v>
      </c>
      <c r="V536" s="432" t="str">
        <f>Waste!O56</f>
        <v/>
      </c>
      <c r="W536" s="432" t="str">
        <f>Waste!P56</f>
        <v/>
      </c>
      <c r="X536" s="432" t="str">
        <f>Waste!Q56</f>
        <v/>
      </c>
      <c r="Y536" s="432" t="str">
        <f>Waste!R56</f>
        <v/>
      </c>
      <c r="Z536" s="432" t="str">
        <f>Waste!S56</f>
        <v/>
      </c>
      <c r="AA536" s="432" t="str">
        <f>Waste!T56</f>
        <v/>
      </c>
      <c r="AB536" s="432" t="str">
        <f>Waste!U56</f>
        <v/>
      </c>
      <c r="AC536" s="432" t="str">
        <f>Waste!V56</f>
        <v/>
      </c>
      <c r="AE536" s="432">
        <f t="shared" si="20"/>
        <v>0</v>
      </c>
      <c r="AF536" s="432">
        <f t="shared" si="21"/>
        <v>0</v>
      </c>
    </row>
    <row r="537" spans="2:32" x14ac:dyDescent="0.35">
      <c r="B537" s="432" t="e">
        <f>"2024"&amp;MATCH(Totals!D537,OrgType,0)&amp;"_"&amp;MATCH(Totals!E537,Organisations,0)&amp;"_"&amp;LEFT(Totals!F537,1)&amp;"_"&amp;LEFT(G537,1)&amp;"_"&amp;COUNTIF($G$3:G537,G537)</f>
        <v>#N/A</v>
      </c>
      <c r="C537" s="432">
        <v>2024</v>
      </c>
      <c r="D537" s="432">
        <f>Introduction!$D$7</f>
        <v>0</v>
      </c>
      <c r="E537" s="432">
        <f>Introduction!$D$8</f>
        <v>0</v>
      </c>
      <c r="F537" s="432" t="s">
        <v>73</v>
      </c>
      <c r="G537" s="432" t="s">
        <v>1113</v>
      </c>
      <c r="H537" s="433"/>
      <c r="I537" s="432">
        <f>Waste!B57</f>
        <v>0</v>
      </c>
      <c r="J537" s="432">
        <f>Waste!C57</f>
        <v>0</v>
      </c>
      <c r="K537" s="432">
        <f>Waste!D57</f>
        <v>0</v>
      </c>
      <c r="L537" s="432">
        <f>Waste!E57</f>
        <v>0</v>
      </c>
      <c r="M537" s="432" t="str">
        <f>Waste!F57</f>
        <v/>
      </c>
      <c r="N537" s="432">
        <f>Waste!G57</f>
        <v>0</v>
      </c>
      <c r="O537" s="432">
        <f>Waste!H57</f>
        <v>0</v>
      </c>
      <c r="P537" s="432" t="str">
        <f>Waste!I57</f>
        <v/>
      </c>
      <c r="Q537" s="432" t="str">
        <f>Waste!J57</f>
        <v/>
      </c>
      <c r="R537" s="432" t="str">
        <f>Waste!K57</f>
        <v/>
      </c>
      <c r="S537" s="432">
        <f>Waste!L57</f>
        <v>0</v>
      </c>
      <c r="T537" s="432">
        <f>Waste!M57</f>
        <v>0</v>
      </c>
      <c r="U537" s="432">
        <f>Waste!N57</f>
        <v>0</v>
      </c>
      <c r="V537" s="432" t="str">
        <f>Waste!O57</f>
        <v/>
      </c>
      <c r="W537" s="432" t="str">
        <f>Waste!P57</f>
        <v/>
      </c>
      <c r="X537" s="432" t="str">
        <f>Waste!Q57</f>
        <v/>
      </c>
      <c r="Y537" s="432" t="str">
        <f>Waste!R57</f>
        <v/>
      </c>
      <c r="Z537" s="432" t="str">
        <f>Waste!S57</f>
        <v/>
      </c>
      <c r="AA537" s="432" t="str">
        <f>Waste!T57</f>
        <v/>
      </c>
      <c r="AB537" s="432" t="str">
        <f>Waste!U57</f>
        <v/>
      </c>
      <c r="AC537" s="432" t="str">
        <f>Waste!V57</f>
        <v/>
      </c>
      <c r="AE537" s="432">
        <f t="shared" si="20"/>
        <v>0</v>
      </c>
      <c r="AF537" s="432">
        <f t="shared" si="21"/>
        <v>0</v>
      </c>
    </row>
    <row r="538" spans="2:32" x14ac:dyDescent="0.35">
      <c r="B538" s="432" t="e">
        <f>"2024"&amp;MATCH(Totals!D538,OrgType,0)&amp;"_"&amp;MATCH(Totals!E538,Organisations,0)&amp;"_"&amp;LEFT(Totals!F538,1)&amp;"_"&amp;LEFT(G538,1)&amp;"_"&amp;COUNTIF($G$3:G538,G538)</f>
        <v>#N/A</v>
      </c>
      <c r="C538" s="432">
        <v>2024</v>
      </c>
      <c r="D538" s="432">
        <f>Introduction!$D$7</f>
        <v>0</v>
      </c>
      <c r="E538" s="432">
        <f>Introduction!$D$8</f>
        <v>0</v>
      </c>
      <c r="F538" s="432" t="s">
        <v>73</v>
      </c>
      <c r="G538" s="432" t="s">
        <v>1113</v>
      </c>
      <c r="H538" s="433"/>
      <c r="I538" s="432">
        <f>Waste!B58</f>
        <v>0</v>
      </c>
      <c r="J538" s="432">
        <f>Waste!C58</f>
        <v>0</v>
      </c>
      <c r="K538" s="432">
        <f>Waste!D58</f>
        <v>0</v>
      </c>
      <c r="L538" s="432">
        <f>Waste!E58</f>
        <v>0</v>
      </c>
      <c r="M538" s="432" t="str">
        <f>Waste!F58</f>
        <v/>
      </c>
      <c r="N538" s="432">
        <f>Waste!G58</f>
        <v>0</v>
      </c>
      <c r="O538" s="432">
        <f>Waste!H58</f>
        <v>0</v>
      </c>
      <c r="P538" s="432" t="str">
        <f>Waste!I58</f>
        <v/>
      </c>
      <c r="Q538" s="432" t="str">
        <f>Waste!J58</f>
        <v/>
      </c>
      <c r="R538" s="432" t="str">
        <f>Waste!K58</f>
        <v/>
      </c>
      <c r="S538" s="432">
        <f>Waste!L58</f>
        <v>0</v>
      </c>
      <c r="T538" s="432">
        <f>Waste!M58</f>
        <v>0</v>
      </c>
      <c r="U538" s="432">
        <f>Waste!N58</f>
        <v>0</v>
      </c>
      <c r="V538" s="432" t="str">
        <f>Waste!O58</f>
        <v/>
      </c>
      <c r="W538" s="432" t="str">
        <f>Waste!P58</f>
        <v/>
      </c>
      <c r="X538" s="432" t="str">
        <f>Waste!Q58</f>
        <v/>
      </c>
      <c r="Y538" s="432" t="str">
        <f>Waste!R58</f>
        <v/>
      </c>
      <c r="Z538" s="432" t="str">
        <f>Waste!S58</f>
        <v/>
      </c>
      <c r="AA538" s="432" t="str">
        <f>Waste!T58</f>
        <v/>
      </c>
      <c r="AB538" s="432" t="str">
        <f>Waste!U58</f>
        <v/>
      </c>
      <c r="AC538" s="432" t="str">
        <f>Waste!V58</f>
        <v/>
      </c>
      <c r="AE538" s="432">
        <f t="shared" si="20"/>
        <v>0</v>
      </c>
      <c r="AF538" s="432">
        <f t="shared" si="21"/>
        <v>0</v>
      </c>
    </row>
    <row r="539" spans="2:32" x14ac:dyDescent="0.35">
      <c r="B539" s="432" t="e">
        <f>"2024"&amp;MATCH(Totals!D539,OrgType,0)&amp;"_"&amp;MATCH(Totals!E539,Organisations,0)&amp;"_"&amp;LEFT(Totals!F539,1)&amp;"_"&amp;LEFT(G539,1)&amp;"_"&amp;COUNTIF($G$3:G539,G539)</f>
        <v>#N/A</v>
      </c>
      <c r="C539" s="432">
        <v>2024</v>
      </c>
      <c r="D539" s="432">
        <f>Introduction!$D$7</f>
        <v>0</v>
      </c>
      <c r="E539" s="432">
        <f>Introduction!$D$8</f>
        <v>0</v>
      </c>
      <c r="F539" s="432" t="s">
        <v>73</v>
      </c>
      <c r="G539" s="432" t="s">
        <v>1113</v>
      </c>
      <c r="H539" s="433"/>
      <c r="I539" s="432">
        <f>Waste!B59</f>
        <v>0</v>
      </c>
      <c r="J539" s="432">
        <f>Waste!C59</f>
        <v>0</v>
      </c>
      <c r="K539" s="432">
        <f>Waste!D59</f>
        <v>0</v>
      </c>
      <c r="L539" s="432">
        <f>Waste!E59</f>
        <v>0</v>
      </c>
      <c r="M539" s="432" t="str">
        <f>Waste!F59</f>
        <v/>
      </c>
      <c r="N539" s="432">
        <f>Waste!G59</f>
        <v>0</v>
      </c>
      <c r="O539" s="432">
        <f>Waste!H59</f>
        <v>0</v>
      </c>
      <c r="P539" s="432" t="str">
        <f>Waste!I59</f>
        <v/>
      </c>
      <c r="Q539" s="432" t="str">
        <f>Waste!J59</f>
        <v/>
      </c>
      <c r="R539" s="432" t="str">
        <f>Waste!K59</f>
        <v/>
      </c>
      <c r="S539" s="432">
        <f>Waste!L59</f>
        <v>0</v>
      </c>
      <c r="T539" s="432">
        <f>Waste!M59</f>
        <v>0</v>
      </c>
      <c r="U539" s="432">
        <f>Waste!N59</f>
        <v>0</v>
      </c>
      <c r="V539" s="432" t="str">
        <f>Waste!O59</f>
        <v/>
      </c>
      <c r="W539" s="432" t="str">
        <f>Waste!P59</f>
        <v/>
      </c>
      <c r="X539" s="432" t="str">
        <f>Waste!Q59</f>
        <v/>
      </c>
      <c r="Y539" s="432" t="str">
        <f>Waste!R59</f>
        <v/>
      </c>
      <c r="Z539" s="432" t="str">
        <f>Waste!S59</f>
        <v/>
      </c>
      <c r="AA539" s="432" t="str">
        <f>Waste!T59</f>
        <v/>
      </c>
      <c r="AB539" s="432" t="str">
        <f>Waste!U59</f>
        <v/>
      </c>
      <c r="AC539" s="432" t="str">
        <f>Waste!V59</f>
        <v/>
      </c>
      <c r="AE539" s="432">
        <f t="shared" si="20"/>
        <v>0</v>
      </c>
      <c r="AF539" s="432">
        <f t="shared" si="21"/>
        <v>0</v>
      </c>
    </row>
    <row r="540" spans="2:32" x14ac:dyDescent="0.35">
      <c r="B540" s="432" t="e">
        <f>"2024"&amp;MATCH(Totals!D540,OrgType,0)&amp;"_"&amp;MATCH(Totals!E540,Organisations,0)&amp;"_"&amp;LEFT(Totals!F540,1)&amp;"_"&amp;LEFT(G540,1)&amp;"_"&amp;COUNTIF($G$3:G540,G540)</f>
        <v>#N/A</v>
      </c>
      <c r="C540" s="432">
        <v>2024</v>
      </c>
      <c r="D540" s="432">
        <f>Introduction!$D$7</f>
        <v>0</v>
      </c>
      <c r="E540" s="432">
        <f>Introduction!$D$8</f>
        <v>0</v>
      </c>
      <c r="F540" s="432" t="s">
        <v>73</v>
      </c>
      <c r="G540" s="432" t="s">
        <v>1113</v>
      </c>
      <c r="H540" s="433"/>
      <c r="I540" s="432">
        <f>Waste!B60</f>
        <v>0</v>
      </c>
      <c r="J540" s="432">
        <f>Waste!C60</f>
        <v>0</v>
      </c>
      <c r="K540" s="432">
        <f>Waste!D60</f>
        <v>0</v>
      </c>
      <c r="L540" s="432">
        <f>Waste!E60</f>
        <v>0</v>
      </c>
      <c r="M540" s="432" t="str">
        <f>Waste!F60</f>
        <v/>
      </c>
      <c r="N540" s="432">
        <f>Waste!G60</f>
        <v>0</v>
      </c>
      <c r="O540" s="432">
        <f>Waste!H60</f>
        <v>0</v>
      </c>
      <c r="P540" s="432" t="str">
        <f>Waste!I60</f>
        <v/>
      </c>
      <c r="Q540" s="432" t="str">
        <f>Waste!J60</f>
        <v/>
      </c>
      <c r="R540" s="432" t="str">
        <f>Waste!K60</f>
        <v/>
      </c>
      <c r="S540" s="432">
        <f>Waste!L60</f>
        <v>0</v>
      </c>
      <c r="T540" s="432">
        <f>Waste!M60</f>
        <v>0</v>
      </c>
      <c r="U540" s="432">
        <f>Waste!N60</f>
        <v>0</v>
      </c>
      <c r="V540" s="432" t="str">
        <f>Waste!O60</f>
        <v/>
      </c>
      <c r="W540" s="432" t="str">
        <f>Waste!P60</f>
        <v/>
      </c>
      <c r="X540" s="432" t="str">
        <f>Waste!Q60</f>
        <v/>
      </c>
      <c r="Y540" s="432" t="str">
        <f>Waste!R60</f>
        <v/>
      </c>
      <c r="Z540" s="432" t="str">
        <f>Waste!S60</f>
        <v/>
      </c>
      <c r="AA540" s="432" t="str">
        <f>Waste!T60</f>
        <v/>
      </c>
      <c r="AB540" s="432" t="str">
        <f>Waste!U60</f>
        <v/>
      </c>
      <c r="AC540" s="432" t="str">
        <f>Waste!V60</f>
        <v/>
      </c>
      <c r="AE540" s="432">
        <f t="shared" si="20"/>
        <v>0</v>
      </c>
      <c r="AF540" s="432">
        <f t="shared" si="21"/>
        <v>0</v>
      </c>
    </row>
    <row r="541" spans="2:32" x14ac:dyDescent="0.35">
      <c r="B541" s="432" t="e">
        <f>"2024"&amp;MATCH(Totals!D541,OrgType,0)&amp;"_"&amp;MATCH(Totals!E541,Organisations,0)&amp;"_"&amp;LEFT(Totals!F541,1)&amp;"_"&amp;LEFT(G541,1)&amp;"_"&amp;COUNTIF($G$3:G541,G541)</f>
        <v>#N/A</v>
      </c>
      <c r="C541" s="432">
        <v>2024</v>
      </c>
      <c r="D541" s="432">
        <f>Introduction!$D$7</f>
        <v>0</v>
      </c>
      <c r="E541" s="432">
        <f>Introduction!$D$8</f>
        <v>0</v>
      </c>
      <c r="F541" s="432" t="s">
        <v>73</v>
      </c>
      <c r="G541" s="432" t="s">
        <v>1113</v>
      </c>
      <c r="H541" s="433"/>
      <c r="I541" s="432">
        <f>Waste!B61</f>
        <v>0</v>
      </c>
      <c r="J541" s="432">
        <f>Waste!C61</f>
        <v>0</v>
      </c>
      <c r="K541" s="432">
        <f>Waste!D61</f>
        <v>0</v>
      </c>
      <c r="L541" s="432">
        <f>Waste!E61</f>
        <v>0</v>
      </c>
      <c r="M541" s="432" t="str">
        <f>Waste!F61</f>
        <v/>
      </c>
      <c r="N541" s="432">
        <f>Waste!G61</f>
        <v>0</v>
      </c>
      <c r="O541" s="432">
        <f>Waste!H61</f>
        <v>0</v>
      </c>
      <c r="P541" s="432" t="str">
        <f>Waste!I61</f>
        <v/>
      </c>
      <c r="Q541" s="432" t="str">
        <f>Waste!J61</f>
        <v/>
      </c>
      <c r="R541" s="432" t="str">
        <f>Waste!K61</f>
        <v/>
      </c>
      <c r="S541" s="432">
        <f>Waste!L61</f>
        <v>0</v>
      </c>
      <c r="T541" s="432">
        <f>Waste!M61</f>
        <v>0</v>
      </c>
      <c r="U541" s="432">
        <f>Waste!N61</f>
        <v>0</v>
      </c>
      <c r="V541" s="432" t="str">
        <f>Waste!O61</f>
        <v/>
      </c>
      <c r="W541" s="432" t="str">
        <f>Waste!P61</f>
        <v/>
      </c>
      <c r="X541" s="432" t="str">
        <f>Waste!Q61</f>
        <v/>
      </c>
      <c r="Y541" s="432" t="str">
        <f>Waste!R61</f>
        <v/>
      </c>
      <c r="Z541" s="432" t="str">
        <f>Waste!S61</f>
        <v/>
      </c>
      <c r="AA541" s="432" t="str">
        <f>Waste!T61</f>
        <v/>
      </c>
      <c r="AB541" s="432" t="str">
        <f>Waste!U61</f>
        <v/>
      </c>
      <c r="AC541" s="432" t="str">
        <f>Waste!V61</f>
        <v/>
      </c>
      <c r="AE541" s="432">
        <f t="shared" si="20"/>
        <v>0</v>
      </c>
      <c r="AF541" s="432">
        <f t="shared" si="21"/>
        <v>0</v>
      </c>
    </row>
    <row r="542" spans="2:32" x14ac:dyDescent="0.35">
      <c r="B542" s="432" t="e">
        <f>"2024"&amp;MATCH(Totals!D542,OrgType,0)&amp;"_"&amp;MATCH(Totals!E542,Organisations,0)&amp;"_"&amp;LEFT(Totals!F542,1)&amp;"_"&amp;LEFT(G542,1)&amp;"_"&amp;COUNTIF($G$3:G542,G542)</f>
        <v>#N/A</v>
      </c>
      <c r="C542" s="432">
        <v>2024</v>
      </c>
      <c r="D542" s="432">
        <f>Introduction!$D$7</f>
        <v>0</v>
      </c>
      <c r="E542" s="432">
        <f>Introduction!$D$8</f>
        <v>0</v>
      </c>
      <c r="F542" s="432" t="s">
        <v>73</v>
      </c>
      <c r="G542" s="432" t="s">
        <v>1113</v>
      </c>
      <c r="H542" s="433"/>
      <c r="I542" s="432">
        <f>Waste!B62</f>
        <v>0</v>
      </c>
      <c r="J542" s="432">
        <f>Waste!C62</f>
        <v>0</v>
      </c>
      <c r="K542" s="432">
        <f>Waste!D62</f>
        <v>0</v>
      </c>
      <c r="L542" s="432">
        <f>Waste!E62</f>
        <v>0</v>
      </c>
      <c r="M542" s="432" t="str">
        <f>Waste!F62</f>
        <v/>
      </c>
      <c r="N542" s="432">
        <f>Waste!G62</f>
        <v>0</v>
      </c>
      <c r="O542" s="432">
        <f>Waste!H62</f>
        <v>0</v>
      </c>
      <c r="P542" s="432" t="str">
        <f>Waste!I62</f>
        <v/>
      </c>
      <c r="Q542" s="432" t="str">
        <f>Waste!J62</f>
        <v/>
      </c>
      <c r="R542" s="432" t="str">
        <f>Waste!K62</f>
        <v/>
      </c>
      <c r="S542" s="432">
        <f>Waste!L62</f>
        <v>0</v>
      </c>
      <c r="T542" s="432">
        <f>Waste!M62</f>
        <v>0</v>
      </c>
      <c r="U542" s="432">
        <f>Waste!N62</f>
        <v>0</v>
      </c>
      <c r="V542" s="432" t="str">
        <f>Waste!O62</f>
        <v/>
      </c>
      <c r="W542" s="432" t="str">
        <f>Waste!P62</f>
        <v/>
      </c>
      <c r="X542" s="432" t="str">
        <f>Waste!Q62</f>
        <v/>
      </c>
      <c r="Y542" s="432" t="str">
        <f>Waste!R62</f>
        <v/>
      </c>
      <c r="Z542" s="432" t="str">
        <f>Waste!S62</f>
        <v/>
      </c>
      <c r="AA542" s="432" t="str">
        <f>Waste!T62</f>
        <v/>
      </c>
      <c r="AB542" s="432" t="str">
        <f>Waste!U62</f>
        <v/>
      </c>
      <c r="AC542" s="432" t="str">
        <f>Waste!V62</f>
        <v/>
      </c>
      <c r="AE542" s="432">
        <f t="shared" si="20"/>
        <v>0</v>
      </c>
      <c r="AF542" s="432">
        <f t="shared" si="21"/>
        <v>0</v>
      </c>
    </row>
    <row r="543" spans="2:32" x14ac:dyDescent="0.35">
      <c r="B543" s="432" t="e">
        <f>"2024"&amp;MATCH(Totals!D543,OrgType,0)&amp;"_"&amp;MATCH(Totals!E543,Organisations,0)&amp;"_"&amp;LEFT(Totals!F543,1)&amp;"_"&amp;LEFT(G543,1)&amp;"_"&amp;COUNTIF($G$3:G543,G543)</f>
        <v>#N/A</v>
      </c>
      <c r="C543" s="432">
        <v>2024</v>
      </c>
      <c r="D543" s="432">
        <f>Introduction!$D$7</f>
        <v>0</v>
      </c>
      <c r="E543" s="432">
        <f>Introduction!$D$8</f>
        <v>0</v>
      </c>
      <c r="F543" s="432" t="s">
        <v>73</v>
      </c>
      <c r="G543" s="432" t="s">
        <v>1113</v>
      </c>
      <c r="H543" s="433"/>
      <c r="I543" s="432">
        <f>Waste!B63</f>
        <v>0</v>
      </c>
      <c r="J543" s="432">
        <f>Waste!C63</f>
        <v>0</v>
      </c>
      <c r="K543" s="432">
        <f>Waste!D63</f>
        <v>0</v>
      </c>
      <c r="L543" s="432">
        <f>Waste!E63</f>
        <v>0</v>
      </c>
      <c r="M543" s="432" t="str">
        <f>Waste!F63</f>
        <v/>
      </c>
      <c r="N543" s="432">
        <f>Waste!G63</f>
        <v>0</v>
      </c>
      <c r="O543" s="432">
        <f>Waste!H63</f>
        <v>0</v>
      </c>
      <c r="P543" s="432" t="str">
        <f>Waste!I63</f>
        <v/>
      </c>
      <c r="Q543" s="432" t="str">
        <f>Waste!J63</f>
        <v/>
      </c>
      <c r="R543" s="432" t="str">
        <f>Waste!K63</f>
        <v/>
      </c>
      <c r="S543" s="432">
        <f>Waste!L63</f>
        <v>0</v>
      </c>
      <c r="T543" s="432">
        <f>Waste!M63</f>
        <v>0</v>
      </c>
      <c r="U543" s="432">
        <f>Waste!N63</f>
        <v>0</v>
      </c>
      <c r="V543" s="432" t="str">
        <f>Waste!O63</f>
        <v/>
      </c>
      <c r="W543" s="432" t="str">
        <f>Waste!P63</f>
        <v/>
      </c>
      <c r="X543" s="432" t="str">
        <f>Waste!Q63</f>
        <v/>
      </c>
      <c r="Y543" s="432" t="str">
        <f>Waste!R63</f>
        <v/>
      </c>
      <c r="Z543" s="432" t="str">
        <f>Waste!S63</f>
        <v/>
      </c>
      <c r="AA543" s="432" t="str">
        <f>Waste!T63</f>
        <v/>
      </c>
      <c r="AB543" s="432" t="str">
        <f>Waste!U63</f>
        <v/>
      </c>
      <c r="AC543" s="432" t="str">
        <f>Waste!V63</f>
        <v/>
      </c>
      <c r="AE543" s="432">
        <f t="shared" si="20"/>
        <v>0</v>
      </c>
      <c r="AF543" s="432">
        <f t="shared" si="21"/>
        <v>0</v>
      </c>
    </row>
    <row r="544" spans="2:32" x14ac:dyDescent="0.35">
      <c r="B544" s="432" t="e">
        <f>"2024"&amp;MATCH(Totals!D544,OrgType,0)&amp;"_"&amp;MATCH(Totals!E544,Organisations,0)&amp;"_"&amp;LEFT(Totals!F544,1)&amp;"_"&amp;LEFT(G544,1)&amp;"_"&amp;COUNTIF($G$3:G544,G544)</f>
        <v>#N/A</v>
      </c>
      <c r="C544" s="432">
        <v>2024</v>
      </c>
      <c r="D544" s="432">
        <f>Introduction!$D$7</f>
        <v>0</v>
      </c>
      <c r="E544" s="432">
        <f>Introduction!$D$8</f>
        <v>0</v>
      </c>
      <c r="F544" s="432" t="s">
        <v>73</v>
      </c>
      <c r="G544" s="432" t="s">
        <v>1113</v>
      </c>
      <c r="H544" s="433"/>
      <c r="I544" s="432">
        <f>Waste!B64</f>
        <v>0</v>
      </c>
      <c r="J544" s="432">
        <f>Waste!C64</f>
        <v>0</v>
      </c>
      <c r="K544" s="432">
        <f>Waste!D64</f>
        <v>0</v>
      </c>
      <c r="L544" s="432">
        <f>Waste!E64</f>
        <v>0</v>
      </c>
      <c r="M544" s="432" t="str">
        <f>Waste!F64</f>
        <v/>
      </c>
      <c r="N544" s="432">
        <f>Waste!G64</f>
        <v>0</v>
      </c>
      <c r="O544" s="432">
        <f>Waste!H64</f>
        <v>0</v>
      </c>
      <c r="P544" s="432" t="str">
        <f>Waste!I64</f>
        <v/>
      </c>
      <c r="Q544" s="432" t="str">
        <f>Waste!J64</f>
        <v/>
      </c>
      <c r="R544" s="432" t="str">
        <f>Waste!K64</f>
        <v/>
      </c>
      <c r="S544" s="432">
        <f>Waste!L64</f>
        <v>0</v>
      </c>
      <c r="T544" s="432">
        <f>Waste!M64</f>
        <v>0</v>
      </c>
      <c r="U544" s="432">
        <f>Waste!N64</f>
        <v>0</v>
      </c>
      <c r="V544" s="432" t="str">
        <f>Waste!O64</f>
        <v/>
      </c>
      <c r="W544" s="432" t="str">
        <f>Waste!P64</f>
        <v/>
      </c>
      <c r="X544" s="432" t="str">
        <f>Waste!Q64</f>
        <v/>
      </c>
      <c r="Y544" s="432" t="str">
        <f>Waste!R64</f>
        <v/>
      </c>
      <c r="Z544" s="432" t="str">
        <f>Waste!S64</f>
        <v/>
      </c>
      <c r="AA544" s="432" t="str">
        <f>Waste!T64</f>
        <v/>
      </c>
      <c r="AB544" s="432" t="str">
        <f>Waste!U64</f>
        <v/>
      </c>
      <c r="AC544" s="432" t="str">
        <f>Waste!V64</f>
        <v/>
      </c>
      <c r="AE544" s="432">
        <f t="shared" si="20"/>
        <v>0</v>
      </c>
      <c r="AF544" s="432">
        <f t="shared" si="21"/>
        <v>0</v>
      </c>
    </row>
    <row r="545" spans="2:32" x14ac:dyDescent="0.35">
      <c r="B545" s="432" t="e">
        <f>"2024"&amp;MATCH(Totals!D545,OrgType,0)&amp;"_"&amp;MATCH(Totals!E545,Organisations,0)&amp;"_"&amp;LEFT(Totals!F545,1)&amp;"_"&amp;LEFT(G545,1)&amp;"_"&amp;COUNTIF($G$3:G545,G545)</f>
        <v>#N/A</v>
      </c>
      <c r="C545" s="432">
        <v>2024</v>
      </c>
      <c r="D545" s="432">
        <f>Introduction!$D$7</f>
        <v>0</v>
      </c>
      <c r="E545" s="432">
        <f>Introduction!$D$8</f>
        <v>0</v>
      </c>
      <c r="F545" s="432" t="s">
        <v>73</v>
      </c>
      <c r="G545" s="432" t="s">
        <v>1113</v>
      </c>
      <c r="H545" s="433"/>
      <c r="I545" s="432">
        <f>Waste!B65</f>
        <v>0</v>
      </c>
      <c r="J545" s="432">
        <f>Waste!C65</f>
        <v>0</v>
      </c>
      <c r="K545" s="432">
        <f>Waste!D65</f>
        <v>0</v>
      </c>
      <c r="L545" s="432">
        <f>Waste!E65</f>
        <v>0</v>
      </c>
      <c r="M545" s="432" t="str">
        <f>Waste!F65</f>
        <v/>
      </c>
      <c r="N545" s="432">
        <f>Waste!G65</f>
        <v>0</v>
      </c>
      <c r="O545" s="432">
        <f>Waste!H65</f>
        <v>0</v>
      </c>
      <c r="P545" s="432" t="str">
        <f>Waste!I65</f>
        <v/>
      </c>
      <c r="Q545" s="432" t="str">
        <f>Waste!J65</f>
        <v/>
      </c>
      <c r="R545" s="432" t="str">
        <f>Waste!K65</f>
        <v/>
      </c>
      <c r="S545" s="432">
        <f>Waste!L65</f>
        <v>0</v>
      </c>
      <c r="T545" s="432">
        <f>Waste!M65</f>
        <v>0</v>
      </c>
      <c r="U545" s="432">
        <f>Waste!N65</f>
        <v>0</v>
      </c>
      <c r="V545" s="432" t="str">
        <f>Waste!O65</f>
        <v/>
      </c>
      <c r="W545" s="432" t="str">
        <f>Waste!P65</f>
        <v/>
      </c>
      <c r="X545" s="432" t="str">
        <f>Waste!Q65</f>
        <v/>
      </c>
      <c r="Y545" s="432" t="str">
        <f>Waste!R65</f>
        <v/>
      </c>
      <c r="Z545" s="432" t="str">
        <f>Waste!S65</f>
        <v/>
      </c>
      <c r="AA545" s="432" t="str">
        <f>Waste!T65</f>
        <v/>
      </c>
      <c r="AB545" s="432" t="str">
        <f>Waste!U65</f>
        <v/>
      </c>
      <c r="AC545" s="432" t="str">
        <f>Waste!V65</f>
        <v/>
      </c>
      <c r="AE545" s="432">
        <f t="shared" si="20"/>
        <v>0</v>
      </c>
      <c r="AF545" s="432">
        <f t="shared" si="21"/>
        <v>0</v>
      </c>
    </row>
    <row r="546" spans="2:32" x14ac:dyDescent="0.35">
      <c r="B546" s="432" t="e">
        <f>"2024"&amp;MATCH(Totals!D546,OrgType,0)&amp;"_"&amp;MATCH(Totals!E546,Organisations,0)&amp;"_"&amp;LEFT(Totals!F546,1)&amp;"_"&amp;LEFT(G546,1)&amp;"_"&amp;COUNTIF($G$3:G546,G546)</f>
        <v>#N/A</v>
      </c>
      <c r="C546" s="432">
        <v>2024</v>
      </c>
      <c r="D546" s="432">
        <f>Introduction!$D$7</f>
        <v>0</v>
      </c>
      <c r="E546" s="432">
        <f>Introduction!$D$8</f>
        <v>0</v>
      </c>
      <c r="F546" s="432" t="s">
        <v>73</v>
      </c>
      <c r="G546" s="432" t="s">
        <v>1113</v>
      </c>
      <c r="H546" s="433"/>
      <c r="I546" s="432">
        <f>Waste!B66</f>
        <v>0</v>
      </c>
      <c r="J546" s="432">
        <f>Waste!C66</f>
        <v>0</v>
      </c>
      <c r="K546" s="432">
        <f>Waste!D66</f>
        <v>0</v>
      </c>
      <c r="L546" s="432">
        <f>Waste!E66</f>
        <v>0</v>
      </c>
      <c r="M546" s="432" t="str">
        <f>Waste!F66</f>
        <v/>
      </c>
      <c r="N546" s="432">
        <f>Waste!G66</f>
        <v>0</v>
      </c>
      <c r="O546" s="432">
        <f>Waste!H66</f>
        <v>0</v>
      </c>
      <c r="P546" s="432" t="str">
        <f>Waste!I66</f>
        <v/>
      </c>
      <c r="Q546" s="432" t="str">
        <f>Waste!J66</f>
        <v/>
      </c>
      <c r="R546" s="432" t="str">
        <f>Waste!K66</f>
        <v/>
      </c>
      <c r="S546" s="432">
        <f>Waste!L66</f>
        <v>0</v>
      </c>
      <c r="T546" s="432">
        <f>Waste!M66</f>
        <v>0</v>
      </c>
      <c r="U546" s="432">
        <f>Waste!N66</f>
        <v>0</v>
      </c>
      <c r="V546" s="432" t="str">
        <f>Waste!O66</f>
        <v/>
      </c>
      <c r="W546" s="432" t="str">
        <f>Waste!P66</f>
        <v/>
      </c>
      <c r="X546" s="432" t="str">
        <f>Waste!Q66</f>
        <v/>
      </c>
      <c r="Y546" s="432" t="str">
        <f>Waste!R66</f>
        <v/>
      </c>
      <c r="Z546" s="432" t="str">
        <f>Waste!S66</f>
        <v/>
      </c>
      <c r="AA546" s="432" t="str">
        <f>Waste!T66</f>
        <v/>
      </c>
      <c r="AB546" s="432" t="str">
        <f>Waste!U66</f>
        <v/>
      </c>
      <c r="AC546" s="432" t="str">
        <f>Waste!V66</f>
        <v/>
      </c>
      <c r="AE546" s="432">
        <f t="shared" si="20"/>
        <v>0</v>
      </c>
      <c r="AF546" s="432">
        <f t="shared" si="21"/>
        <v>0</v>
      </c>
    </row>
    <row r="547" spans="2:32" x14ac:dyDescent="0.35">
      <c r="B547" s="432" t="e">
        <f>"2024"&amp;MATCH(Totals!D547,OrgType,0)&amp;"_"&amp;MATCH(Totals!E547,Organisations,0)&amp;"_"&amp;LEFT(Totals!F547,1)&amp;"_"&amp;LEFT(G547,1)&amp;"_"&amp;COUNTIF($G$3:G547,G547)</f>
        <v>#N/A</v>
      </c>
      <c r="C547" s="432">
        <v>2024</v>
      </c>
      <c r="D547" s="432">
        <f>Introduction!$D$7</f>
        <v>0</v>
      </c>
      <c r="E547" s="432">
        <f>Introduction!$D$8</f>
        <v>0</v>
      </c>
      <c r="F547" s="432" t="s">
        <v>73</v>
      </c>
      <c r="G547" s="432" t="s">
        <v>1113</v>
      </c>
      <c r="H547" s="433"/>
      <c r="I547" s="432">
        <f>Waste!B67</f>
        <v>0</v>
      </c>
      <c r="J547" s="432">
        <f>Waste!C67</f>
        <v>0</v>
      </c>
      <c r="K547" s="432">
        <f>Waste!D67</f>
        <v>0</v>
      </c>
      <c r="L547" s="432">
        <f>Waste!E67</f>
        <v>0</v>
      </c>
      <c r="M547" s="432" t="str">
        <f>Waste!F67</f>
        <v/>
      </c>
      <c r="N547" s="432">
        <f>Waste!G67</f>
        <v>0</v>
      </c>
      <c r="O547" s="432">
        <f>Waste!H67</f>
        <v>0</v>
      </c>
      <c r="P547" s="432" t="str">
        <f>Waste!I67</f>
        <v/>
      </c>
      <c r="Q547" s="432" t="str">
        <f>Waste!J67</f>
        <v/>
      </c>
      <c r="R547" s="432" t="str">
        <f>Waste!K67</f>
        <v/>
      </c>
      <c r="S547" s="432">
        <f>Waste!L67</f>
        <v>0</v>
      </c>
      <c r="T547" s="432">
        <f>Waste!M67</f>
        <v>0</v>
      </c>
      <c r="U547" s="432">
        <f>Waste!N67</f>
        <v>0</v>
      </c>
      <c r="V547" s="432" t="str">
        <f>Waste!O67</f>
        <v/>
      </c>
      <c r="W547" s="432" t="str">
        <f>Waste!P67</f>
        <v/>
      </c>
      <c r="X547" s="432" t="str">
        <f>Waste!Q67</f>
        <v/>
      </c>
      <c r="Y547" s="432" t="str">
        <f>Waste!R67</f>
        <v/>
      </c>
      <c r="Z547" s="432" t="str">
        <f>Waste!S67</f>
        <v/>
      </c>
      <c r="AA547" s="432" t="str">
        <f>Waste!T67</f>
        <v/>
      </c>
      <c r="AB547" s="432" t="str">
        <f>Waste!U67</f>
        <v/>
      </c>
      <c r="AC547" s="432" t="str">
        <f>Waste!V67</f>
        <v/>
      </c>
      <c r="AE547" s="432">
        <f t="shared" si="20"/>
        <v>0</v>
      </c>
      <c r="AF547" s="432">
        <f t="shared" si="21"/>
        <v>0</v>
      </c>
    </row>
    <row r="548" spans="2:32" x14ac:dyDescent="0.35">
      <c r="B548" s="432" t="e">
        <f>"2024"&amp;MATCH(Totals!D548,OrgType,0)&amp;"_"&amp;MATCH(Totals!E548,Organisations,0)&amp;"_"&amp;LEFT(Totals!F548,1)&amp;"_"&amp;LEFT(G548,1)&amp;"_"&amp;COUNTIF($G$3:G548,G548)</f>
        <v>#N/A</v>
      </c>
      <c r="C548" s="432">
        <v>2024</v>
      </c>
      <c r="D548" s="432">
        <f>Introduction!$D$7</f>
        <v>0</v>
      </c>
      <c r="E548" s="432">
        <f>Introduction!$D$8</f>
        <v>0</v>
      </c>
      <c r="F548" s="432" t="s">
        <v>73</v>
      </c>
      <c r="G548" s="432" t="s">
        <v>1113</v>
      </c>
      <c r="H548" s="433"/>
      <c r="I548" s="432">
        <f>Waste!B68</f>
        <v>0</v>
      </c>
      <c r="J548" s="432">
        <f>Waste!C68</f>
        <v>0</v>
      </c>
      <c r="K548" s="432">
        <f>Waste!D68</f>
        <v>0</v>
      </c>
      <c r="L548" s="432">
        <f>Waste!E68</f>
        <v>0</v>
      </c>
      <c r="M548" s="432" t="str">
        <f>Waste!F68</f>
        <v/>
      </c>
      <c r="N548" s="432">
        <f>Waste!G68</f>
        <v>0</v>
      </c>
      <c r="O548" s="432">
        <f>Waste!H68</f>
        <v>0</v>
      </c>
      <c r="P548" s="432" t="str">
        <f>Waste!I68</f>
        <v/>
      </c>
      <c r="Q548" s="432" t="str">
        <f>Waste!J68</f>
        <v/>
      </c>
      <c r="R548" s="432" t="str">
        <f>Waste!K68</f>
        <v/>
      </c>
      <c r="S548" s="432">
        <f>Waste!L68</f>
        <v>0</v>
      </c>
      <c r="T548" s="432">
        <f>Waste!M68</f>
        <v>0</v>
      </c>
      <c r="U548" s="432">
        <f>Waste!N68</f>
        <v>0</v>
      </c>
      <c r="V548" s="432" t="str">
        <f>Waste!O68</f>
        <v/>
      </c>
      <c r="W548" s="432" t="str">
        <f>Waste!P68</f>
        <v/>
      </c>
      <c r="X548" s="432" t="str">
        <f>Waste!Q68</f>
        <v/>
      </c>
      <c r="Y548" s="432" t="str">
        <f>Waste!R68</f>
        <v/>
      </c>
      <c r="Z548" s="432" t="str">
        <f>Waste!S68</f>
        <v/>
      </c>
      <c r="AA548" s="432" t="str">
        <f>Waste!T68</f>
        <v/>
      </c>
      <c r="AB548" s="432" t="str">
        <f>Waste!U68</f>
        <v/>
      </c>
      <c r="AC548" s="432" t="str">
        <f>Waste!V68</f>
        <v/>
      </c>
      <c r="AE548" s="432">
        <f t="shared" si="20"/>
        <v>0</v>
      </c>
      <c r="AF548" s="432">
        <f t="shared" si="21"/>
        <v>0</v>
      </c>
    </row>
    <row r="549" spans="2:32" x14ac:dyDescent="0.35">
      <c r="B549" s="432" t="e">
        <f>"2024"&amp;MATCH(Totals!D549,OrgType,0)&amp;"_"&amp;MATCH(Totals!E549,Organisations,0)&amp;"_"&amp;LEFT(Totals!F549,1)&amp;"_"&amp;LEFT(G549,1)&amp;"_"&amp;COUNTIF($G$3:G549,G549)</f>
        <v>#N/A</v>
      </c>
      <c r="C549" s="432">
        <v>2024</v>
      </c>
      <c r="D549" s="432">
        <f>Introduction!$D$7</f>
        <v>0</v>
      </c>
      <c r="E549" s="432">
        <f>Introduction!$D$8</f>
        <v>0</v>
      </c>
      <c r="F549" s="432" t="s">
        <v>73</v>
      </c>
      <c r="G549" s="432" t="s">
        <v>1113</v>
      </c>
      <c r="H549" s="433"/>
      <c r="I549" s="432">
        <f>Waste!B69</f>
        <v>0</v>
      </c>
      <c r="J549" s="432">
        <f>Waste!C69</f>
        <v>0</v>
      </c>
      <c r="K549" s="432">
        <f>Waste!D69</f>
        <v>0</v>
      </c>
      <c r="L549" s="432">
        <f>Waste!E69</f>
        <v>0</v>
      </c>
      <c r="M549" s="432" t="str">
        <f>Waste!F69</f>
        <v/>
      </c>
      <c r="N549" s="432">
        <f>Waste!G69</f>
        <v>0</v>
      </c>
      <c r="O549" s="432">
        <f>Waste!H69</f>
        <v>0</v>
      </c>
      <c r="P549" s="432" t="str">
        <f>Waste!I69</f>
        <v/>
      </c>
      <c r="Q549" s="432" t="str">
        <f>Waste!J69</f>
        <v/>
      </c>
      <c r="R549" s="432" t="str">
        <f>Waste!K69</f>
        <v/>
      </c>
      <c r="S549" s="432">
        <f>Waste!L69</f>
        <v>0</v>
      </c>
      <c r="T549" s="432">
        <f>Waste!M69</f>
        <v>0</v>
      </c>
      <c r="U549" s="432">
        <f>Waste!N69</f>
        <v>0</v>
      </c>
      <c r="V549" s="432" t="str">
        <f>Waste!O69</f>
        <v/>
      </c>
      <c r="W549" s="432" t="str">
        <f>Waste!P69</f>
        <v/>
      </c>
      <c r="X549" s="432" t="str">
        <f>Waste!Q69</f>
        <v/>
      </c>
      <c r="Y549" s="432" t="str">
        <f>Waste!R69</f>
        <v/>
      </c>
      <c r="Z549" s="432" t="str">
        <f>Waste!S69</f>
        <v/>
      </c>
      <c r="AA549" s="432" t="str">
        <f>Waste!T69</f>
        <v/>
      </c>
      <c r="AB549" s="432" t="str">
        <f>Waste!U69</f>
        <v/>
      </c>
      <c r="AC549" s="432" t="str">
        <f>Waste!V69</f>
        <v/>
      </c>
      <c r="AE549" s="432">
        <f t="shared" si="20"/>
        <v>0</v>
      </c>
      <c r="AF549" s="432">
        <f t="shared" si="21"/>
        <v>0</v>
      </c>
    </row>
    <row r="550" spans="2:32" x14ac:dyDescent="0.35">
      <c r="B550" s="432" t="e">
        <f>"2024"&amp;MATCH(Totals!D550,OrgType,0)&amp;"_"&amp;MATCH(Totals!E550,Organisations,0)&amp;"_"&amp;LEFT(Totals!F550,1)&amp;"_"&amp;LEFT(G550,1)&amp;"_"&amp;COUNTIF($G$3:G550,G550)</f>
        <v>#N/A</v>
      </c>
      <c r="C550" s="432">
        <v>2024</v>
      </c>
      <c r="D550" s="432">
        <f>Introduction!$D$7</f>
        <v>0</v>
      </c>
      <c r="E550" s="432">
        <f>Introduction!$D$8</f>
        <v>0</v>
      </c>
      <c r="F550" s="432" t="s">
        <v>73</v>
      </c>
      <c r="G550" s="432" t="s">
        <v>1113</v>
      </c>
      <c r="H550" s="433"/>
      <c r="I550" s="432">
        <f>Waste!B70</f>
        <v>0</v>
      </c>
      <c r="J550" s="432">
        <f>Waste!C70</f>
        <v>0</v>
      </c>
      <c r="K550" s="432">
        <f>Waste!D70</f>
        <v>0</v>
      </c>
      <c r="L550" s="432">
        <f>Waste!E70</f>
        <v>0</v>
      </c>
      <c r="M550" s="432" t="str">
        <f>Waste!F70</f>
        <v/>
      </c>
      <c r="N550" s="432">
        <f>Waste!G70</f>
        <v>0</v>
      </c>
      <c r="O550" s="432">
        <f>Waste!H70</f>
        <v>0</v>
      </c>
      <c r="P550" s="432" t="str">
        <f>Waste!I70</f>
        <v/>
      </c>
      <c r="Q550" s="432" t="str">
        <f>Waste!J70</f>
        <v/>
      </c>
      <c r="R550" s="432" t="str">
        <f>Waste!K70</f>
        <v/>
      </c>
      <c r="S550" s="432">
        <f>Waste!L70</f>
        <v>0</v>
      </c>
      <c r="T550" s="432">
        <f>Waste!M70</f>
        <v>0</v>
      </c>
      <c r="U550" s="432">
        <f>Waste!N70</f>
        <v>0</v>
      </c>
      <c r="V550" s="432" t="str">
        <f>Waste!O70</f>
        <v/>
      </c>
      <c r="W550" s="432" t="str">
        <f>Waste!P70</f>
        <v/>
      </c>
      <c r="X550" s="432" t="str">
        <f>Waste!Q70</f>
        <v/>
      </c>
      <c r="Y550" s="432" t="str">
        <f>Waste!R70</f>
        <v/>
      </c>
      <c r="Z550" s="432" t="str">
        <f>Waste!S70</f>
        <v/>
      </c>
      <c r="AA550" s="432" t="str">
        <f>Waste!T70</f>
        <v/>
      </c>
      <c r="AB550" s="432" t="str">
        <f>Waste!U70</f>
        <v/>
      </c>
      <c r="AC550" s="432" t="str">
        <f>Waste!V70</f>
        <v/>
      </c>
      <c r="AE550" s="432">
        <f t="shared" si="20"/>
        <v>0</v>
      </c>
      <c r="AF550" s="432">
        <f t="shared" si="21"/>
        <v>0</v>
      </c>
    </row>
    <row r="551" spans="2:32" x14ac:dyDescent="0.35">
      <c r="B551" s="432" t="e">
        <f>"2024"&amp;MATCH(Totals!D551,OrgType,0)&amp;"_"&amp;MATCH(Totals!E551,Organisations,0)&amp;"_"&amp;LEFT(Totals!F551,1)&amp;"_"&amp;LEFT(G551,1)&amp;"_"&amp;COUNTIF($G$3:G551,G551)</f>
        <v>#N/A</v>
      </c>
      <c r="C551" s="432">
        <v>2024</v>
      </c>
      <c r="D551" s="432">
        <f>Introduction!$D$7</f>
        <v>0</v>
      </c>
      <c r="E551" s="432">
        <f>Introduction!$D$8</f>
        <v>0</v>
      </c>
      <c r="F551" s="432" t="s">
        <v>73</v>
      </c>
      <c r="G551" s="432" t="s">
        <v>1113</v>
      </c>
      <c r="H551" s="433"/>
      <c r="I551" s="432">
        <f>Waste!B71</f>
        <v>0</v>
      </c>
      <c r="J551" s="432">
        <f>Waste!C71</f>
        <v>0</v>
      </c>
      <c r="K551" s="432">
        <f>Waste!D71</f>
        <v>0</v>
      </c>
      <c r="L551" s="432">
        <f>Waste!E71</f>
        <v>0</v>
      </c>
      <c r="M551" s="432" t="str">
        <f>Waste!F71</f>
        <v/>
      </c>
      <c r="N551" s="432">
        <f>Waste!G71</f>
        <v>0</v>
      </c>
      <c r="O551" s="432">
        <f>Waste!H71</f>
        <v>0</v>
      </c>
      <c r="P551" s="432" t="str">
        <f>Waste!I71</f>
        <v/>
      </c>
      <c r="Q551" s="432" t="str">
        <f>Waste!J71</f>
        <v/>
      </c>
      <c r="R551" s="432" t="str">
        <f>Waste!K71</f>
        <v/>
      </c>
      <c r="S551" s="432">
        <f>Waste!L71</f>
        <v>0</v>
      </c>
      <c r="T551" s="432">
        <f>Waste!M71</f>
        <v>0</v>
      </c>
      <c r="U551" s="432">
        <f>Waste!N71</f>
        <v>0</v>
      </c>
      <c r="V551" s="432" t="str">
        <f>Waste!O71</f>
        <v/>
      </c>
      <c r="W551" s="432" t="str">
        <f>Waste!P71</f>
        <v/>
      </c>
      <c r="X551" s="432" t="str">
        <f>Waste!Q71</f>
        <v/>
      </c>
      <c r="Y551" s="432" t="str">
        <f>Waste!R71</f>
        <v/>
      </c>
      <c r="Z551" s="432" t="str">
        <f>Waste!S71</f>
        <v/>
      </c>
      <c r="AA551" s="432" t="str">
        <f>Waste!T71</f>
        <v/>
      </c>
      <c r="AB551" s="432" t="str">
        <f>Waste!U71</f>
        <v/>
      </c>
      <c r="AC551" s="432" t="str">
        <f>Waste!V71</f>
        <v/>
      </c>
      <c r="AE551" s="432">
        <f t="shared" si="20"/>
        <v>0</v>
      </c>
      <c r="AF551" s="432">
        <f t="shared" si="21"/>
        <v>0</v>
      </c>
    </row>
    <row r="552" spans="2:32" x14ac:dyDescent="0.35">
      <c r="B552" s="432" t="e">
        <f>"2024"&amp;MATCH(Totals!D552,OrgType,0)&amp;"_"&amp;MATCH(Totals!E552,Organisations,0)&amp;"_"&amp;LEFT(Totals!F552,1)&amp;"_"&amp;LEFT(G552,1)&amp;"_"&amp;COUNTIF($G$3:G552,G552)</f>
        <v>#N/A</v>
      </c>
      <c r="C552" s="432">
        <v>2024</v>
      </c>
      <c r="D552" s="432">
        <f>Introduction!$D$7</f>
        <v>0</v>
      </c>
      <c r="E552" s="432">
        <f>Introduction!$D$8</f>
        <v>0</v>
      </c>
      <c r="F552" s="432" t="s">
        <v>73</v>
      </c>
      <c r="G552" s="432" t="s">
        <v>1113</v>
      </c>
      <c r="H552" s="433"/>
      <c r="I552" s="432">
        <f>Waste!B72</f>
        <v>0</v>
      </c>
      <c r="J552" s="432">
        <f>Waste!C72</f>
        <v>0</v>
      </c>
      <c r="K552" s="432">
        <f>Waste!D72</f>
        <v>0</v>
      </c>
      <c r="L552" s="432">
        <f>Waste!E72</f>
        <v>0</v>
      </c>
      <c r="M552" s="432" t="str">
        <f>Waste!F72</f>
        <v/>
      </c>
      <c r="N552" s="432">
        <f>Waste!G72</f>
        <v>0</v>
      </c>
      <c r="O552" s="432">
        <f>Waste!H72</f>
        <v>0</v>
      </c>
      <c r="P552" s="432" t="str">
        <f>Waste!I72</f>
        <v/>
      </c>
      <c r="Q552" s="432" t="str">
        <f>Waste!J72</f>
        <v/>
      </c>
      <c r="R552" s="432" t="str">
        <f>Waste!K72</f>
        <v/>
      </c>
      <c r="S552" s="432">
        <f>Waste!L72</f>
        <v>0</v>
      </c>
      <c r="T552" s="432">
        <f>Waste!M72</f>
        <v>0</v>
      </c>
      <c r="U552" s="432">
        <f>Waste!N72</f>
        <v>0</v>
      </c>
      <c r="V552" s="432" t="str">
        <f>Waste!O72</f>
        <v/>
      </c>
      <c r="W552" s="432" t="str">
        <f>Waste!P72</f>
        <v/>
      </c>
      <c r="X552" s="432" t="str">
        <f>Waste!Q72</f>
        <v/>
      </c>
      <c r="Y552" s="432" t="str">
        <f>Waste!R72</f>
        <v/>
      </c>
      <c r="Z552" s="432" t="str">
        <f>Waste!S72</f>
        <v/>
      </c>
      <c r="AA552" s="432" t="str">
        <f>Waste!T72</f>
        <v/>
      </c>
      <c r="AB552" s="432" t="str">
        <f>Waste!U72</f>
        <v/>
      </c>
      <c r="AC552" s="432" t="str">
        <f>Waste!V72</f>
        <v/>
      </c>
      <c r="AE552" s="432">
        <f t="shared" si="20"/>
        <v>0</v>
      </c>
      <c r="AF552" s="432">
        <f t="shared" si="21"/>
        <v>0</v>
      </c>
    </row>
    <row r="553" spans="2:32" x14ac:dyDescent="0.35">
      <c r="B553" s="432" t="e">
        <f>"2024"&amp;MATCH(Totals!D553,OrgType,0)&amp;"_"&amp;MATCH(Totals!E553,Organisations,0)&amp;"_"&amp;LEFT(Totals!F553,1)&amp;"_"&amp;LEFT(G553,1)&amp;"_"&amp;COUNTIF($G$3:G553,G553)</f>
        <v>#N/A</v>
      </c>
      <c r="C553" s="432">
        <v>2024</v>
      </c>
      <c r="D553" s="432">
        <f>Introduction!$D$7</f>
        <v>0</v>
      </c>
      <c r="E553" s="432">
        <f>Introduction!$D$8</f>
        <v>0</v>
      </c>
      <c r="F553" s="432" t="s">
        <v>73</v>
      </c>
      <c r="G553" s="432" t="s">
        <v>1113</v>
      </c>
      <c r="H553" s="433"/>
      <c r="I553" s="432">
        <f>Waste!B73</f>
        <v>0</v>
      </c>
      <c r="J553" s="432">
        <f>Waste!C73</f>
        <v>0</v>
      </c>
      <c r="K553" s="432">
        <f>Waste!D73</f>
        <v>0</v>
      </c>
      <c r="L553" s="432">
        <f>Waste!E73</f>
        <v>0</v>
      </c>
      <c r="M553" s="432" t="str">
        <f>Waste!F73</f>
        <v/>
      </c>
      <c r="N553" s="432">
        <f>Waste!G73</f>
        <v>0</v>
      </c>
      <c r="O553" s="432">
        <f>Waste!H73</f>
        <v>0</v>
      </c>
      <c r="P553" s="432" t="str">
        <f>Waste!I73</f>
        <v/>
      </c>
      <c r="Q553" s="432" t="str">
        <f>Waste!J73</f>
        <v/>
      </c>
      <c r="R553" s="432" t="str">
        <f>Waste!K73</f>
        <v/>
      </c>
      <c r="S553" s="432">
        <f>Waste!L73</f>
        <v>0</v>
      </c>
      <c r="T553" s="432">
        <f>Waste!M73</f>
        <v>0</v>
      </c>
      <c r="U553" s="432">
        <f>Waste!N73</f>
        <v>0</v>
      </c>
      <c r="V553" s="432" t="str">
        <f>Waste!O73</f>
        <v/>
      </c>
      <c r="W553" s="432" t="str">
        <f>Waste!P73</f>
        <v/>
      </c>
      <c r="X553" s="432" t="str">
        <f>Waste!Q73</f>
        <v/>
      </c>
      <c r="Y553" s="432" t="str">
        <f>Waste!R73</f>
        <v/>
      </c>
      <c r="Z553" s="432" t="str">
        <f>Waste!S73</f>
        <v/>
      </c>
      <c r="AA553" s="432" t="str">
        <f>Waste!T73</f>
        <v/>
      </c>
      <c r="AB553" s="432" t="str">
        <f>Waste!U73</f>
        <v/>
      </c>
      <c r="AC553" s="432" t="str">
        <f>Waste!V73</f>
        <v/>
      </c>
      <c r="AE553" s="432">
        <f t="shared" si="20"/>
        <v>0</v>
      </c>
      <c r="AF553" s="432">
        <f t="shared" si="21"/>
        <v>0</v>
      </c>
    </row>
    <row r="554" spans="2:32" x14ac:dyDescent="0.35">
      <c r="B554" s="432" t="e">
        <f>"2024"&amp;MATCH(Totals!D554,OrgType,0)&amp;"_"&amp;MATCH(Totals!E554,Organisations,0)&amp;"_"&amp;LEFT(Totals!F554,1)&amp;"_"&amp;LEFT(G554,1)&amp;"_"&amp;COUNTIF($G$3:G554,G554)</f>
        <v>#N/A</v>
      </c>
      <c r="C554" s="432">
        <v>2024</v>
      </c>
      <c r="D554" s="432">
        <f>Introduction!$D$7</f>
        <v>0</v>
      </c>
      <c r="E554" s="432">
        <f>Introduction!$D$8</f>
        <v>0</v>
      </c>
      <c r="F554" s="432" t="s">
        <v>73</v>
      </c>
      <c r="G554" s="432" t="s">
        <v>1113</v>
      </c>
      <c r="H554" s="433"/>
      <c r="I554" s="432">
        <f>Waste!B74</f>
        <v>0</v>
      </c>
      <c r="J554" s="432">
        <f>Waste!C74</f>
        <v>0</v>
      </c>
      <c r="K554" s="432">
        <f>Waste!D74</f>
        <v>0</v>
      </c>
      <c r="L554" s="432">
        <f>Waste!E74</f>
        <v>0</v>
      </c>
      <c r="M554" s="432" t="str">
        <f>Waste!F74</f>
        <v/>
      </c>
      <c r="N554" s="432">
        <f>Waste!G74</f>
        <v>0</v>
      </c>
      <c r="O554" s="432">
        <f>Waste!H74</f>
        <v>0</v>
      </c>
      <c r="P554" s="432" t="str">
        <f>Waste!I74</f>
        <v/>
      </c>
      <c r="Q554" s="432" t="str">
        <f>Waste!J74</f>
        <v/>
      </c>
      <c r="R554" s="432" t="str">
        <f>Waste!K74</f>
        <v/>
      </c>
      <c r="S554" s="432">
        <f>Waste!L74</f>
        <v>0</v>
      </c>
      <c r="T554" s="432">
        <f>Waste!M74</f>
        <v>0</v>
      </c>
      <c r="U554" s="432">
        <f>Waste!N74</f>
        <v>0</v>
      </c>
      <c r="V554" s="432" t="str">
        <f>Waste!O74</f>
        <v/>
      </c>
      <c r="W554" s="432" t="str">
        <f>Waste!P74</f>
        <v/>
      </c>
      <c r="X554" s="432" t="str">
        <f>Waste!Q74</f>
        <v/>
      </c>
      <c r="Y554" s="432" t="str">
        <f>Waste!R74</f>
        <v/>
      </c>
      <c r="Z554" s="432" t="str">
        <f>Waste!S74</f>
        <v/>
      </c>
      <c r="AA554" s="432" t="str">
        <f>Waste!T74</f>
        <v/>
      </c>
      <c r="AB554" s="432" t="str">
        <f>Waste!U74</f>
        <v/>
      </c>
      <c r="AC554" s="432" t="str">
        <f>Waste!V74</f>
        <v/>
      </c>
      <c r="AE554" s="432">
        <f t="shared" si="20"/>
        <v>0</v>
      </c>
      <c r="AF554" s="432">
        <f t="shared" si="21"/>
        <v>0</v>
      </c>
    </row>
    <row r="555" spans="2:32" x14ac:dyDescent="0.35">
      <c r="B555" s="432" t="e">
        <f>"2024"&amp;MATCH(Totals!D555,OrgType,0)&amp;"_"&amp;MATCH(Totals!E555,Organisations,0)&amp;"_"&amp;LEFT(Totals!F555,1)&amp;"_"&amp;LEFT(G555,1)&amp;"_"&amp;COUNTIF($G$3:G555,G555)</f>
        <v>#N/A</v>
      </c>
      <c r="C555" s="432">
        <v>2024</v>
      </c>
      <c r="D555" s="432">
        <f>Introduction!$D$7</f>
        <v>0</v>
      </c>
      <c r="E555" s="432">
        <f>Introduction!$D$8</f>
        <v>0</v>
      </c>
      <c r="F555" s="432" t="s">
        <v>73</v>
      </c>
      <c r="G555" s="432" t="s">
        <v>1113</v>
      </c>
      <c r="H555" s="433"/>
      <c r="I555" s="432">
        <f>Waste!B75</f>
        <v>0</v>
      </c>
      <c r="J555" s="432">
        <f>Waste!C75</f>
        <v>0</v>
      </c>
      <c r="K555" s="432">
        <f>Waste!D75</f>
        <v>0</v>
      </c>
      <c r="L555" s="432">
        <f>Waste!E75</f>
        <v>0</v>
      </c>
      <c r="M555" s="432" t="str">
        <f>Waste!F75</f>
        <v/>
      </c>
      <c r="N555" s="432">
        <f>Waste!G75</f>
        <v>0</v>
      </c>
      <c r="O555" s="432">
        <f>Waste!H75</f>
        <v>0</v>
      </c>
      <c r="P555" s="432" t="str">
        <f>Waste!I75</f>
        <v/>
      </c>
      <c r="Q555" s="432" t="str">
        <f>Waste!J75</f>
        <v/>
      </c>
      <c r="R555" s="432" t="str">
        <f>Waste!K75</f>
        <v/>
      </c>
      <c r="S555" s="432">
        <f>Waste!L75</f>
        <v>0</v>
      </c>
      <c r="T555" s="432">
        <f>Waste!M75</f>
        <v>0</v>
      </c>
      <c r="U555" s="432">
        <f>Waste!N75</f>
        <v>0</v>
      </c>
      <c r="V555" s="432" t="str">
        <f>Waste!O75</f>
        <v/>
      </c>
      <c r="W555" s="432" t="str">
        <f>Waste!P75</f>
        <v/>
      </c>
      <c r="X555" s="432" t="str">
        <f>Waste!Q75</f>
        <v/>
      </c>
      <c r="Y555" s="432" t="str">
        <f>Waste!R75</f>
        <v/>
      </c>
      <c r="Z555" s="432" t="str">
        <f>Waste!S75</f>
        <v/>
      </c>
      <c r="AA555" s="432" t="str">
        <f>Waste!T75</f>
        <v/>
      </c>
      <c r="AB555" s="432" t="str">
        <f>Waste!U75</f>
        <v/>
      </c>
      <c r="AC555" s="432" t="str">
        <f>Waste!V75</f>
        <v/>
      </c>
      <c r="AE555" s="432">
        <f t="shared" si="20"/>
        <v>0</v>
      </c>
      <c r="AF555" s="432">
        <f t="shared" si="21"/>
        <v>0</v>
      </c>
    </row>
    <row r="556" spans="2:32" x14ac:dyDescent="0.35">
      <c r="B556" s="432" t="e">
        <f>"2024"&amp;MATCH(Totals!D556,OrgType,0)&amp;"_"&amp;MATCH(Totals!E556,Organisations,0)&amp;"_"&amp;LEFT(Totals!F556,1)&amp;"_"&amp;LEFT(G556,1)&amp;"_"&amp;COUNTIF($G$3:G556,G556)</f>
        <v>#N/A</v>
      </c>
      <c r="C556" s="432">
        <v>2024</v>
      </c>
      <c r="D556" s="432">
        <f>Introduction!$D$7</f>
        <v>0</v>
      </c>
      <c r="E556" s="432">
        <f>Introduction!$D$8</f>
        <v>0</v>
      </c>
      <c r="F556" s="432" t="s">
        <v>73</v>
      </c>
      <c r="G556" s="432" t="s">
        <v>1113</v>
      </c>
      <c r="H556" s="433"/>
      <c r="I556" s="432">
        <f>Waste!B76</f>
        <v>0</v>
      </c>
      <c r="J556" s="432">
        <f>Waste!C76</f>
        <v>0</v>
      </c>
      <c r="K556" s="432">
        <f>Waste!D76</f>
        <v>0</v>
      </c>
      <c r="L556" s="432">
        <f>Waste!E76</f>
        <v>0</v>
      </c>
      <c r="M556" s="432" t="str">
        <f>Waste!F76</f>
        <v/>
      </c>
      <c r="N556" s="432">
        <f>Waste!G76</f>
        <v>0</v>
      </c>
      <c r="O556" s="432">
        <f>Waste!H76</f>
        <v>0</v>
      </c>
      <c r="P556" s="432" t="str">
        <f>Waste!I76</f>
        <v/>
      </c>
      <c r="Q556" s="432" t="str">
        <f>Waste!J76</f>
        <v/>
      </c>
      <c r="R556" s="432" t="str">
        <f>Waste!K76</f>
        <v/>
      </c>
      <c r="S556" s="432">
        <f>Waste!L76</f>
        <v>0</v>
      </c>
      <c r="T556" s="432">
        <f>Waste!M76</f>
        <v>0</v>
      </c>
      <c r="U556" s="432">
        <f>Waste!N76</f>
        <v>0</v>
      </c>
      <c r="V556" s="432" t="str">
        <f>Waste!O76</f>
        <v/>
      </c>
      <c r="W556" s="432" t="str">
        <f>Waste!P76</f>
        <v/>
      </c>
      <c r="X556" s="432" t="str">
        <f>Waste!Q76</f>
        <v/>
      </c>
      <c r="Y556" s="432" t="str">
        <f>Waste!R76</f>
        <v/>
      </c>
      <c r="Z556" s="432" t="str">
        <f>Waste!S76</f>
        <v/>
      </c>
      <c r="AA556" s="432" t="str">
        <f>Waste!T76</f>
        <v/>
      </c>
      <c r="AB556" s="432" t="str">
        <f>Waste!U76</f>
        <v/>
      </c>
      <c r="AC556" s="432" t="str">
        <f>Waste!V76</f>
        <v/>
      </c>
      <c r="AE556" s="432">
        <f t="shared" si="20"/>
        <v>0</v>
      </c>
      <c r="AF556" s="432">
        <f t="shared" si="21"/>
        <v>0</v>
      </c>
    </row>
    <row r="557" spans="2:32" x14ac:dyDescent="0.35">
      <c r="B557" s="432" t="e">
        <f>"2024"&amp;MATCH(Totals!D557,OrgType,0)&amp;"_"&amp;MATCH(Totals!E557,Organisations,0)&amp;"_"&amp;LEFT(Totals!F557,1)&amp;"_"&amp;LEFT(G557,1)&amp;"_"&amp;COUNTIF($G$3:G557,G557)</f>
        <v>#N/A</v>
      </c>
      <c r="C557" s="432">
        <v>2024</v>
      </c>
      <c r="D557" s="432">
        <f>Introduction!$D$7</f>
        <v>0</v>
      </c>
      <c r="E557" s="432">
        <f>Introduction!$D$8</f>
        <v>0</v>
      </c>
      <c r="F557" s="432" t="s">
        <v>73</v>
      </c>
      <c r="G557" s="432" t="s">
        <v>1113</v>
      </c>
      <c r="H557" s="433"/>
      <c r="I557" s="432">
        <f>Waste!B77</f>
        <v>0</v>
      </c>
      <c r="J557" s="432">
        <f>Waste!C77</f>
        <v>0</v>
      </c>
      <c r="K557" s="432">
        <f>Waste!D77</f>
        <v>0</v>
      </c>
      <c r="L557" s="432">
        <f>Waste!E77</f>
        <v>0</v>
      </c>
      <c r="M557" s="432" t="str">
        <f>Waste!F77</f>
        <v/>
      </c>
      <c r="N557" s="432">
        <f>Waste!G77</f>
        <v>0</v>
      </c>
      <c r="O557" s="432">
        <f>Waste!H77</f>
        <v>0</v>
      </c>
      <c r="P557" s="432" t="str">
        <f>Waste!I77</f>
        <v/>
      </c>
      <c r="Q557" s="432" t="str">
        <f>Waste!J77</f>
        <v/>
      </c>
      <c r="R557" s="432" t="str">
        <f>Waste!K77</f>
        <v/>
      </c>
      <c r="S557" s="432">
        <f>Waste!L77</f>
        <v>0</v>
      </c>
      <c r="T557" s="432">
        <f>Waste!M77</f>
        <v>0</v>
      </c>
      <c r="U557" s="432">
        <f>Waste!N77</f>
        <v>0</v>
      </c>
      <c r="V557" s="432" t="str">
        <f>Waste!O77</f>
        <v/>
      </c>
      <c r="W557" s="432" t="str">
        <f>Waste!P77</f>
        <v/>
      </c>
      <c r="X557" s="432" t="str">
        <f>Waste!Q77</f>
        <v/>
      </c>
      <c r="Y557" s="432" t="str">
        <f>Waste!R77</f>
        <v/>
      </c>
      <c r="Z557" s="432" t="str">
        <f>Waste!S77</f>
        <v/>
      </c>
      <c r="AA557" s="432" t="str">
        <f>Waste!T77</f>
        <v/>
      </c>
      <c r="AB557" s="432" t="str">
        <f>Waste!U77</f>
        <v/>
      </c>
      <c r="AC557" s="432" t="str">
        <f>Waste!V77</f>
        <v/>
      </c>
      <c r="AE557" s="432">
        <f t="shared" si="20"/>
        <v>0</v>
      </c>
      <c r="AF557" s="432">
        <f t="shared" si="21"/>
        <v>0</v>
      </c>
    </row>
    <row r="558" spans="2:32" x14ac:dyDescent="0.35">
      <c r="B558" s="432" t="e">
        <f>"2024"&amp;MATCH(Totals!D558,OrgType,0)&amp;"_"&amp;MATCH(Totals!E558,Organisations,0)&amp;"_"&amp;LEFT(Totals!F558,1)&amp;"_"&amp;LEFT(G558,1)&amp;"_"&amp;COUNTIF($G$3:G558,G558)</f>
        <v>#N/A</v>
      </c>
      <c r="C558" s="432">
        <v>2024</v>
      </c>
      <c r="D558" s="432">
        <f>Introduction!$D$7</f>
        <v>0</v>
      </c>
      <c r="E558" s="432">
        <f>Introduction!$D$8</f>
        <v>0</v>
      </c>
      <c r="F558" s="432" t="s">
        <v>73</v>
      </c>
      <c r="G558" s="432" t="s">
        <v>1113</v>
      </c>
      <c r="H558" s="433"/>
      <c r="I558" s="432">
        <f>Waste!B78</f>
        <v>0</v>
      </c>
      <c r="J558" s="432">
        <f>Waste!C78</f>
        <v>0</v>
      </c>
      <c r="K558" s="432">
        <f>Waste!D78</f>
        <v>0</v>
      </c>
      <c r="L558" s="432">
        <f>Waste!E78</f>
        <v>0</v>
      </c>
      <c r="M558" s="432" t="str">
        <f>Waste!F78</f>
        <v/>
      </c>
      <c r="N558" s="432">
        <f>Waste!G78</f>
        <v>0</v>
      </c>
      <c r="O558" s="432">
        <f>Waste!H78</f>
        <v>0</v>
      </c>
      <c r="P558" s="432" t="str">
        <f>Waste!I78</f>
        <v/>
      </c>
      <c r="Q558" s="432" t="str">
        <f>Waste!J78</f>
        <v/>
      </c>
      <c r="R558" s="432" t="str">
        <f>Waste!K78</f>
        <v/>
      </c>
      <c r="S558" s="432">
        <f>Waste!L78</f>
        <v>0</v>
      </c>
      <c r="T558" s="432">
        <f>Waste!M78</f>
        <v>0</v>
      </c>
      <c r="U558" s="432">
        <f>Waste!N78</f>
        <v>0</v>
      </c>
      <c r="V558" s="432" t="str">
        <f>Waste!O78</f>
        <v/>
      </c>
      <c r="W558" s="432" t="str">
        <f>Waste!P78</f>
        <v/>
      </c>
      <c r="X558" s="432" t="str">
        <f>Waste!Q78</f>
        <v/>
      </c>
      <c r="Y558" s="432" t="str">
        <f>Waste!R78</f>
        <v/>
      </c>
      <c r="Z558" s="432" t="str">
        <f>Waste!S78</f>
        <v/>
      </c>
      <c r="AA558" s="432" t="str">
        <f>Waste!T78</f>
        <v/>
      </c>
      <c r="AB558" s="432" t="str">
        <f>Waste!U78</f>
        <v/>
      </c>
      <c r="AC558" s="432" t="str">
        <f>Waste!V78</f>
        <v/>
      </c>
      <c r="AE558" s="432">
        <f t="shared" si="20"/>
        <v>0</v>
      </c>
      <c r="AF558" s="432">
        <f t="shared" si="21"/>
        <v>0</v>
      </c>
    </row>
    <row r="559" spans="2:32" x14ac:dyDescent="0.35">
      <c r="B559" s="432" t="e">
        <f>"2024"&amp;MATCH(Totals!D559,OrgType,0)&amp;"_"&amp;MATCH(Totals!E559,Organisations,0)&amp;"_"&amp;LEFT(Totals!F559,1)&amp;"_"&amp;LEFT(G559,1)&amp;"_"&amp;COUNTIF($G$3:G559,G559)</f>
        <v>#N/A</v>
      </c>
      <c r="C559" s="432">
        <v>2024</v>
      </c>
      <c r="D559" s="432">
        <f>Introduction!$D$7</f>
        <v>0</v>
      </c>
      <c r="E559" s="432">
        <f>Introduction!$D$8</f>
        <v>0</v>
      </c>
      <c r="F559" s="432" t="s">
        <v>73</v>
      </c>
      <c r="G559" s="432" t="s">
        <v>1113</v>
      </c>
      <c r="H559" s="433"/>
      <c r="I559" s="432">
        <f>Waste!B79</f>
        <v>0</v>
      </c>
      <c r="J559" s="432">
        <f>Waste!C79</f>
        <v>0</v>
      </c>
      <c r="K559" s="432">
        <f>Waste!D79</f>
        <v>0</v>
      </c>
      <c r="L559" s="432">
        <f>Waste!E79</f>
        <v>0</v>
      </c>
      <c r="M559" s="432" t="str">
        <f>Waste!F79</f>
        <v/>
      </c>
      <c r="N559" s="432">
        <f>Waste!G79</f>
        <v>0</v>
      </c>
      <c r="O559" s="432">
        <f>Waste!H79</f>
        <v>0</v>
      </c>
      <c r="P559" s="432" t="str">
        <f>Waste!I79</f>
        <v/>
      </c>
      <c r="Q559" s="432" t="str">
        <f>Waste!J79</f>
        <v/>
      </c>
      <c r="R559" s="432" t="str">
        <f>Waste!K79</f>
        <v/>
      </c>
      <c r="S559" s="432">
        <f>Waste!L79</f>
        <v>0</v>
      </c>
      <c r="T559" s="432">
        <f>Waste!M79</f>
        <v>0</v>
      </c>
      <c r="U559" s="432">
        <f>Waste!N79</f>
        <v>0</v>
      </c>
      <c r="V559" s="432" t="str">
        <f>Waste!O79</f>
        <v/>
      </c>
      <c r="W559" s="432" t="str">
        <f>Waste!P79</f>
        <v/>
      </c>
      <c r="X559" s="432" t="str">
        <f>Waste!Q79</f>
        <v/>
      </c>
      <c r="Y559" s="432" t="str">
        <f>Waste!R79</f>
        <v/>
      </c>
      <c r="Z559" s="432" t="str">
        <f>Waste!S79</f>
        <v/>
      </c>
      <c r="AA559" s="432" t="str">
        <f>Waste!T79</f>
        <v/>
      </c>
      <c r="AB559" s="432" t="str">
        <f>Waste!U79</f>
        <v/>
      </c>
      <c r="AC559" s="432" t="str">
        <f>Waste!V79</f>
        <v/>
      </c>
      <c r="AE559" s="432">
        <f t="shared" si="20"/>
        <v>0</v>
      </c>
      <c r="AF559" s="432">
        <f t="shared" si="21"/>
        <v>0</v>
      </c>
    </row>
    <row r="560" spans="2:32" x14ac:dyDescent="0.35">
      <c r="B560" s="432" t="e">
        <f>"2024"&amp;MATCH(Totals!D560,OrgType,0)&amp;"_"&amp;MATCH(Totals!E560,Organisations,0)&amp;"_"&amp;LEFT(Totals!F560,1)&amp;"_"&amp;LEFT(G560,1)&amp;"_"&amp;COUNTIF($G$3:G560,G560)</f>
        <v>#N/A</v>
      </c>
      <c r="C560" s="432">
        <v>2024</v>
      </c>
      <c r="D560" s="432">
        <f>Introduction!$D$7</f>
        <v>0</v>
      </c>
      <c r="E560" s="432">
        <f>Introduction!$D$8</f>
        <v>0</v>
      </c>
      <c r="F560" s="432" t="s">
        <v>73</v>
      </c>
      <c r="G560" s="432" t="s">
        <v>1113</v>
      </c>
      <c r="H560" s="433"/>
      <c r="I560" s="432">
        <f>Waste!B80</f>
        <v>0</v>
      </c>
      <c r="J560" s="432">
        <f>Waste!C80</f>
        <v>0</v>
      </c>
      <c r="K560" s="432">
        <f>Waste!D80</f>
        <v>0</v>
      </c>
      <c r="L560" s="432">
        <f>Waste!E80</f>
        <v>0</v>
      </c>
      <c r="M560" s="432" t="str">
        <f>Waste!F80</f>
        <v/>
      </c>
      <c r="N560" s="432">
        <f>Waste!G80</f>
        <v>0</v>
      </c>
      <c r="O560" s="432">
        <f>Waste!H80</f>
        <v>0</v>
      </c>
      <c r="P560" s="432" t="str">
        <f>Waste!I80</f>
        <v/>
      </c>
      <c r="Q560" s="432" t="str">
        <f>Waste!J80</f>
        <v/>
      </c>
      <c r="R560" s="432" t="str">
        <f>Waste!K80</f>
        <v/>
      </c>
      <c r="S560" s="432">
        <f>Waste!L80</f>
        <v>0</v>
      </c>
      <c r="T560" s="432">
        <f>Waste!M80</f>
        <v>0</v>
      </c>
      <c r="U560" s="432">
        <f>Waste!N80</f>
        <v>0</v>
      </c>
      <c r="V560" s="432" t="str">
        <f>Waste!O80</f>
        <v/>
      </c>
      <c r="W560" s="432" t="str">
        <f>Waste!P80</f>
        <v/>
      </c>
      <c r="X560" s="432" t="str">
        <f>Waste!Q80</f>
        <v/>
      </c>
      <c r="Y560" s="432" t="str">
        <f>Waste!R80</f>
        <v/>
      </c>
      <c r="Z560" s="432" t="str">
        <f>Waste!S80</f>
        <v/>
      </c>
      <c r="AA560" s="432" t="str">
        <f>Waste!T80</f>
        <v/>
      </c>
      <c r="AB560" s="432" t="str">
        <f>Waste!U80</f>
        <v/>
      </c>
      <c r="AC560" s="432" t="str">
        <f>Waste!V80</f>
        <v/>
      </c>
      <c r="AE560" s="432">
        <f t="shared" si="20"/>
        <v>0</v>
      </c>
      <c r="AF560" s="432">
        <f t="shared" si="21"/>
        <v>0</v>
      </c>
    </row>
    <row r="561" spans="2:32" x14ac:dyDescent="0.35">
      <c r="B561" s="432" t="e">
        <f>"2024"&amp;MATCH(Totals!D561,OrgType,0)&amp;"_"&amp;MATCH(Totals!E561,Organisations,0)&amp;"_"&amp;LEFT(Totals!F561,1)&amp;"_"&amp;LEFT(G561,1)&amp;"_"&amp;COUNTIF($G$3:G561,G561)</f>
        <v>#N/A</v>
      </c>
      <c r="C561" s="432">
        <v>2024</v>
      </c>
      <c r="D561" s="432">
        <f>Introduction!$D$7</f>
        <v>0</v>
      </c>
      <c r="E561" s="432">
        <f>Introduction!$D$8</f>
        <v>0</v>
      </c>
      <c r="F561" s="432" t="s">
        <v>73</v>
      </c>
      <c r="G561" s="432" t="s">
        <v>1114</v>
      </c>
      <c r="H561" s="433"/>
      <c r="I561" s="432">
        <f>Waste!B84</f>
        <v>0</v>
      </c>
      <c r="J561" s="432">
        <f>Waste!C84</f>
        <v>0</v>
      </c>
      <c r="K561" s="432">
        <f>Waste!D84</f>
        <v>0</v>
      </c>
      <c r="L561" s="432">
        <f>Waste!E84</f>
        <v>0</v>
      </c>
      <c r="M561" s="432" t="str">
        <f>Waste!F84</f>
        <v/>
      </c>
      <c r="N561" s="432">
        <f>Waste!G84</f>
        <v>0</v>
      </c>
      <c r="O561" s="432">
        <f>Waste!H84</f>
        <v>0</v>
      </c>
      <c r="P561" s="432" t="str">
        <f>Waste!I84</f>
        <v/>
      </c>
      <c r="Q561" s="432" t="str">
        <f>Waste!J84</f>
        <v/>
      </c>
      <c r="R561" s="432" t="str">
        <f>Waste!K84</f>
        <v/>
      </c>
      <c r="S561" s="432">
        <f>Waste!L84</f>
        <v>0</v>
      </c>
      <c r="T561" s="432">
        <f>Waste!M84</f>
        <v>0</v>
      </c>
      <c r="U561" s="432">
        <f>Waste!N84</f>
        <v>0</v>
      </c>
      <c r="V561" s="432" t="str">
        <f>Waste!O84</f>
        <v/>
      </c>
      <c r="W561" s="432" t="str">
        <f>Waste!P84</f>
        <v/>
      </c>
      <c r="X561" s="432" t="str">
        <f>Waste!Q84</f>
        <v/>
      </c>
      <c r="Y561" s="432" t="str">
        <f>Waste!R84</f>
        <v/>
      </c>
      <c r="Z561" s="432" t="str">
        <f>Waste!S84</f>
        <v/>
      </c>
      <c r="AA561" s="432" t="str">
        <f>Waste!T84</f>
        <v/>
      </c>
      <c r="AB561" s="432" t="str">
        <f>Waste!U84</f>
        <v/>
      </c>
      <c r="AC561" s="432" t="str">
        <f>Waste!V84</f>
        <v/>
      </c>
      <c r="AE561" s="432">
        <f t="shared" si="20"/>
        <v>0</v>
      </c>
      <c r="AF561" s="432">
        <f t="shared" si="21"/>
        <v>0</v>
      </c>
    </row>
    <row r="562" spans="2:32" x14ac:dyDescent="0.35">
      <c r="B562" s="432" t="e">
        <f>"2024"&amp;MATCH(Totals!D562,OrgType,0)&amp;"_"&amp;MATCH(Totals!E562,Organisations,0)&amp;"_"&amp;LEFT(Totals!F562,1)&amp;"_"&amp;LEFT(G562,1)&amp;"_"&amp;COUNTIF($G$3:G562,G562)</f>
        <v>#N/A</v>
      </c>
      <c r="C562" s="432">
        <v>2024</v>
      </c>
      <c r="D562" s="432">
        <f>Introduction!$D$7</f>
        <v>0</v>
      </c>
      <c r="E562" s="432">
        <f>Introduction!$D$8</f>
        <v>0</v>
      </c>
      <c r="F562" s="432" t="s">
        <v>73</v>
      </c>
      <c r="G562" s="432" t="s">
        <v>1114</v>
      </c>
      <c r="H562" s="433"/>
      <c r="I562" s="432">
        <f>Waste!B85</f>
        <v>0</v>
      </c>
      <c r="J562" s="432">
        <f>Waste!C85</f>
        <v>0</v>
      </c>
      <c r="K562" s="432">
        <f>Waste!D85</f>
        <v>0</v>
      </c>
      <c r="L562" s="432">
        <f>Waste!E85</f>
        <v>0</v>
      </c>
      <c r="M562" s="432" t="str">
        <f>Waste!F85</f>
        <v/>
      </c>
      <c r="N562" s="432">
        <f>Waste!G85</f>
        <v>0</v>
      </c>
      <c r="O562" s="432">
        <f>Waste!H85</f>
        <v>0</v>
      </c>
      <c r="P562" s="432" t="str">
        <f>Waste!I85</f>
        <v/>
      </c>
      <c r="Q562" s="432" t="str">
        <f>Waste!J85</f>
        <v/>
      </c>
      <c r="R562" s="432" t="str">
        <f>Waste!K85</f>
        <v/>
      </c>
      <c r="S562" s="432">
        <f>Waste!L85</f>
        <v>0</v>
      </c>
      <c r="T562" s="432">
        <f>Waste!M85</f>
        <v>0</v>
      </c>
      <c r="U562" s="432">
        <f>Waste!N85</f>
        <v>0</v>
      </c>
      <c r="V562" s="432" t="str">
        <f>Waste!O85</f>
        <v/>
      </c>
      <c r="W562" s="432" t="str">
        <f>Waste!P85</f>
        <v/>
      </c>
      <c r="X562" s="432" t="str">
        <f>Waste!Q85</f>
        <v/>
      </c>
      <c r="Y562" s="432" t="str">
        <f>Waste!R85</f>
        <v/>
      </c>
      <c r="Z562" s="432" t="str">
        <f>Waste!S85</f>
        <v/>
      </c>
      <c r="AA562" s="432" t="str">
        <f>Waste!T85</f>
        <v/>
      </c>
      <c r="AB562" s="432" t="str">
        <f>Waste!U85</f>
        <v/>
      </c>
      <c r="AC562" s="432" t="str">
        <f>Waste!V85</f>
        <v/>
      </c>
      <c r="AE562" s="432">
        <f t="shared" si="20"/>
        <v>0</v>
      </c>
      <c r="AF562" s="432">
        <f t="shared" si="21"/>
        <v>0</v>
      </c>
    </row>
    <row r="563" spans="2:32" x14ac:dyDescent="0.35">
      <c r="B563" s="432" t="e">
        <f>"2024"&amp;MATCH(Totals!D563,OrgType,0)&amp;"_"&amp;MATCH(Totals!E563,Organisations,0)&amp;"_"&amp;LEFT(Totals!F563,1)&amp;"_"&amp;LEFT(G563,1)&amp;"_"&amp;COUNTIF($G$3:G563,G563)</f>
        <v>#N/A</v>
      </c>
      <c r="C563" s="432">
        <v>2024</v>
      </c>
      <c r="D563" s="432">
        <f>Introduction!$D$7</f>
        <v>0</v>
      </c>
      <c r="E563" s="432">
        <f>Introduction!$D$8</f>
        <v>0</v>
      </c>
      <c r="F563" s="432" t="s">
        <v>73</v>
      </c>
      <c r="G563" s="432" t="s">
        <v>1114</v>
      </c>
      <c r="H563" s="433"/>
      <c r="I563" s="432">
        <f>Waste!B86</f>
        <v>0</v>
      </c>
      <c r="J563" s="432">
        <f>Waste!C86</f>
        <v>0</v>
      </c>
      <c r="K563" s="432">
        <f>Waste!D86</f>
        <v>0</v>
      </c>
      <c r="L563" s="432">
        <f>Waste!E86</f>
        <v>0</v>
      </c>
      <c r="M563" s="432" t="str">
        <f>Waste!F86</f>
        <v/>
      </c>
      <c r="N563" s="432">
        <f>Waste!G86</f>
        <v>0</v>
      </c>
      <c r="O563" s="432">
        <f>Waste!H86</f>
        <v>0</v>
      </c>
      <c r="P563" s="432" t="str">
        <f>Waste!I86</f>
        <v/>
      </c>
      <c r="Q563" s="432" t="str">
        <f>Waste!J86</f>
        <v/>
      </c>
      <c r="R563" s="432" t="str">
        <f>Waste!K86</f>
        <v/>
      </c>
      <c r="S563" s="432">
        <f>Waste!L86</f>
        <v>0</v>
      </c>
      <c r="T563" s="432">
        <f>Waste!M86</f>
        <v>0</v>
      </c>
      <c r="U563" s="432">
        <f>Waste!N86</f>
        <v>0</v>
      </c>
      <c r="V563" s="432" t="str">
        <f>Waste!O86</f>
        <v/>
      </c>
      <c r="W563" s="432" t="str">
        <f>Waste!P86</f>
        <v/>
      </c>
      <c r="X563" s="432" t="str">
        <f>Waste!Q86</f>
        <v/>
      </c>
      <c r="Y563" s="432" t="str">
        <f>Waste!R86</f>
        <v/>
      </c>
      <c r="Z563" s="432" t="str">
        <f>Waste!S86</f>
        <v/>
      </c>
      <c r="AA563" s="432" t="str">
        <f>Waste!T86</f>
        <v/>
      </c>
      <c r="AB563" s="432" t="str">
        <f>Waste!U86</f>
        <v/>
      </c>
      <c r="AC563" s="432" t="str">
        <f>Waste!V86</f>
        <v/>
      </c>
      <c r="AE563" s="432">
        <f t="shared" si="20"/>
        <v>0</v>
      </c>
      <c r="AF563" s="432">
        <f t="shared" si="21"/>
        <v>0</v>
      </c>
    </row>
    <row r="564" spans="2:32" x14ac:dyDescent="0.35">
      <c r="B564" s="432" t="e">
        <f>"2024"&amp;MATCH(Totals!D564,OrgType,0)&amp;"_"&amp;MATCH(Totals!E564,Organisations,0)&amp;"_"&amp;LEFT(Totals!F564,1)&amp;"_"&amp;LEFT(G564,1)&amp;"_"&amp;COUNTIF($G$3:G564,G564)</f>
        <v>#N/A</v>
      </c>
      <c r="C564" s="432">
        <v>2024</v>
      </c>
      <c r="D564" s="432">
        <f>Introduction!$D$7</f>
        <v>0</v>
      </c>
      <c r="E564" s="432">
        <f>Introduction!$D$8</f>
        <v>0</v>
      </c>
      <c r="F564" s="432" t="s">
        <v>73</v>
      </c>
      <c r="G564" s="432" t="s">
        <v>1114</v>
      </c>
      <c r="H564" s="433"/>
      <c r="I564" s="432">
        <f>Waste!B87</f>
        <v>0</v>
      </c>
      <c r="J564" s="432">
        <f>Waste!C87</f>
        <v>0</v>
      </c>
      <c r="K564" s="432">
        <f>Waste!D87</f>
        <v>0</v>
      </c>
      <c r="L564" s="432">
        <f>Waste!E87</f>
        <v>0</v>
      </c>
      <c r="M564" s="432" t="str">
        <f>Waste!F87</f>
        <v/>
      </c>
      <c r="N564" s="432">
        <f>Waste!G87</f>
        <v>0</v>
      </c>
      <c r="O564" s="432">
        <f>Waste!H87</f>
        <v>0</v>
      </c>
      <c r="P564" s="432" t="str">
        <f>Waste!I87</f>
        <v/>
      </c>
      <c r="Q564" s="432" t="str">
        <f>Waste!J87</f>
        <v/>
      </c>
      <c r="R564" s="432" t="str">
        <f>Waste!K87</f>
        <v/>
      </c>
      <c r="S564" s="432">
        <f>Waste!L87</f>
        <v>0</v>
      </c>
      <c r="T564" s="432">
        <f>Waste!M87</f>
        <v>0</v>
      </c>
      <c r="U564" s="432">
        <f>Waste!N87</f>
        <v>0</v>
      </c>
      <c r="V564" s="432" t="str">
        <f>Waste!O87</f>
        <v/>
      </c>
      <c r="W564" s="432" t="str">
        <f>Waste!P87</f>
        <v/>
      </c>
      <c r="X564" s="432" t="str">
        <f>Waste!Q87</f>
        <v/>
      </c>
      <c r="Y564" s="432" t="str">
        <f>Waste!R87</f>
        <v/>
      </c>
      <c r="Z564" s="432" t="str">
        <f>Waste!S87</f>
        <v/>
      </c>
      <c r="AA564" s="432" t="str">
        <f>Waste!T87</f>
        <v/>
      </c>
      <c r="AB564" s="432" t="str">
        <f>Waste!U87</f>
        <v/>
      </c>
      <c r="AC564" s="432" t="str">
        <f>Waste!V87</f>
        <v/>
      </c>
      <c r="AE564" s="432">
        <f t="shared" si="20"/>
        <v>0</v>
      </c>
      <c r="AF564" s="432">
        <f t="shared" si="21"/>
        <v>0</v>
      </c>
    </row>
    <row r="565" spans="2:32" x14ac:dyDescent="0.35">
      <c r="B565" s="432" t="e">
        <f>"2024"&amp;MATCH(Totals!D565,OrgType,0)&amp;"_"&amp;MATCH(Totals!E565,Organisations,0)&amp;"_"&amp;LEFT(Totals!F565,1)&amp;"_"&amp;LEFT(G565,1)&amp;"_"&amp;COUNTIF($G$3:G565,G565)</f>
        <v>#N/A</v>
      </c>
      <c r="C565" s="432">
        <v>2024</v>
      </c>
      <c r="D565" s="432">
        <f>Introduction!$D$7</f>
        <v>0</v>
      </c>
      <c r="E565" s="432">
        <f>Introduction!$D$8</f>
        <v>0</v>
      </c>
      <c r="F565" s="432" t="s">
        <v>73</v>
      </c>
      <c r="G565" s="432" t="s">
        <v>1114</v>
      </c>
      <c r="H565" s="433"/>
      <c r="I565" s="432">
        <f>Waste!B88</f>
        <v>0</v>
      </c>
      <c r="J565" s="432">
        <f>Waste!C88</f>
        <v>0</v>
      </c>
      <c r="K565" s="432">
        <f>Waste!D88</f>
        <v>0</v>
      </c>
      <c r="L565" s="432">
        <f>Waste!E88</f>
        <v>0</v>
      </c>
      <c r="M565" s="432" t="str">
        <f>Waste!F88</f>
        <v/>
      </c>
      <c r="N565" s="432">
        <f>Waste!G88</f>
        <v>0</v>
      </c>
      <c r="O565" s="432">
        <f>Waste!H88</f>
        <v>0</v>
      </c>
      <c r="P565" s="432" t="str">
        <f>Waste!I88</f>
        <v/>
      </c>
      <c r="Q565" s="432" t="str">
        <f>Waste!J88</f>
        <v/>
      </c>
      <c r="R565" s="432" t="str">
        <f>Waste!K88</f>
        <v/>
      </c>
      <c r="S565" s="432">
        <f>Waste!L88</f>
        <v>0</v>
      </c>
      <c r="T565" s="432">
        <f>Waste!M88</f>
        <v>0</v>
      </c>
      <c r="U565" s="432">
        <f>Waste!N88</f>
        <v>0</v>
      </c>
      <c r="V565" s="432" t="str">
        <f>Waste!O88</f>
        <v/>
      </c>
      <c r="W565" s="432" t="str">
        <f>Waste!P88</f>
        <v/>
      </c>
      <c r="X565" s="432" t="str">
        <f>Waste!Q88</f>
        <v/>
      </c>
      <c r="Y565" s="432" t="str">
        <f>Waste!R88</f>
        <v/>
      </c>
      <c r="Z565" s="432" t="str">
        <f>Waste!S88</f>
        <v/>
      </c>
      <c r="AA565" s="432" t="str">
        <f>Waste!T88</f>
        <v/>
      </c>
      <c r="AB565" s="432" t="str">
        <f>Waste!U88</f>
        <v/>
      </c>
      <c r="AC565" s="432" t="str">
        <f>Waste!V88</f>
        <v/>
      </c>
      <c r="AE565" s="432">
        <f t="shared" ref="AE565:AE628" si="22">IF(AND(R565="",N565&lt;&gt;0),1,0)</f>
        <v>0</v>
      </c>
      <c r="AF565" s="432">
        <f t="shared" ref="AF565:AF628" si="23">IF(AND(S565="",N565&lt;&gt;0),1,0)</f>
        <v>0</v>
      </c>
    </row>
    <row r="566" spans="2:32" x14ac:dyDescent="0.35">
      <c r="B566" s="432" t="e">
        <f>"2024"&amp;MATCH(Totals!D566,OrgType,0)&amp;"_"&amp;MATCH(Totals!E566,Organisations,0)&amp;"_"&amp;LEFT(Totals!F566,1)&amp;"_"&amp;LEFT(G566,1)&amp;"_"&amp;COUNTIF($G$3:G566,G566)</f>
        <v>#N/A</v>
      </c>
      <c r="C566" s="432">
        <v>2024</v>
      </c>
      <c r="D566" s="432">
        <f>Introduction!$D$7</f>
        <v>0</v>
      </c>
      <c r="E566" s="432">
        <f>Introduction!$D$8</f>
        <v>0</v>
      </c>
      <c r="F566" s="432" t="s">
        <v>73</v>
      </c>
      <c r="G566" s="432" t="s">
        <v>1114</v>
      </c>
      <c r="H566" s="433"/>
      <c r="I566" s="432">
        <f>Waste!B89</f>
        <v>0</v>
      </c>
      <c r="J566" s="432">
        <f>Waste!C89</f>
        <v>0</v>
      </c>
      <c r="K566" s="432">
        <f>Waste!D89</f>
        <v>0</v>
      </c>
      <c r="L566" s="432">
        <f>Waste!E89</f>
        <v>0</v>
      </c>
      <c r="M566" s="432" t="str">
        <f>Waste!F89</f>
        <v/>
      </c>
      <c r="N566" s="432">
        <f>Waste!G89</f>
        <v>0</v>
      </c>
      <c r="O566" s="432">
        <f>Waste!H89</f>
        <v>0</v>
      </c>
      <c r="P566" s="432" t="str">
        <f>Waste!I89</f>
        <v/>
      </c>
      <c r="Q566" s="432" t="str">
        <f>Waste!J89</f>
        <v/>
      </c>
      <c r="R566" s="432" t="str">
        <f>Waste!K89</f>
        <v/>
      </c>
      <c r="S566" s="432">
        <f>Waste!L89</f>
        <v>0</v>
      </c>
      <c r="T566" s="432">
        <f>Waste!M89</f>
        <v>0</v>
      </c>
      <c r="U566" s="432">
        <f>Waste!N89</f>
        <v>0</v>
      </c>
      <c r="V566" s="432" t="str">
        <f>Waste!O89</f>
        <v/>
      </c>
      <c r="W566" s="432" t="str">
        <f>Waste!P89</f>
        <v/>
      </c>
      <c r="X566" s="432" t="str">
        <f>Waste!Q89</f>
        <v/>
      </c>
      <c r="Y566" s="432" t="str">
        <f>Waste!R89</f>
        <v/>
      </c>
      <c r="Z566" s="432" t="str">
        <f>Waste!S89</f>
        <v/>
      </c>
      <c r="AA566" s="432" t="str">
        <f>Waste!T89</f>
        <v/>
      </c>
      <c r="AB566" s="432" t="str">
        <f>Waste!U89</f>
        <v/>
      </c>
      <c r="AC566" s="432" t="str">
        <f>Waste!V89</f>
        <v/>
      </c>
      <c r="AE566" s="432">
        <f t="shared" si="22"/>
        <v>0</v>
      </c>
      <c r="AF566" s="432">
        <f t="shared" si="23"/>
        <v>0</v>
      </c>
    </row>
    <row r="567" spans="2:32" x14ac:dyDescent="0.35">
      <c r="B567" s="432" t="e">
        <f>"2024"&amp;MATCH(Totals!D567,OrgType,0)&amp;"_"&amp;MATCH(Totals!E567,Organisations,0)&amp;"_"&amp;LEFT(Totals!F567,1)&amp;"_"&amp;LEFT(G567,1)&amp;"_"&amp;COUNTIF($G$3:G567,G567)</f>
        <v>#N/A</v>
      </c>
      <c r="C567" s="432">
        <v>2024</v>
      </c>
      <c r="D567" s="432">
        <f>Introduction!$D$7</f>
        <v>0</v>
      </c>
      <c r="E567" s="432">
        <f>Introduction!$D$8</f>
        <v>0</v>
      </c>
      <c r="F567" s="432" t="s">
        <v>73</v>
      </c>
      <c r="G567" s="432" t="s">
        <v>1114</v>
      </c>
      <c r="H567" s="433"/>
      <c r="I567" s="432">
        <f>Waste!B90</f>
        <v>0</v>
      </c>
      <c r="J567" s="432">
        <f>Waste!C90</f>
        <v>0</v>
      </c>
      <c r="K567" s="432">
        <f>Waste!D90</f>
        <v>0</v>
      </c>
      <c r="L567" s="432">
        <f>Waste!E90</f>
        <v>0</v>
      </c>
      <c r="M567" s="432" t="str">
        <f>Waste!F90</f>
        <v/>
      </c>
      <c r="N567" s="432">
        <f>Waste!G90</f>
        <v>0</v>
      </c>
      <c r="O567" s="432">
        <f>Waste!H90</f>
        <v>0</v>
      </c>
      <c r="P567" s="432" t="str">
        <f>Waste!I90</f>
        <v/>
      </c>
      <c r="Q567" s="432" t="str">
        <f>Waste!J90</f>
        <v/>
      </c>
      <c r="R567" s="432" t="str">
        <f>Waste!K90</f>
        <v/>
      </c>
      <c r="S567" s="432">
        <f>Waste!L90</f>
        <v>0</v>
      </c>
      <c r="T567" s="432">
        <f>Waste!M90</f>
        <v>0</v>
      </c>
      <c r="U567" s="432">
        <f>Waste!N90</f>
        <v>0</v>
      </c>
      <c r="V567" s="432" t="str">
        <f>Waste!O90</f>
        <v/>
      </c>
      <c r="W567" s="432" t="str">
        <f>Waste!P90</f>
        <v/>
      </c>
      <c r="X567" s="432" t="str">
        <f>Waste!Q90</f>
        <v/>
      </c>
      <c r="Y567" s="432" t="str">
        <f>Waste!R90</f>
        <v/>
      </c>
      <c r="Z567" s="432" t="str">
        <f>Waste!S90</f>
        <v/>
      </c>
      <c r="AA567" s="432" t="str">
        <f>Waste!T90</f>
        <v/>
      </c>
      <c r="AB567" s="432" t="str">
        <f>Waste!U90</f>
        <v/>
      </c>
      <c r="AC567" s="432" t="str">
        <f>Waste!V90</f>
        <v/>
      </c>
      <c r="AE567" s="432">
        <f t="shared" si="22"/>
        <v>0</v>
      </c>
      <c r="AF567" s="432">
        <f t="shared" si="23"/>
        <v>0</v>
      </c>
    </row>
    <row r="568" spans="2:32" x14ac:dyDescent="0.35">
      <c r="B568" s="432" t="e">
        <f>"2024"&amp;MATCH(Totals!D568,OrgType,0)&amp;"_"&amp;MATCH(Totals!E568,Organisations,0)&amp;"_"&amp;LEFT(Totals!F568,1)&amp;"_"&amp;LEFT(G568,1)&amp;"_"&amp;COUNTIF($G$3:G568,G568)</f>
        <v>#N/A</v>
      </c>
      <c r="C568" s="432">
        <v>2024</v>
      </c>
      <c r="D568" s="432">
        <f>Introduction!$D$7</f>
        <v>0</v>
      </c>
      <c r="E568" s="432">
        <f>Introduction!$D$8</f>
        <v>0</v>
      </c>
      <c r="F568" s="432" t="s">
        <v>73</v>
      </c>
      <c r="G568" s="432" t="s">
        <v>1114</v>
      </c>
      <c r="H568" s="433"/>
      <c r="I568" s="432">
        <f>Waste!B91</f>
        <v>0</v>
      </c>
      <c r="J568" s="432">
        <f>Waste!C91</f>
        <v>0</v>
      </c>
      <c r="K568" s="432">
        <f>Waste!D91</f>
        <v>0</v>
      </c>
      <c r="L568" s="432">
        <f>Waste!E91</f>
        <v>0</v>
      </c>
      <c r="M568" s="432" t="str">
        <f>Waste!F91</f>
        <v/>
      </c>
      <c r="N568" s="432">
        <f>Waste!G91</f>
        <v>0</v>
      </c>
      <c r="O568" s="432">
        <f>Waste!H91</f>
        <v>0</v>
      </c>
      <c r="P568" s="432" t="str">
        <f>Waste!I91</f>
        <v/>
      </c>
      <c r="Q568" s="432" t="str">
        <f>Waste!J91</f>
        <v/>
      </c>
      <c r="R568" s="432" t="str">
        <f>Waste!K91</f>
        <v/>
      </c>
      <c r="S568" s="432">
        <f>Waste!L91</f>
        <v>0</v>
      </c>
      <c r="T568" s="432">
        <f>Waste!M91</f>
        <v>0</v>
      </c>
      <c r="U568" s="432">
        <f>Waste!N91</f>
        <v>0</v>
      </c>
      <c r="V568" s="432" t="str">
        <f>Waste!O91</f>
        <v/>
      </c>
      <c r="W568" s="432" t="str">
        <f>Waste!P91</f>
        <v/>
      </c>
      <c r="X568" s="432" t="str">
        <f>Waste!Q91</f>
        <v/>
      </c>
      <c r="Y568" s="432" t="str">
        <f>Waste!R91</f>
        <v/>
      </c>
      <c r="Z568" s="432" t="str">
        <f>Waste!S91</f>
        <v/>
      </c>
      <c r="AA568" s="432" t="str">
        <f>Waste!T91</f>
        <v/>
      </c>
      <c r="AB568" s="432" t="str">
        <f>Waste!U91</f>
        <v/>
      </c>
      <c r="AC568" s="432" t="str">
        <f>Waste!V91</f>
        <v/>
      </c>
      <c r="AE568" s="432">
        <f t="shared" si="22"/>
        <v>0</v>
      </c>
      <c r="AF568" s="432">
        <f t="shared" si="23"/>
        <v>0</v>
      </c>
    </row>
    <row r="569" spans="2:32" x14ac:dyDescent="0.35">
      <c r="B569" s="432" t="e">
        <f>"2024"&amp;MATCH(Totals!D569,OrgType,0)&amp;"_"&amp;MATCH(Totals!E569,Organisations,0)&amp;"_"&amp;LEFT(Totals!F569,1)&amp;"_"&amp;LEFT(G569,1)&amp;"_"&amp;COUNTIF($G$3:G569,G569)</f>
        <v>#N/A</v>
      </c>
      <c r="C569" s="432">
        <v>2024</v>
      </c>
      <c r="D569" s="432">
        <f>Introduction!$D$7</f>
        <v>0</v>
      </c>
      <c r="E569" s="432">
        <f>Introduction!$D$8</f>
        <v>0</v>
      </c>
      <c r="F569" s="432" t="s">
        <v>73</v>
      </c>
      <c r="G569" s="432" t="s">
        <v>1114</v>
      </c>
      <c r="H569" s="433"/>
      <c r="I569" s="432">
        <f>Waste!B92</f>
        <v>0</v>
      </c>
      <c r="J569" s="432">
        <f>Waste!C92</f>
        <v>0</v>
      </c>
      <c r="K569" s="432">
        <f>Waste!D92</f>
        <v>0</v>
      </c>
      <c r="L569" s="432">
        <f>Waste!E92</f>
        <v>0</v>
      </c>
      <c r="M569" s="432" t="str">
        <f>Waste!F92</f>
        <v/>
      </c>
      <c r="N569" s="432">
        <f>Waste!G92</f>
        <v>0</v>
      </c>
      <c r="O569" s="432">
        <f>Waste!H92</f>
        <v>0</v>
      </c>
      <c r="P569" s="432" t="str">
        <f>Waste!I92</f>
        <v/>
      </c>
      <c r="Q569" s="432" t="str">
        <f>Waste!J92</f>
        <v/>
      </c>
      <c r="R569" s="432" t="str">
        <f>Waste!K92</f>
        <v/>
      </c>
      <c r="S569" s="432">
        <f>Waste!L92</f>
        <v>0</v>
      </c>
      <c r="T569" s="432">
        <f>Waste!M92</f>
        <v>0</v>
      </c>
      <c r="U569" s="432">
        <f>Waste!N92</f>
        <v>0</v>
      </c>
      <c r="V569" s="432" t="str">
        <f>Waste!O92</f>
        <v/>
      </c>
      <c r="W569" s="432" t="str">
        <f>Waste!P92</f>
        <v/>
      </c>
      <c r="X569" s="432" t="str">
        <f>Waste!Q92</f>
        <v/>
      </c>
      <c r="Y569" s="432" t="str">
        <f>Waste!R92</f>
        <v/>
      </c>
      <c r="Z569" s="432" t="str">
        <f>Waste!S92</f>
        <v/>
      </c>
      <c r="AA569" s="432" t="str">
        <f>Waste!T92</f>
        <v/>
      </c>
      <c r="AB569" s="432" t="str">
        <f>Waste!U92</f>
        <v/>
      </c>
      <c r="AC569" s="432" t="str">
        <f>Waste!V92</f>
        <v/>
      </c>
      <c r="AE569" s="432">
        <f t="shared" si="22"/>
        <v>0</v>
      </c>
      <c r="AF569" s="432">
        <f t="shared" si="23"/>
        <v>0</v>
      </c>
    </row>
    <row r="570" spans="2:32" x14ac:dyDescent="0.35">
      <c r="B570" s="432" t="e">
        <f>"2024"&amp;MATCH(Totals!D570,OrgType,0)&amp;"_"&amp;MATCH(Totals!E570,Organisations,0)&amp;"_"&amp;LEFT(Totals!F570,1)&amp;"_"&amp;LEFT(G570,1)&amp;"_"&amp;COUNTIF($G$3:G570,G570)</f>
        <v>#N/A</v>
      </c>
      <c r="C570" s="432">
        <v>2024</v>
      </c>
      <c r="D570" s="432">
        <f>Introduction!$D$7</f>
        <v>0</v>
      </c>
      <c r="E570" s="432">
        <f>Introduction!$D$8</f>
        <v>0</v>
      </c>
      <c r="F570" s="432" t="s">
        <v>73</v>
      </c>
      <c r="G570" s="432" t="s">
        <v>1114</v>
      </c>
      <c r="H570" s="433"/>
      <c r="I570" s="432">
        <f>Waste!B93</f>
        <v>0</v>
      </c>
      <c r="J570" s="432">
        <f>Waste!C93</f>
        <v>0</v>
      </c>
      <c r="K570" s="432">
        <f>Waste!D93</f>
        <v>0</v>
      </c>
      <c r="L570" s="432">
        <f>Waste!E93</f>
        <v>0</v>
      </c>
      <c r="M570" s="432" t="str">
        <f>Waste!F93</f>
        <v/>
      </c>
      <c r="N570" s="432">
        <f>Waste!G93</f>
        <v>0</v>
      </c>
      <c r="O570" s="432">
        <f>Waste!H93</f>
        <v>0</v>
      </c>
      <c r="P570" s="432" t="str">
        <f>Waste!I93</f>
        <v/>
      </c>
      <c r="Q570" s="432" t="str">
        <f>Waste!J93</f>
        <v/>
      </c>
      <c r="R570" s="432" t="str">
        <f>Waste!K93</f>
        <v/>
      </c>
      <c r="S570" s="432">
        <f>Waste!L93</f>
        <v>0</v>
      </c>
      <c r="T570" s="432">
        <f>Waste!M93</f>
        <v>0</v>
      </c>
      <c r="U570" s="432">
        <f>Waste!N93</f>
        <v>0</v>
      </c>
      <c r="V570" s="432" t="str">
        <f>Waste!O93</f>
        <v/>
      </c>
      <c r="W570" s="432" t="str">
        <f>Waste!P93</f>
        <v/>
      </c>
      <c r="X570" s="432" t="str">
        <f>Waste!Q93</f>
        <v/>
      </c>
      <c r="Y570" s="432" t="str">
        <f>Waste!R93</f>
        <v/>
      </c>
      <c r="Z570" s="432" t="str">
        <f>Waste!S93</f>
        <v/>
      </c>
      <c r="AA570" s="432" t="str">
        <f>Waste!T93</f>
        <v/>
      </c>
      <c r="AB570" s="432" t="str">
        <f>Waste!U93</f>
        <v/>
      </c>
      <c r="AC570" s="432" t="str">
        <f>Waste!V93</f>
        <v/>
      </c>
      <c r="AE570" s="432">
        <f t="shared" si="22"/>
        <v>0</v>
      </c>
      <c r="AF570" s="432">
        <f t="shared" si="23"/>
        <v>0</v>
      </c>
    </row>
    <row r="571" spans="2:32" x14ac:dyDescent="0.35">
      <c r="B571" s="432" t="e">
        <f>"2024"&amp;MATCH(Totals!D571,OrgType,0)&amp;"_"&amp;MATCH(Totals!E571,Organisations,0)&amp;"_"&amp;LEFT(Totals!F571,1)&amp;"_"&amp;LEFT(G571,1)&amp;"_"&amp;COUNTIF($G$3:G571,G571)</f>
        <v>#N/A</v>
      </c>
      <c r="C571" s="432">
        <v>2024</v>
      </c>
      <c r="D571" s="432">
        <f>Introduction!$D$7</f>
        <v>0</v>
      </c>
      <c r="E571" s="432">
        <f>Introduction!$D$8</f>
        <v>0</v>
      </c>
      <c r="F571" s="432" t="s">
        <v>73</v>
      </c>
      <c r="G571" s="432" t="s">
        <v>1114</v>
      </c>
      <c r="H571" s="433"/>
      <c r="I571" s="432">
        <f>Waste!B94</f>
        <v>0</v>
      </c>
      <c r="J571" s="432">
        <f>Waste!C94</f>
        <v>0</v>
      </c>
      <c r="K571" s="432">
        <f>Waste!D94</f>
        <v>0</v>
      </c>
      <c r="L571" s="432">
        <f>Waste!E94</f>
        <v>0</v>
      </c>
      <c r="M571" s="432" t="str">
        <f>Waste!F94</f>
        <v/>
      </c>
      <c r="N571" s="432">
        <f>Waste!G94</f>
        <v>0</v>
      </c>
      <c r="O571" s="432">
        <f>Waste!H94</f>
        <v>0</v>
      </c>
      <c r="P571" s="432" t="str">
        <f>Waste!I94</f>
        <v/>
      </c>
      <c r="Q571" s="432" t="str">
        <f>Waste!J94</f>
        <v/>
      </c>
      <c r="R571" s="432" t="str">
        <f>Waste!K94</f>
        <v/>
      </c>
      <c r="S571" s="432">
        <f>Waste!L94</f>
        <v>0</v>
      </c>
      <c r="T571" s="432">
        <f>Waste!M94</f>
        <v>0</v>
      </c>
      <c r="U571" s="432">
        <f>Waste!N94</f>
        <v>0</v>
      </c>
      <c r="V571" s="432" t="str">
        <f>Waste!O94</f>
        <v/>
      </c>
      <c r="W571" s="432" t="str">
        <f>Waste!P94</f>
        <v/>
      </c>
      <c r="X571" s="432" t="str">
        <f>Waste!Q94</f>
        <v/>
      </c>
      <c r="Y571" s="432" t="str">
        <f>Waste!R94</f>
        <v/>
      </c>
      <c r="Z571" s="432" t="str">
        <f>Waste!S94</f>
        <v/>
      </c>
      <c r="AA571" s="432" t="str">
        <f>Waste!T94</f>
        <v/>
      </c>
      <c r="AB571" s="432" t="str">
        <f>Waste!U94</f>
        <v/>
      </c>
      <c r="AC571" s="432" t="str">
        <f>Waste!V94</f>
        <v/>
      </c>
      <c r="AE571" s="432">
        <f t="shared" si="22"/>
        <v>0</v>
      </c>
      <c r="AF571" s="432">
        <f t="shared" si="23"/>
        <v>0</v>
      </c>
    </row>
    <row r="572" spans="2:32" x14ac:dyDescent="0.35">
      <c r="B572" s="432" t="e">
        <f>"2024"&amp;MATCH(Totals!D572,OrgType,0)&amp;"_"&amp;MATCH(Totals!E572,Organisations,0)&amp;"_"&amp;LEFT(Totals!F572,1)&amp;"_"&amp;LEFT(G572,1)&amp;"_"&amp;COUNTIF($G$3:G572,G572)</f>
        <v>#N/A</v>
      </c>
      <c r="C572" s="432">
        <v>2024</v>
      </c>
      <c r="D572" s="432">
        <f>Introduction!$D$7</f>
        <v>0</v>
      </c>
      <c r="E572" s="432">
        <f>Introduction!$D$8</f>
        <v>0</v>
      </c>
      <c r="F572" s="432" t="s">
        <v>73</v>
      </c>
      <c r="G572" s="432" t="s">
        <v>1114</v>
      </c>
      <c r="H572" s="433"/>
      <c r="I572" s="432">
        <f>Waste!B95</f>
        <v>0</v>
      </c>
      <c r="J572" s="432">
        <f>Waste!C95</f>
        <v>0</v>
      </c>
      <c r="K572" s="432">
        <f>Waste!D95</f>
        <v>0</v>
      </c>
      <c r="L572" s="432">
        <f>Waste!E95</f>
        <v>0</v>
      </c>
      <c r="M572" s="432" t="str">
        <f>Waste!F95</f>
        <v/>
      </c>
      <c r="N572" s="432">
        <f>Waste!G95</f>
        <v>0</v>
      </c>
      <c r="O572" s="432">
        <f>Waste!H95</f>
        <v>0</v>
      </c>
      <c r="P572" s="432" t="str">
        <f>Waste!I95</f>
        <v/>
      </c>
      <c r="Q572" s="432" t="str">
        <f>Waste!J95</f>
        <v/>
      </c>
      <c r="R572" s="432" t="str">
        <f>Waste!K95</f>
        <v/>
      </c>
      <c r="S572" s="432">
        <f>Waste!L95</f>
        <v>0</v>
      </c>
      <c r="T572" s="432">
        <f>Waste!M95</f>
        <v>0</v>
      </c>
      <c r="U572" s="432">
        <f>Waste!N95</f>
        <v>0</v>
      </c>
      <c r="V572" s="432" t="str">
        <f>Waste!O95</f>
        <v/>
      </c>
      <c r="W572" s="432" t="str">
        <f>Waste!P95</f>
        <v/>
      </c>
      <c r="X572" s="432" t="str">
        <f>Waste!Q95</f>
        <v/>
      </c>
      <c r="Y572" s="432" t="str">
        <f>Waste!R95</f>
        <v/>
      </c>
      <c r="Z572" s="432" t="str">
        <f>Waste!S95</f>
        <v/>
      </c>
      <c r="AA572" s="432" t="str">
        <f>Waste!T95</f>
        <v/>
      </c>
      <c r="AB572" s="432" t="str">
        <f>Waste!U95</f>
        <v/>
      </c>
      <c r="AC572" s="432" t="str">
        <f>Waste!V95</f>
        <v/>
      </c>
      <c r="AE572" s="432">
        <f t="shared" si="22"/>
        <v>0</v>
      </c>
      <c r="AF572" s="432">
        <f t="shared" si="23"/>
        <v>0</v>
      </c>
    </row>
    <row r="573" spans="2:32" x14ac:dyDescent="0.35">
      <c r="B573" s="432" t="e">
        <f>"2024"&amp;MATCH(Totals!D573,OrgType,0)&amp;"_"&amp;MATCH(Totals!E573,Organisations,0)&amp;"_"&amp;LEFT(Totals!F573,1)&amp;"_"&amp;LEFT(G573,1)&amp;"_"&amp;COUNTIF($G$3:G573,G573)</f>
        <v>#N/A</v>
      </c>
      <c r="C573" s="432">
        <v>2024</v>
      </c>
      <c r="D573" s="432">
        <f>Introduction!$D$7</f>
        <v>0</v>
      </c>
      <c r="E573" s="432">
        <f>Introduction!$D$8</f>
        <v>0</v>
      </c>
      <c r="F573" s="432" t="s">
        <v>73</v>
      </c>
      <c r="G573" s="432" t="s">
        <v>1114</v>
      </c>
      <c r="H573" s="433"/>
      <c r="I573" s="432">
        <f>Waste!B96</f>
        <v>0</v>
      </c>
      <c r="J573" s="432">
        <f>Waste!C96</f>
        <v>0</v>
      </c>
      <c r="K573" s="432">
        <f>Waste!D96</f>
        <v>0</v>
      </c>
      <c r="L573" s="432">
        <f>Waste!E96</f>
        <v>0</v>
      </c>
      <c r="M573" s="432" t="str">
        <f>Waste!F96</f>
        <v/>
      </c>
      <c r="N573" s="432">
        <f>Waste!G96</f>
        <v>0</v>
      </c>
      <c r="O573" s="432">
        <f>Waste!H96</f>
        <v>0</v>
      </c>
      <c r="P573" s="432" t="str">
        <f>Waste!I96</f>
        <v/>
      </c>
      <c r="Q573" s="432" t="str">
        <f>Waste!J96</f>
        <v/>
      </c>
      <c r="R573" s="432" t="str">
        <f>Waste!K96</f>
        <v/>
      </c>
      <c r="S573" s="432">
        <f>Waste!L96</f>
        <v>0</v>
      </c>
      <c r="T573" s="432">
        <f>Waste!M96</f>
        <v>0</v>
      </c>
      <c r="U573" s="432">
        <f>Waste!N96</f>
        <v>0</v>
      </c>
      <c r="V573" s="432" t="str">
        <f>Waste!O96</f>
        <v/>
      </c>
      <c r="W573" s="432" t="str">
        <f>Waste!P96</f>
        <v/>
      </c>
      <c r="X573" s="432" t="str">
        <f>Waste!Q96</f>
        <v/>
      </c>
      <c r="Y573" s="432" t="str">
        <f>Waste!R96</f>
        <v/>
      </c>
      <c r="Z573" s="432" t="str">
        <f>Waste!S96</f>
        <v/>
      </c>
      <c r="AA573" s="432" t="str">
        <f>Waste!T96</f>
        <v/>
      </c>
      <c r="AB573" s="432" t="str">
        <f>Waste!U96</f>
        <v/>
      </c>
      <c r="AC573" s="432" t="str">
        <f>Waste!V96</f>
        <v/>
      </c>
      <c r="AE573" s="432">
        <f t="shared" si="22"/>
        <v>0</v>
      </c>
      <c r="AF573" s="432">
        <f t="shared" si="23"/>
        <v>0</v>
      </c>
    </row>
    <row r="574" spans="2:32" x14ac:dyDescent="0.35">
      <c r="B574" s="432" t="e">
        <f>"2024"&amp;MATCH(Totals!D574,OrgType,0)&amp;"_"&amp;MATCH(Totals!E574,Organisations,0)&amp;"_"&amp;LEFT(Totals!F574,1)&amp;"_"&amp;LEFT(G574,1)&amp;"_"&amp;COUNTIF($G$3:G574,G574)</f>
        <v>#N/A</v>
      </c>
      <c r="C574" s="432">
        <v>2024</v>
      </c>
      <c r="D574" s="432">
        <f>Introduction!$D$7</f>
        <v>0</v>
      </c>
      <c r="E574" s="432">
        <f>Introduction!$D$8</f>
        <v>0</v>
      </c>
      <c r="F574" s="432" t="s">
        <v>73</v>
      </c>
      <c r="G574" s="432" t="s">
        <v>1114</v>
      </c>
      <c r="H574" s="433"/>
      <c r="I574" s="432">
        <f>Waste!B97</f>
        <v>0</v>
      </c>
      <c r="J574" s="432">
        <f>Waste!C97</f>
        <v>0</v>
      </c>
      <c r="K574" s="432">
        <f>Waste!D97</f>
        <v>0</v>
      </c>
      <c r="L574" s="432">
        <f>Waste!E97</f>
        <v>0</v>
      </c>
      <c r="M574" s="432" t="str">
        <f>Waste!F97</f>
        <v/>
      </c>
      <c r="N574" s="432">
        <f>Waste!G97</f>
        <v>0</v>
      </c>
      <c r="O574" s="432">
        <f>Waste!H97</f>
        <v>0</v>
      </c>
      <c r="P574" s="432" t="str">
        <f>Waste!I97</f>
        <v/>
      </c>
      <c r="Q574" s="432" t="str">
        <f>Waste!J97</f>
        <v/>
      </c>
      <c r="R574" s="432" t="str">
        <f>Waste!K97</f>
        <v/>
      </c>
      <c r="S574" s="432">
        <f>Waste!L97</f>
        <v>0</v>
      </c>
      <c r="T574" s="432">
        <f>Waste!M97</f>
        <v>0</v>
      </c>
      <c r="U574" s="432">
        <f>Waste!N97</f>
        <v>0</v>
      </c>
      <c r="V574" s="432" t="str">
        <f>Waste!O97</f>
        <v/>
      </c>
      <c r="W574" s="432" t="str">
        <f>Waste!P97</f>
        <v/>
      </c>
      <c r="X574" s="432" t="str">
        <f>Waste!Q97</f>
        <v/>
      </c>
      <c r="Y574" s="432" t="str">
        <f>Waste!R97</f>
        <v/>
      </c>
      <c r="Z574" s="432" t="str">
        <f>Waste!S97</f>
        <v/>
      </c>
      <c r="AA574" s="432" t="str">
        <f>Waste!T97</f>
        <v/>
      </c>
      <c r="AB574" s="432" t="str">
        <f>Waste!U97</f>
        <v/>
      </c>
      <c r="AC574" s="432" t="str">
        <f>Waste!V97</f>
        <v/>
      </c>
      <c r="AE574" s="432">
        <f t="shared" si="22"/>
        <v>0</v>
      </c>
      <c r="AF574" s="432">
        <f t="shared" si="23"/>
        <v>0</v>
      </c>
    </row>
    <row r="575" spans="2:32" x14ac:dyDescent="0.35">
      <c r="B575" s="432" t="e">
        <f>"2024"&amp;MATCH(Totals!D575,OrgType,0)&amp;"_"&amp;MATCH(Totals!E575,Organisations,0)&amp;"_"&amp;LEFT(Totals!F575,1)&amp;"_"&amp;LEFT(G575,1)&amp;"_"&amp;COUNTIF($G$3:G575,G575)</f>
        <v>#N/A</v>
      </c>
      <c r="C575" s="432">
        <v>2024</v>
      </c>
      <c r="D575" s="432">
        <f>Introduction!$D$7</f>
        <v>0</v>
      </c>
      <c r="E575" s="432">
        <f>Introduction!$D$8</f>
        <v>0</v>
      </c>
      <c r="F575" s="432" t="s">
        <v>73</v>
      </c>
      <c r="G575" s="432" t="s">
        <v>1114</v>
      </c>
      <c r="H575" s="433"/>
      <c r="I575" s="432">
        <f>Waste!B98</f>
        <v>0</v>
      </c>
      <c r="J575" s="432">
        <f>Waste!C98</f>
        <v>0</v>
      </c>
      <c r="K575" s="432">
        <f>Waste!D98</f>
        <v>0</v>
      </c>
      <c r="L575" s="432">
        <f>Waste!E98</f>
        <v>0</v>
      </c>
      <c r="M575" s="432" t="str">
        <f>Waste!F98</f>
        <v/>
      </c>
      <c r="N575" s="432">
        <f>Waste!G98</f>
        <v>0</v>
      </c>
      <c r="O575" s="432">
        <f>Waste!H98</f>
        <v>0</v>
      </c>
      <c r="P575" s="432" t="str">
        <f>Waste!I98</f>
        <v/>
      </c>
      <c r="Q575" s="432" t="str">
        <f>Waste!J98</f>
        <v/>
      </c>
      <c r="R575" s="432" t="str">
        <f>Waste!K98</f>
        <v/>
      </c>
      <c r="S575" s="432">
        <f>Waste!L98</f>
        <v>0</v>
      </c>
      <c r="T575" s="432">
        <f>Waste!M98</f>
        <v>0</v>
      </c>
      <c r="U575" s="432">
        <f>Waste!N98</f>
        <v>0</v>
      </c>
      <c r="V575" s="432" t="str">
        <f>Waste!O98</f>
        <v/>
      </c>
      <c r="W575" s="432" t="str">
        <f>Waste!P98</f>
        <v/>
      </c>
      <c r="X575" s="432" t="str">
        <f>Waste!Q98</f>
        <v/>
      </c>
      <c r="Y575" s="432" t="str">
        <f>Waste!R98</f>
        <v/>
      </c>
      <c r="Z575" s="432" t="str">
        <f>Waste!S98</f>
        <v/>
      </c>
      <c r="AA575" s="432" t="str">
        <f>Waste!T98</f>
        <v/>
      </c>
      <c r="AB575" s="432" t="str">
        <f>Waste!U98</f>
        <v/>
      </c>
      <c r="AC575" s="432" t="str">
        <f>Waste!V98</f>
        <v/>
      </c>
      <c r="AE575" s="432">
        <f t="shared" si="22"/>
        <v>0</v>
      </c>
      <c r="AF575" s="432">
        <f t="shared" si="23"/>
        <v>0</v>
      </c>
    </row>
    <row r="576" spans="2:32" x14ac:dyDescent="0.35">
      <c r="B576" s="432" t="e">
        <f>"2024"&amp;MATCH(Totals!D576,OrgType,0)&amp;"_"&amp;MATCH(Totals!E576,Organisations,0)&amp;"_"&amp;LEFT(Totals!F576,1)&amp;"_"&amp;LEFT(G576,1)&amp;"_"&amp;COUNTIF($G$3:G576,G576)</f>
        <v>#N/A</v>
      </c>
      <c r="C576" s="432">
        <v>2024</v>
      </c>
      <c r="D576" s="432">
        <f>Introduction!$D$7</f>
        <v>0</v>
      </c>
      <c r="E576" s="432">
        <f>Introduction!$D$8</f>
        <v>0</v>
      </c>
      <c r="F576" s="432" t="s">
        <v>73</v>
      </c>
      <c r="G576" s="432" t="s">
        <v>1114</v>
      </c>
      <c r="H576" s="433"/>
      <c r="I576" s="432">
        <f>Waste!B99</f>
        <v>0</v>
      </c>
      <c r="J576" s="432">
        <f>Waste!C99</f>
        <v>0</v>
      </c>
      <c r="K576" s="432">
        <f>Waste!D99</f>
        <v>0</v>
      </c>
      <c r="L576" s="432">
        <f>Waste!E99</f>
        <v>0</v>
      </c>
      <c r="M576" s="432" t="str">
        <f>Waste!F99</f>
        <v/>
      </c>
      <c r="N576" s="432">
        <f>Waste!G99</f>
        <v>0</v>
      </c>
      <c r="O576" s="432">
        <f>Waste!H99</f>
        <v>0</v>
      </c>
      <c r="P576" s="432" t="str">
        <f>Waste!I99</f>
        <v/>
      </c>
      <c r="Q576" s="432" t="str">
        <f>Waste!J99</f>
        <v/>
      </c>
      <c r="R576" s="432" t="str">
        <f>Waste!K99</f>
        <v/>
      </c>
      <c r="S576" s="432">
        <f>Waste!L99</f>
        <v>0</v>
      </c>
      <c r="T576" s="432">
        <f>Waste!M99</f>
        <v>0</v>
      </c>
      <c r="U576" s="432">
        <f>Waste!N99</f>
        <v>0</v>
      </c>
      <c r="V576" s="432" t="str">
        <f>Waste!O99</f>
        <v/>
      </c>
      <c r="W576" s="432" t="str">
        <f>Waste!P99</f>
        <v/>
      </c>
      <c r="X576" s="432" t="str">
        <f>Waste!Q99</f>
        <v/>
      </c>
      <c r="Y576" s="432" t="str">
        <f>Waste!R99</f>
        <v/>
      </c>
      <c r="Z576" s="432" t="str">
        <f>Waste!S99</f>
        <v/>
      </c>
      <c r="AA576" s="432" t="str">
        <f>Waste!T99</f>
        <v/>
      </c>
      <c r="AB576" s="432" t="str">
        <f>Waste!U99</f>
        <v/>
      </c>
      <c r="AC576" s="432" t="str">
        <f>Waste!V99</f>
        <v/>
      </c>
      <c r="AE576" s="432">
        <f t="shared" si="22"/>
        <v>0</v>
      </c>
      <c r="AF576" s="432">
        <f t="shared" si="23"/>
        <v>0</v>
      </c>
    </row>
    <row r="577" spans="2:32" x14ac:dyDescent="0.35">
      <c r="B577" s="432" t="e">
        <f>"2024"&amp;MATCH(Totals!D577,OrgType,0)&amp;"_"&amp;MATCH(Totals!E577,Organisations,0)&amp;"_"&amp;LEFT(Totals!F577,1)&amp;"_"&amp;LEFT(G577,1)&amp;"_"&amp;COUNTIF($G$3:G577,G577)</f>
        <v>#N/A</v>
      </c>
      <c r="C577" s="432">
        <v>2024</v>
      </c>
      <c r="D577" s="432">
        <f>Introduction!$D$7</f>
        <v>0</v>
      </c>
      <c r="E577" s="432">
        <f>Introduction!$D$8</f>
        <v>0</v>
      </c>
      <c r="F577" s="432" t="s">
        <v>73</v>
      </c>
      <c r="G577" s="432" t="s">
        <v>1114</v>
      </c>
      <c r="H577" s="433"/>
      <c r="I577" s="432">
        <f>Waste!B100</f>
        <v>0</v>
      </c>
      <c r="J577" s="432">
        <f>Waste!C100</f>
        <v>0</v>
      </c>
      <c r="K577" s="432">
        <f>Waste!D100</f>
        <v>0</v>
      </c>
      <c r="L577" s="432">
        <f>Waste!E100</f>
        <v>0</v>
      </c>
      <c r="M577" s="432" t="str">
        <f>Waste!F100</f>
        <v/>
      </c>
      <c r="N577" s="432">
        <f>Waste!G100</f>
        <v>0</v>
      </c>
      <c r="O577" s="432">
        <f>Waste!H100</f>
        <v>0</v>
      </c>
      <c r="P577" s="432" t="str">
        <f>Waste!I100</f>
        <v/>
      </c>
      <c r="Q577" s="432" t="str">
        <f>Waste!J100</f>
        <v/>
      </c>
      <c r="R577" s="432" t="str">
        <f>Waste!K100</f>
        <v/>
      </c>
      <c r="S577" s="432">
        <f>Waste!L100</f>
        <v>0</v>
      </c>
      <c r="T577" s="432">
        <f>Waste!M100</f>
        <v>0</v>
      </c>
      <c r="U577" s="432">
        <f>Waste!N100</f>
        <v>0</v>
      </c>
      <c r="V577" s="432" t="str">
        <f>Waste!O100</f>
        <v/>
      </c>
      <c r="W577" s="432" t="str">
        <f>Waste!P100</f>
        <v/>
      </c>
      <c r="X577" s="432" t="str">
        <f>Waste!Q100</f>
        <v/>
      </c>
      <c r="Y577" s="432" t="str">
        <f>Waste!R100</f>
        <v/>
      </c>
      <c r="Z577" s="432" t="str">
        <f>Waste!S100</f>
        <v/>
      </c>
      <c r="AA577" s="432" t="str">
        <f>Waste!T100</f>
        <v/>
      </c>
      <c r="AB577" s="432" t="str">
        <f>Waste!U100</f>
        <v/>
      </c>
      <c r="AC577" s="432" t="str">
        <f>Waste!V100</f>
        <v/>
      </c>
      <c r="AE577" s="432">
        <f t="shared" si="22"/>
        <v>0</v>
      </c>
      <c r="AF577" s="432">
        <f t="shared" si="23"/>
        <v>0</v>
      </c>
    </row>
    <row r="578" spans="2:32" x14ac:dyDescent="0.35">
      <c r="B578" s="432" t="e">
        <f>"2024"&amp;MATCH(Totals!D578,OrgType,0)&amp;"_"&amp;MATCH(Totals!E578,Organisations,0)&amp;"_"&amp;LEFT(Totals!F578,1)&amp;"_"&amp;LEFT(G578,1)&amp;"_"&amp;COUNTIF($G$3:G578,G578)</f>
        <v>#N/A</v>
      </c>
      <c r="C578" s="432">
        <v>2024</v>
      </c>
      <c r="D578" s="432">
        <f>Introduction!$D$7</f>
        <v>0</v>
      </c>
      <c r="E578" s="432">
        <f>Introduction!$D$8</f>
        <v>0</v>
      </c>
      <c r="F578" s="432" t="s">
        <v>73</v>
      </c>
      <c r="G578" s="432" t="s">
        <v>1114</v>
      </c>
      <c r="H578" s="433"/>
      <c r="I578" s="432">
        <f>Waste!B101</f>
        <v>0</v>
      </c>
      <c r="J578" s="432">
        <f>Waste!C101</f>
        <v>0</v>
      </c>
      <c r="K578" s="432">
        <f>Waste!D101</f>
        <v>0</v>
      </c>
      <c r="L578" s="432">
        <f>Waste!E101</f>
        <v>0</v>
      </c>
      <c r="M578" s="432" t="str">
        <f>Waste!F101</f>
        <v/>
      </c>
      <c r="N578" s="432">
        <f>Waste!G101</f>
        <v>0</v>
      </c>
      <c r="O578" s="432">
        <f>Waste!H101</f>
        <v>0</v>
      </c>
      <c r="P578" s="432" t="str">
        <f>Waste!I101</f>
        <v/>
      </c>
      <c r="Q578" s="432" t="str">
        <f>Waste!J101</f>
        <v/>
      </c>
      <c r="R578" s="432" t="str">
        <f>Waste!K101</f>
        <v/>
      </c>
      <c r="S578" s="432">
        <f>Waste!L101</f>
        <v>0</v>
      </c>
      <c r="T578" s="432">
        <f>Waste!M101</f>
        <v>0</v>
      </c>
      <c r="U578" s="432">
        <f>Waste!N101</f>
        <v>0</v>
      </c>
      <c r="V578" s="432" t="str">
        <f>Waste!O101</f>
        <v/>
      </c>
      <c r="W578" s="432" t="str">
        <f>Waste!P101</f>
        <v/>
      </c>
      <c r="X578" s="432" t="str">
        <f>Waste!Q101</f>
        <v/>
      </c>
      <c r="Y578" s="432" t="str">
        <f>Waste!R101</f>
        <v/>
      </c>
      <c r="Z578" s="432" t="str">
        <f>Waste!S101</f>
        <v/>
      </c>
      <c r="AA578" s="432" t="str">
        <f>Waste!T101</f>
        <v/>
      </c>
      <c r="AB578" s="432" t="str">
        <f>Waste!U101</f>
        <v/>
      </c>
      <c r="AC578" s="432" t="str">
        <f>Waste!V101</f>
        <v/>
      </c>
      <c r="AE578" s="432">
        <f t="shared" si="22"/>
        <v>0</v>
      </c>
      <c r="AF578" s="432">
        <f t="shared" si="23"/>
        <v>0</v>
      </c>
    </row>
    <row r="579" spans="2:32" x14ac:dyDescent="0.35">
      <c r="B579" s="432" t="e">
        <f>"2024"&amp;MATCH(Totals!D579,OrgType,0)&amp;"_"&amp;MATCH(Totals!E579,Organisations,0)&amp;"_"&amp;LEFT(Totals!F579,1)&amp;"_"&amp;LEFT(G579,1)&amp;"_"&amp;COUNTIF($G$3:G579,G579)</f>
        <v>#N/A</v>
      </c>
      <c r="C579" s="432">
        <v>2024</v>
      </c>
      <c r="D579" s="432">
        <f>Introduction!$D$7</f>
        <v>0</v>
      </c>
      <c r="E579" s="432">
        <f>Introduction!$D$8</f>
        <v>0</v>
      </c>
      <c r="F579" s="432" t="s">
        <v>73</v>
      </c>
      <c r="G579" s="432" t="s">
        <v>1114</v>
      </c>
      <c r="H579" s="433"/>
      <c r="I579" s="432">
        <f>Waste!B102</f>
        <v>0</v>
      </c>
      <c r="J579" s="432">
        <f>Waste!C102</f>
        <v>0</v>
      </c>
      <c r="K579" s="432">
        <f>Waste!D102</f>
        <v>0</v>
      </c>
      <c r="L579" s="432">
        <f>Waste!E102</f>
        <v>0</v>
      </c>
      <c r="M579" s="432" t="str">
        <f>Waste!F102</f>
        <v/>
      </c>
      <c r="N579" s="432">
        <f>Waste!G102</f>
        <v>0</v>
      </c>
      <c r="O579" s="432">
        <f>Waste!H102</f>
        <v>0</v>
      </c>
      <c r="P579" s="432" t="str">
        <f>Waste!I102</f>
        <v/>
      </c>
      <c r="Q579" s="432" t="str">
        <f>Waste!J102</f>
        <v/>
      </c>
      <c r="R579" s="432" t="str">
        <f>Waste!K102</f>
        <v/>
      </c>
      <c r="S579" s="432">
        <f>Waste!L102</f>
        <v>0</v>
      </c>
      <c r="T579" s="432">
        <f>Waste!M102</f>
        <v>0</v>
      </c>
      <c r="U579" s="432">
        <f>Waste!N102</f>
        <v>0</v>
      </c>
      <c r="V579" s="432" t="str">
        <f>Waste!O102</f>
        <v/>
      </c>
      <c r="W579" s="432" t="str">
        <f>Waste!P102</f>
        <v/>
      </c>
      <c r="X579" s="432" t="str">
        <f>Waste!Q102</f>
        <v/>
      </c>
      <c r="Y579" s="432" t="str">
        <f>Waste!R102</f>
        <v/>
      </c>
      <c r="Z579" s="432" t="str">
        <f>Waste!S102</f>
        <v/>
      </c>
      <c r="AA579" s="432" t="str">
        <f>Waste!T102</f>
        <v/>
      </c>
      <c r="AB579" s="432" t="str">
        <f>Waste!U102</f>
        <v/>
      </c>
      <c r="AC579" s="432" t="str">
        <f>Waste!V102</f>
        <v/>
      </c>
      <c r="AE579" s="432">
        <f t="shared" si="22"/>
        <v>0</v>
      </c>
      <c r="AF579" s="432">
        <f t="shared" si="23"/>
        <v>0</v>
      </c>
    </row>
    <row r="580" spans="2:32" x14ac:dyDescent="0.35">
      <c r="B580" s="432" t="e">
        <f>"2024"&amp;MATCH(Totals!D580,OrgType,0)&amp;"_"&amp;MATCH(Totals!E580,Organisations,0)&amp;"_"&amp;LEFT(Totals!F580,1)&amp;"_"&amp;LEFT(G580,1)&amp;"_"&amp;COUNTIF($G$3:G580,G580)</f>
        <v>#N/A</v>
      </c>
      <c r="C580" s="432">
        <v>2024</v>
      </c>
      <c r="D580" s="432">
        <f>Introduction!$D$7</f>
        <v>0</v>
      </c>
      <c r="E580" s="432">
        <f>Introduction!$D$8</f>
        <v>0</v>
      </c>
      <c r="F580" s="432" t="s">
        <v>73</v>
      </c>
      <c r="G580" s="432" t="s">
        <v>1114</v>
      </c>
      <c r="H580" s="433"/>
      <c r="I580" s="432">
        <f>Waste!B103</f>
        <v>0</v>
      </c>
      <c r="J580" s="432">
        <f>Waste!C103</f>
        <v>0</v>
      </c>
      <c r="K580" s="432">
        <f>Waste!D103</f>
        <v>0</v>
      </c>
      <c r="L580" s="432">
        <f>Waste!E103</f>
        <v>0</v>
      </c>
      <c r="M580" s="432" t="str">
        <f>Waste!F103</f>
        <v/>
      </c>
      <c r="N580" s="432">
        <f>Waste!G103</f>
        <v>0</v>
      </c>
      <c r="O580" s="432">
        <f>Waste!H103</f>
        <v>0</v>
      </c>
      <c r="P580" s="432" t="str">
        <f>Waste!I103</f>
        <v/>
      </c>
      <c r="Q580" s="432" t="str">
        <f>Waste!J103</f>
        <v/>
      </c>
      <c r="R580" s="432" t="str">
        <f>Waste!K103</f>
        <v/>
      </c>
      <c r="S580" s="432">
        <f>Waste!L103</f>
        <v>0</v>
      </c>
      <c r="T580" s="432">
        <f>Waste!M103</f>
        <v>0</v>
      </c>
      <c r="U580" s="432">
        <f>Waste!N103</f>
        <v>0</v>
      </c>
      <c r="V580" s="432" t="str">
        <f>Waste!O103</f>
        <v/>
      </c>
      <c r="W580" s="432" t="str">
        <f>Waste!P103</f>
        <v/>
      </c>
      <c r="X580" s="432" t="str">
        <f>Waste!Q103</f>
        <v/>
      </c>
      <c r="Y580" s="432" t="str">
        <f>Waste!R103</f>
        <v/>
      </c>
      <c r="Z580" s="432" t="str">
        <f>Waste!S103</f>
        <v/>
      </c>
      <c r="AA580" s="432" t="str">
        <f>Waste!T103</f>
        <v/>
      </c>
      <c r="AB580" s="432" t="str">
        <f>Waste!U103</f>
        <v/>
      </c>
      <c r="AC580" s="432" t="str">
        <f>Waste!V103</f>
        <v/>
      </c>
      <c r="AE580" s="432">
        <f t="shared" si="22"/>
        <v>0</v>
      </c>
      <c r="AF580" s="432">
        <f t="shared" si="23"/>
        <v>0</v>
      </c>
    </row>
    <row r="581" spans="2:32" x14ac:dyDescent="0.35">
      <c r="B581" s="432" t="e">
        <f>"2024"&amp;MATCH(Totals!D581,OrgType,0)&amp;"_"&amp;MATCH(Totals!E581,Organisations,0)&amp;"_"&amp;LEFT(Totals!F581,1)&amp;"_"&amp;LEFT(G581,1)&amp;"_"&amp;COUNTIF($G$3:G581,G581)</f>
        <v>#N/A</v>
      </c>
      <c r="C581" s="432">
        <v>2024</v>
      </c>
      <c r="D581" s="432">
        <f>Introduction!$D$7</f>
        <v>0</v>
      </c>
      <c r="E581" s="432">
        <f>Introduction!$D$8</f>
        <v>0</v>
      </c>
      <c r="F581" s="432" t="s">
        <v>73</v>
      </c>
      <c r="G581" s="432" t="s">
        <v>1114</v>
      </c>
      <c r="H581" s="433"/>
      <c r="I581" s="432">
        <f>Waste!B104</f>
        <v>0</v>
      </c>
      <c r="J581" s="432">
        <f>Waste!C104</f>
        <v>0</v>
      </c>
      <c r="K581" s="432">
        <f>Waste!D104</f>
        <v>0</v>
      </c>
      <c r="L581" s="432">
        <f>Waste!E104</f>
        <v>0</v>
      </c>
      <c r="M581" s="432" t="str">
        <f>Waste!F104</f>
        <v/>
      </c>
      <c r="N581" s="432">
        <f>Waste!G104</f>
        <v>0</v>
      </c>
      <c r="O581" s="432">
        <f>Waste!H104</f>
        <v>0</v>
      </c>
      <c r="P581" s="432" t="str">
        <f>Waste!I104</f>
        <v/>
      </c>
      <c r="Q581" s="432" t="str">
        <f>Waste!J104</f>
        <v/>
      </c>
      <c r="R581" s="432" t="str">
        <f>Waste!K104</f>
        <v/>
      </c>
      <c r="S581" s="432">
        <f>Waste!L104</f>
        <v>0</v>
      </c>
      <c r="T581" s="432">
        <f>Waste!M104</f>
        <v>0</v>
      </c>
      <c r="U581" s="432">
        <f>Waste!N104</f>
        <v>0</v>
      </c>
      <c r="V581" s="432" t="str">
        <f>Waste!O104</f>
        <v/>
      </c>
      <c r="W581" s="432" t="str">
        <f>Waste!P104</f>
        <v/>
      </c>
      <c r="X581" s="432" t="str">
        <f>Waste!Q104</f>
        <v/>
      </c>
      <c r="Y581" s="432" t="str">
        <f>Waste!R104</f>
        <v/>
      </c>
      <c r="Z581" s="432" t="str">
        <f>Waste!S104</f>
        <v/>
      </c>
      <c r="AA581" s="432" t="str">
        <f>Waste!T104</f>
        <v/>
      </c>
      <c r="AB581" s="432" t="str">
        <f>Waste!U104</f>
        <v/>
      </c>
      <c r="AC581" s="432" t="str">
        <f>Waste!V104</f>
        <v/>
      </c>
      <c r="AE581" s="432">
        <f t="shared" si="22"/>
        <v>0</v>
      </c>
      <c r="AF581" s="432">
        <f t="shared" si="23"/>
        <v>0</v>
      </c>
    </row>
    <row r="582" spans="2:32" x14ac:dyDescent="0.35">
      <c r="B582" s="432" t="e">
        <f>"2024"&amp;MATCH(Totals!D582,OrgType,0)&amp;"_"&amp;MATCH(Totals!E582,Organisations,0)&amp;"_"&amp;LEFT(Totals!F582,1)&amp;"_"&amp;LEFT(G582,1)&amp;"_"&amp;COUNTIF($G$3:G582,G582)</f>
        <v>#N/A</v>
      </c>
      <c r="C582" s="432">
        <v>2024</v>
      </c>
      <c r="D582" s="432">
        <f>Introduction!$D$7</f>
        <v>0</v>
      </c>
      <c r="E582" s="432">
        <f>Introduction!$D$8</f>
        <v>0</v>
      </c>
      <c r="F582" s="432" t="s">
        <v>73</v>
      </c>
      <c r="G582" s="432" t="s">
        <v>1114</v>
      </c>
      <c r="H582" s="433"/>
      <c r="I582" s="432">
        <f>Waste!B105</f>
        <v>0</v>
      </c>
      <c r="J582" s="432">
        <f>Waste!C105</f>
        <v>0</v>
      </c>
      <c r="K582" s="432">
        <f>Waste!D105</f>
        <v>0</v>
      </c>
      <c r="L582" s="432">
        <f>Waste!E105</f>
        <v>0</v>
      </c>
      <c r="M582" s="432" t="str">
        <f>Waste!F105</f>
        <v/>
      </c>
      <c r="N582" s="432">
        <f>Waste!G105</f>
        <v>0</v>
      </c>
      <c r="O582" s="432">
        <f>Waste!H105</f>
        <v>0</v>
      </c>
      <c r="P582" s="432" t="str">
        <f>Waste!I105</f>
        <v/>
      </c>
      <c r="Q582" s="432" t="str">
        <f>Waste!J105</f>
        <v/>
      </c>
      <c r="R582" s="432" t="str">
        <f>Waste!K105</f>
        <v/>
      </c>
      <c r="S582" s="432">
        <f>Waste!L105</f>
        <v>0</v>
      </c>
      <c r="T582" s="432">
        <f>Waste!M105</f>
        <v>0</v>
      </c>
      <c r="U582" s="432">
        <f>Waste!N105</f>
        <v>0</v>
      </c>
      <c r="V582" s="432" t="str">
        <f>Waste!O105</f>
        <v/>
      </c>
      <c r="W582" s="432" t="str">
        <f>Waste!P105</f>
        <v/>
      </c>
      <c r="X582" s="432" t="str">
        <f>Waste!Q105</f>
        <v/>
      </c>
      <c r="Y582" s="432" t="str">
        <f>Waste!R105</f>
        <v/>
      </c>
      <c r="Z582" s="432" t="str">
        <f>Waste!S105</f>
        <v/>
      </c>
      <c r="AA582" s="432" t="str">
        <f>Waste!T105</f>
        <v/>
      </c>
      <c r="AB582" s="432" t="str">
        <f>Waste!U105</f>
        <v/>
      </c>
      <c r="AC582" s="432" t="str">
        <f>Waste!V105</f>
        <v/>
      </c>
      <c r="AE582" s="432">
        <f t="shared" si="22"/>
        <v>0</v>
      </c>
      <c r="AF582" s="432">
        <f t="shared" si="23"/>
        <v>0</v>
      </c>
    </row>
    <row r="583" spans="2:32" x14ac:dyDescent="0.35">
      <c r="B583" s="432" t="e">
        <f>"2024"&amp;MATCH(Totals!D583,OrgType,0)&amp;"_"&amp;MATCH(Totals!E583,Organisations,0)&amp;"_"&amp;LEFT(Totals!F583,1)&amp;"_"&amp;LEFT(G583,1)&amp;"_"&amp;COUNTIF($G$3:G583,G583)</f>
        <v>#N/A</v>
      </c>
      <c r="C583" s="432">
        <v>2024</v>
      </c>
      <c r="D583" s="432">
        <f>Introduction!$D$7</f>
        <v>0</v>
      </c>
      <c r="E583" s="432">
        <f>Introduction!$D$8</f>
        <v>0</v>
      </c>
      <c r="F583" s="432" t="s">
        <v>1115</v>
      </c>
      <c r="G583" s="432" t="s">
        <v>1115</v>
      </c>
      <c r="H583" s="433"/>
      <c r="I583" s="432">
        <f>'Land use &amp; agriculture'!B16</f>
        <v>0</v>
      </c>
      <c r="J583" s="432">
        <f>'Land use &amp; agriculture'!C16</f>
        <v>0</v>
      </c>
      <c r="K583" s="432">
        <f>'Land use &amp; agriculture'!D16</f>
        <v>0</v>
      </c>
      <c r="L583" s="432" t="str">
        <f>'Land use &amp; agriculture'!E16</f>
        <v>Tier 1</v>
      </c>
      <c r="M583" s="432" t="str">
        <f>'Land use &amp; agriculture'!F16</f>
        <v xml:space="preserve"> </v>
      </c>
      <c r="N583" s="432">
        <f>'Land use &amp; agriculture'!G16</f>
        <v>0</v>
      </c>
      <c r="O583" s="432" t="str">
        <f>'Land use &amp; agriculture'!H16</f>
        <v>ha</v>
      </c>
      <c r="P583" s="432">
        <f>'Land use &amp; agriculture'!I16</f>
        <v>0</v>
      </c>
      <c r="Q583" s="432" t="str">
        <f>'Land use &amp; agriculture'!J16</f>
        <v>ha</v>
      </c>
      <c r="R583" s="432" t="str">
        <f>'Land use &amp; agriculture'!K16</f>
        <v/>
      </c>
      <c r="S583" s="432" t="str">
        <f>'Land use &amp; agriculture'!L16</f>
        <v/>
      </c>
      <c r="T583" s="432">
        <f>'Land use &amp; agriculture'!M16</f>
        <v>0</v>
      </c>
      <c r="U583" s="432">
        <f>'Land use &amp; agriculture'!N16</f>
        <v>0</v>
      </c>
      <c r="V583" s="432">
        <f>'Land use &amp; agriculture'!O16</f>
        <v>0</v>
      </c>
      <c r="W583" s="432">
        <f>'Land use &amp; agriculture'!P16</f>
        <v>0</v>
      </c>
      <c r="X583" s="432">
        <f>'Land use &amp; agriculture'!Q16</f>
        <v>0</v>
      </c>
      <c r="Y583" s="432">
        <f>'Land use &amp; agriculture'!R16</f>
        <v>0</v>
      </c>
      <c r="Z583" s="432">
        <f>'Land use &amp; agriculture'!S16</f>
        <v>0</v>
      </c>
      <c r="AA583" s="432" t="str">
        <f>'Land use &amp; agriculture'!T16</f>
        <v/>
      </c>
      <c r="AB583" s="432" t="str">
        <f>'Land use &amp; agriculture'!U16</f>
        <v/>
      </c>
      <c r="AC583" s="432" t="str">
        <f>'Land use &amp; agriculture'!V16</f>
        <v/>
      </c>
      <c r="AE583" s="432">
        <f t="shared" si="22"/>
        <v>0</v>
      </c>
      <c r="AF583" s="432">
        <f t="shared" si="23"/>
        <v>0</v>
      </c>
    </row>
    <row r="584" spans="2:32" x14ac:dyDescent="0.35">
      <c r="B584" s="432" t="e">
        <f>"2024"&amp;MATCH(Totals!D584,OrgType,0)&amp;"_"&amp;MATCH(Totals!E584,Organisations,0)&amp;"_"&amp;LEFT(Totals!F584,1)&amp;"_"&amp;LEFT(G584,1)&amp;"_"&amp;COUNTIF($G$3:G584,G584)</f>
        <v>#N/A</v>
      </c>
      <c r="C584" s="432">
        <v>2024</v>
      </c>
      <c r="D584" s="432">
        <f>Introduction!$D$7</f>
        <v>0</v>
      </c>
      <c r="E584" s="432">
        <f>Introduction!$D$8</f>
        <v>0</v>
      </c>
      <c r="F584" s="432" t="s">
        <v>1115</v>
      </c>
      <c r="G584" s="432" t="s">
        <v>1115</v>
      </c>
      <c r="H584" s="433"/>
      <c r="I584" s="432">
        <f>'Land use &amp; agriculture'!B17</f>
        <v>0</v>
      </c>
      <c r="J584" s="432">
        <f>'Land use &amp; agriculture'!C17</f>
        <v>0</v>
      </c>
      <c r="K584" s="432">
        <f>'Land use &amp; agriculture'!D17</f>
        <v>0</v>
      </c>
      <c r="L584" s="432" t="str">
        <f>'Land use &amp; agriculture'!E17</f>
        <v>Tier 1</v>
      </c>
      <c r="M584" s="432" t="str">
        <f>'Land use &amp; agriculture'!F17</f>
        <v xml:space="preserve"> </v>
      </c>
      <c r="N584" s="432">
        <f>'Land use &amp; agriculture'!G17</f>
        <v>0</v>
      </c>
      <c r="O584" s="432" t="str">
        <f>'Land use &amp; agriculture'!H17</f>
        <v>ha</v>
      </c>
      <c r="P584" s="432">
        <f>'Land use &amp; agriculture'!I17</f>
        <v>0</v>
      </c>
      <c r="Q584" s="432" t="str">
        <f>'Land use &amp; agriculture'!J17</f>
        <v>ha</v>
      </c>
      <c r="R584" s="432" t="str">
        <f>'Land use &amp; agriculture'!K17</f>
        <v/>
      </c>
      <c r="S584" s="432" t="str">
        <f>'Land use &amp; agriculture'!L17</f>
        <v/>
      </c>
      <c r="T584" s="432">
        <f>'Land use &amp; agriculture'!M17</f>
        <v>0</v>
      </c>
      <c r="U584" s="432">
        <f>'Land use &amp; agriculture'!N17</f>
        <v>0</v>
      </c>
      <c r="V584" s="432">
        <f>'Land use &amp; agriculture'!O17</f>
        <v>0</v>
      </c>
      <c r="W584" s="432">
        <f>'Land use &amp; agriculture'!P17</f>
        <v>0</v>
      </c>
      <c r="X584" s="432">
        <f>'Land use &amp; agriculture'!Q17</f>
        <v>0</v>
      </c>
      <c r="Y584" s="432">
        <f>'Land use &amp; agriculture'!R17</f>
        <v>0</v>
      </c>
      <c r="Z584" s="432">
        <f>'Land use &amp; agriculture'!S17</f>
        <v>0</v>
      </c>
      <c r="AA584" s="432" t="str">
        <f>'Land use &amp; agriculture'!T17</f>
        <v/>
      </c>
      <c r="AB584" s="432" t="str">
        <f>'Land use &amp; agriculture'!U17</f>
        <v/>
      </c>
      <c r="AC584" s="432" t="str">
        <f>'Land use &amp; agriculture'!V17</f>
        <v/>
      </c>
      <c r="AE584" s="432">
        <f t="shared" si="22"/>
        <v>0</v>
      </c>
      <c r="AF584" s="432">
        <f t="shared" si="23"/>
        <v>0</v>
      </c>
    </row>
    <row r="585" spans="2:32" x14ac:dyDescent="0.35">
      <c r="B585" s="432" t="e">
        <f>"2024"&amp;MATCH(Totals!D585,OrgType,0)&amp;"_"&amp;MATCH(Totals!E585,Organisations,0)&amp;"_"&amp;LEFT(Totals!F585,1)&amp;"_"&amp;LEFT(G585,1)&amp;"_"&amp;COUNTIF($G$3:G585,G585)</f>
        <v>#N/A</v>
      </c>
      <c r="C585" s="432">
        <v>2024</v>
      </c>
      <c r="D585" s="432">
        <f>Introduction!$D$7</f>
        <v>0</v>
      </c>
      <c r="E585" s="432">
        <f>Introduction!$D$8</f>
        <v>0</v>
      </c>
      <c r="F585" s="432" t="s">
        <v>1115</v>
      </c>
      <c r="G585" s="432" t="s">
        <v>1115</v>
      </c>
      <c r="H585" s="433"/>
      <c r="I585" s="432">
        <f>'Land use &amp; agriculture'!B18</f>
        <v>0</v>
      </c>
      <c r="J585" s="432">
        <f>'Land use &amp; agriculture'!C18</f>
        <v>0</v>
      </c>
      <c r="K585" s="432">
        <f>'Land use &amp; agriculture'!D18</f>
        <v>0</v>
      </c>
      <c r="L585" s="432" t="str">
        <f>'Land use &amp; agriculture'!E18</f>
        <v>Tier 1</v>
      </c>
      <c r="M585" s="432" t="str">
        <f>'Land use &amp; agriculture'!F18</f>
        <v xml:space="preserve"> </v>
      </c>
      <c r="N585" s="432">
        <f>'Land use &amp; agriculture'!G18</f>
        <v>0</v>
      </c>
      <c r="O585" s="432" t="str">
        <f>'Land use &amp; agriculture'!H18</f>
        <v>ha</v>
      </c>
      <c r="P585" s="432">
        <f>'Land use &amp; agriculture'!I18</f>
        <v>0</v>
      </c>
      <c r="Q585" s="432" t="str">
        <f>'Land use &amp; agriculture'!J18</f>
        <v>ha</v>
      </c>
      <c r="R585" s="432" t="str">
        <f>'Land use &amp; agriculture'!K18</f>
        <v/>
      </c>
      <c r="S585" s="432" t="str">
        <f>'Land use &amp; agriculture'!L18</f>
        <v/>
      </c>
      <c r="T585" s="432">
        <f>'Land use &amp; agriculture'!M18</f>
        <v>0</v>
      </c>
      <c r="U585" s="432">
        <f>'Land use &amp; agriculture'!N18</f>
        <v>0</v>
      </c>
      <c r="V585" s="432">
        <f>'Land use &amp; agriculture'!O18</f>
        <v>0</v>
      </c>
      <c r="W585" s="432">
        <f>'Land use &amp; agriculture'!P18</f>
        <v>0</v>
      </c>
      <c r="X585" s="432">
        <f>'Land use &amp; agriculture'!Q18</f>
        <v>0</v>
      </c>
      <c r="Y585" s="432">
        <f>'Land use &amp; agriculture'!R18</f>
        <v>0</v>
      </c>
      <c r="Z585" s="432">
        <f>'Land use &amp; agriculture'!S18</f>
        <v>0</v>
      </c>
      <c r="AA585" s="432" t="str">
        <f>'Land use &amp; agriculture'!T18</f>
        <v/>
      </c>
      <c r="AB585" s="432" t="str">
        <f>'Land use &amp; agriculture'!U18</f>
        <v/>
      </c>
      <c r="AC585" s="432" t="str">
        <f>'Land use &amp; agriculture'!V18</f>
        <v/>
      </c>
      <c r="AE585" s="432">
        <f t="shared" si="22"/>
        <v>0</v>
      </c>
      <c r="AF585" s="432">
        <f t="shared" si="23"/>
        <v>0</v>
      </c>
    </row>
    <row r="586" spans="2:32" x14ac:dyDescent="0.35">
      <c r="B586" s="432" t="e">
        <f>"2024"&amp;MATCH(Totals!D586,OrgType,0)&amp;"_"&amp;MATCH(Totals!E586,Organisations,0)&amp;"_"&amp;LEFT(Totals!F586,1)&amp;"_"&amp;LEFT(G586,1)&amp;"_"&amp;COUNTIF($G$3:G586,G586)</f>
        <v>#N/A</v>
      </c>
      <c r="C586" s="432">
        <v>2024</v>
      </c>
      <c r="D586" s="432">
        <f>Introduction!$D$7</f>
        <v>0</v>
      </c>
      <c r="E586" s="432">
        <f>Introduction!$D$8</f>
        <v>0</v>
      </c>
      <c r="F586" s="432" t="s">
        <v>1115</v>
      </c>
      <c r="G586" s="432" t="s">
        <v>1115</v>
      </c>
      <c r="H586" s="433"/>
      <c r="I586" s="432">
        <f>'Land use &amp; agriculture'!B19</f>
        <v>0</v>
      </c>
      <c r="J586" s="432">
        <f>'Land use &amp; agriculture'!C19</f>
        <v>0</v>
      </c>
      <c r="K586" s="432">
        <f>'Land use &amp; agriculture'!D19</f>
        <v>0</v>
      </c>
      <c r="L586" s="432" t="str">
        <f>'Land use &amp; agriculture'!E19</f>
        <v>Tier 1</v>
      </c>
      <c r="M586" s="432" t="str">
        <f>'Land use &amp; agriculture'!F19</f>
        <v xml:space="preserve"> </v>
      </c>
      <c r="N586" s="432">
        <f>'Land use &amp; agriculture'!G19</f>
        <v>0</v>
      </c>
      <c r="O586" s="432" t="str">
        <f>'Land use &amp; agriculture'!H19</f>
        <v>ha</v>
      </c>
      <c r="P586" s="432">
        <f>'Land use &amp; agriculture'!I19</f>
        <v>0</v>
      </c>
      <c r="Q586" s="432" t="str">
        <f>'Land use &amp; agriculture'!J19</f>
        <v>ha</v>
      </c>
      <c r="R586" s="432" t="str">
        <f>'Land use &amp; agriculture'!K19</f>
        <v/>
      </c>
      <c r="S586" s="432" t="str">
        <f>'Land use &amp; agriculture'!L19</f>
        <v/>
      </c>
      <c r="T586" s="432">
        <f>'Land use &amp; agriculture'!M19</f>
        <v>0</v>
      </c>
      <c r="U586" s="432">
        <f>'Land use &amp; agriculture'!N19</f>
        <v>0</v>
      </c>
      <c r="V586" s="432">
        <f>'Land use &amp; agriculture'!O19</f>
        <v>0</v>
      </c>
      <c r="W586" s="432">
        <f>'Land use &amp; agriculture'!P19</f>
        <v>0</v>
      </c>
      <c r="X586" s="432">
        <f>'Land use &amp; agriculture'!Q19</f>
        <v>0</v>
      </c>
      <c r="Y586" s="432">
        <f>'Land use &amp; agriculture'!R19</f>
        <v>0</v>
      </c>
      <c r="Z586" s="432">
        <f>'Land use &amp; agriculture'!S19</f>
        <v>0</v>
      </c>
      <c r="AA586" s="432" t="str">
        <f>'Land use &amp; agriculture'!T19</f>
        <v/>
      </c>
      <c r="AB586" s="432" t="str">
        <f>'Land use &amp; agriculture'!U19</f>
        <v/>
      </c>
      <c r="AC586" s="432" t="str">
        <f>'Land use &amp; agriculture'!V19</f>
        <v/>
      </c>
      <c r="AE586" s="432">
        <f t="shared" si="22"/>
        <v>0</v>
      </c>
      <c r="AF586" s="432">
        <f t="shared" si="23"/>
        <v>0</v>
      </c>
    </row>
    <row r="587" spans="2:32" x14ac:dyDescent="0.35">
      <c r="B587" s="432" t="e">
        <f>"2024"&amp;MATCH(Totals!D587,OrgType,0)&amp;"_"&amp;MATCH(Totals!E587,Organisations,0)&amp;"_"&amp;LEFT(Totals!F587,1)&amp;"_"&amp;LEFT(G587,1)&amp;"_"&amp;COUNTIF($G$3:G587,G587)</f>
        <v>#N/A</v>
      </c>
      <c r="C587" s="432">
        <v>2024</v>
      </c>
      <c r="D587" s="432">
        <f>Introduction!$D$7</f>
        <v>0</v>
      </c>
      <c r="E587" s="432">
        <f>Introduction!$D$8</f>
        <v>0</v>
      </c>
      <c r="F587" s="432" t="s">
        <v>1115</v>
      </c>
      <c r="G587" s="432" t="s">
        <v>1115</v>
      </c>
      <c r="H587" s="433"/>
      <c r="I587" s="432">
        <f>'Land use &amp; agriculture'!B20</f>
        <v>0</v>
      </c>
      <c r="J587" s="432">
        <f>'Land use &amp; agriculture'!C20</f>
        <v>0</v>
      </c>
      <c r="K587" s="432">
        <f>'Land use &amp; agriculture'!D20</f>
        <v>0</v>
      </c>
      <c r="L587" s="432" t="str">
        <f>'Land use &amp; agriculture'!E20</f>
        <v>Tier 1</v>
      </c>
      <c r="M587" s="432" t="str">
        <f>'Land use &amp; agriculture'!F20</f>
        <v xml:space="preserve"> </v>
      </c>
      <c r="N587" s="432">
        <f>'Land use &amp; agriculture'!G20</f>
        <v>0</v>
      </c>
      <c r="O587" s="432" t="str">
        <f>'Land use &amp; agriculture'!H20</f>
        <v>ha</v>
      </c>
      <c r="P587" s="432">
        <f>'Land use &amp; agriculture'!I20</f>
        <v>0</v>
      </c>
      <c r="Q587" s="432" t="str">
        <f>'Land use &amp; agriculture'!J20</f>
        <v>ha</v>
      </c>
      <c r="R587" s="432" t="str">
        <f>'Land use &amp; agriculture'!K20</f>
        <v/>
      </c>
      <c r="S587" s="432" t="str">
        <f>'Land use &amp; agriculture'!L20</f>
        <v/>
      </c>
      <c r="T587" s="432">
        <f>'Land use &amp; agriculture'!M20</f>
        <v>0</v>
      </c>
      <c r="U587" s="432">
        <f>'Land use &amp; agriculture'!N20</f>
        <v>0</v>
      </c>
      <c r="V587" s="432">
        <f>'Land use &amp; agriculture'!O20</f>
        <v>0</v>
      </c>
      <c r="W587" s="432">
        <f>'Land use &amp; agriculture'!P20</f>
        <v>0</v>
      </c>
      <c r="X587" s="432">
        <f>'Land use &amp; agriculture'!Q20</f>
        <v>0</v>
      </c>
      <c r="Y587" s="432">
        <f>'Land use &amp; agriculture'!R20</f>
        <v>0</v>
      </c>
      <c r="Z587" s="432">
        <f>'Land use &amp; agriculture'!S20</f>
        <v>0</v>
      </c>
      <c r="AA587" s="432" t="str">
        <f>'Land use &amp; agriculture'!T20</f>
        <v/>
      </c>
      <c r="AB587" s="432" t="str">
        <f>'Land use &amp; agriculture'!U20</f>
        <v/>
      </c>
      <c r="AC587" s="432" t="str">
        <f>'Land use &amp; agriculture'!V20</f>
        <v/>
      </c>
      <c r="AE587" s="432">
        <f t="shared" si="22"/>
        <v>0</v>
      </c>
      <c r="AF587" s="432">
        <f t="shared" si="23"/>
        <v>0</v>
      </c>
    </row>
    <row r="588" spans="2:32" x14ac:dyDescent="0.35">
      <c r="B588" s="432" t="e">
        <f>"2024"&amp;MATCH(Totals!D588,OrgType,0)&amp;"_"&amp;MATCH(Totals!E588,Organisations,0)&amp;"_"&amp;LEFT(Totals!F588,1)&amp;"_"&amp;LEFT(G588,1)&amp;"_"&amp;COUNTIF($G$3:G588,G588)</f>
        <v>#N/A</v>
      </c>
      <c r="C588" s="432">
        <v>2024</v>
      </c>
      <c r="D588" s="432">
        <f>Introduction!$D$7</f>
        <v>0</v>
      </c>
      <c r="E588" s="432">
        <f>Introduction!$D$8</f>
        <v>0</v>
      </c>
      <c r="F588" s="432" t="s">
        <v>1115</v>
      </c>
      <c r="G588" s="432" t="s">
        <v>1115</v>
      </c>
      <c r="H588" s="433"/>
      <c r="I588" s="432">
        <f>'Land use &amp; agriculture'!B21</f>
        <v>0</v>
      </c>
      <c r="J588" s="432">
        <f>'Land use &amp; agriculture'!C21</f>
        <v>0</v>
      </c>
      <c r="K588" s="432">
        <f>'Land use &amp; agriculture'!D21</f>
        <v>0</v>
      </c>
      <c r="L588" s="432" t="str">
        <f>'Land use &amp; agriculture'!E21</f>
        <v>Tier 1</v>
      </c>
      <c r="M588" s="432" t="str">
        <f>'Land use &amp; agriculture'!F21</f>
        <v xml:space="preserve"> </v>
      </c>
      <c r="N588" s="432">
        <f>'Land use &amp; agriculture'!G21</f>
        <v>0</v>
      </c>
      <c r="O588" s="432" t="str">
        <f>'Land use &amp; agriculture'!H21</f>
        <v>ha</v>
      </c>
      <c r="P588" s="432">
        <f>'Land use &amp; agriculture'!I21</f>
        <v>0</v>
      </c>
      <c r="Q588" s="432" t="str">
        <f>'Land use &amp; agriculture'!J21</f>
        <v>ha</v>
      </c>
      <c r="R588" s="432" t="str">
        <f>'Land use &amp; agriculture'!K21</f>
        <v/>
      </c>
      <c r="S588" s="432" t="str">
        <f>'Land use &amp; agriculture'!L21</f>
        <v/>
      </c>
      <c r="T588" s="432">
        <f>'Land use &amp; agriculture'!M21</f>
        <v>0</v>
      </c>
      <c r="U588" s="432">
        <f>'Land use &amp; agriculture'!N21</f>
        <v>0</v>
      </c>
      <c r="V588" s="432">
        <f>'Land use &amp; agriculture'!O21</f>
        <v>0</v>
      </c>
      <c r="W588" s="432">
        <f>'Land use &amp; agriculture'!P21</f>
        <v>0</v>
      </c>
      <c r="X588" s="432">
        <f>'Land use &amp; agriculture'!Q21</f>
        <v>0</v>
      </c>
      <c r="Y588" s="432">
        <f>'Land use &amp; agriculture'!R21</f>
        <v>0</v>
      </c>
      <c r="Z588" s="432">
        <f>'Land use &amp; agriculture'!S21</f>
        <v>0</v>
      </c>
      <c r="AA588" s="432" t="str">
        <f>'Land use &amp; agriculture'!T21</f>
        <v/>
      </c>
      <c r="AB588" s="432" t="str">
        <f>'Land use &amp; agriculture'!U21</f>
        <v/>
      </c>
      <c r="AC588" s="432" t="str">
        <f>'Land use &amp; agriculture'!V21</f>
        <v/>
      </c>
      <c r="AE588" s="432">
        <f t="shared" si="22"/>
        <v>0</v>
      </c>
      <c r="AF588" s="432">
        <f t="shared" si="23"/>
        <v>0</v>
      </c>
    </row>
    <row r="589" spans="2:32" x14ac:dyDescent="0.35">
      <c r="B589" s="432" t="e">
        <f>"2024"&amp;MATCH(Totals!D589,OrgType,0)&amp;"_"&amp;MATCH(Totals!E589,Organisations,0)&amp;"_"&amp;LEFT(Totals!F589,1)&amp;"_"&amp;LEFT(G589,1)&amp;"_"&amp;COUNTIF($G$3:G589,G589)</f>
        <v>#N/A</v>
      </c>
      <c r="C589" s="432">
        <v>2024</v>
      </c>
      <c r="D589" s="432">
        <f>Introduction!$D$7</f>
        <v>0</v>
      </c>
      <c r="E589" s="432">
        <f>Introduction!$D$8</f>
        <v>0</v>
      </c>
      <c r="F589" s="432" t="s">
        <v>1115</v>
      </c>
      <c r="G589" s="432" t="s">
        <v>1115</v>
      </c>
      <c r="H589" s="433"/>
      <c r="I589" s="432">
        <f>'Land use &amp; agriculture'!B22</f>
        <v>0</v>
      </c>
      <c r="J589" s="432">
        <f>'Land use &amp; agriculture'!C22</f>
        <v>0</v>
      </c>
      <c r="K589" s="432">
        <f>'Land use &amp; agriculture'!D22</f>
        <v>0</v>
      </c>
      <c r="L589" s="432" t="str">
        <f>'Land use &amp; agriculture'!E22</f>
        <v>Tier 1</v>
      </c>
      <c r="M589" s="432" t="str">
        <f>'Land use &amp; agriculture'!F22</f>
        <v xml:space="preserve"> </v>
      </c>
      <c r="N589" s="432">
        <f>'Land use &amp; agriculture'!G22</f>
        <v>0</v>
      </c>
      <c r="O589" s="432" t="str">
        <f>'Land use &amp; agriculture'!H22</f>
        <v>ha</v>
      </c>
      <c r="P589" s="432">
        <f>'Land use &amp; agriculture'!I22</f>
        <v>0</v>
      </c>
      <c r="Q589" s="432" t="str">
        <f>'Land use &amp; agriculture'!J22</f>
        <v>ha</v>
      </c>
      <c r="R589" s="432" t="str">
        <f>'Land use &amp; agriculture'!K22</f>
        <v/>
      </c>
      <c r="S589" s="432" t="str">
        <f>'Land use &amp; agriculture'!L22</f>
        <v/>
      </c>
      <c r="T589" s="432">
        <f>'Land use &amp; agriculture'!M22</f>
        <v>0</v>
      </c>
      <c r="U589" s="432">
        <f>'Land use &amp; agriculture'!N22</f>
        <v>0</v>
      </c>
      <c r="V589" s="432">
        <f>'Land use &amp; agriculture'!O22</f>
        <v>0</v>
      </c>
      <c r="W589" s="432">
        <f>'Land use &amp; agriculture'!P22</f>
        <v>0</v>
      </c>
      <c r="X589" s="432">
        <f>'Land use &amp; agriculture'!Q22</f>
        <v>0</v>
      </c>
      <c r="Y589" s="432">
        <f>'Land use &amp; agriculture'!R22</f>
        <v>0</v>
      </c>
      <c r="Z589" s="432">
        <f>'Land use &amp; agriculture'!S22</f>
        <v>0</v>
      </c>
      <c r="AA589" s="432" t="str">
        <f>'Land use &amp; agriculture'!T22</f>
        <v/>
      </c>
      <c r="AB589" s="432" t="str">
        <f>'Land use &amp; agriculture'!U22</f>
        <v/>
      </c>
      <c r="AC589" s="432" t="str">
        <f>'Land use &amp; agriculture'!V22</f>
        <v/>
      </c>
      <c r="AE589" s="432">
        <f t="shared" si="22"/>
        <v>0</v>
      </c>
      <c r="AF589" s="432">
        <f t="shared" si="23"/>
        <v>0</v>
      </c>
    </row>
    <row r="590" spans="2:32" x14ac:dyDescent="0.35">
      <c r="B590" s="432" t="e">
        <f>"2024"&amp;MATCH(Totals!D590,OrgType,0)&amp;"_"&amp;MATCH(Totals!E590,Organisations,0)&amp;"_"&amp;LEFT(Totals!F590,1)&amp;"_"&amp;LEFT(G590,1)&amp;"_"&amp;COUNTIF($G$3:G590,G590)</f>
        <v>#N/A</v>
      </c>
      <c r="C590" s="432">
        <v>2024</v>
      </c>
      <c r="D590" s="432">
        <f>Introduction!$D$7</f>
        <v>0</v>
      </c>
      <c r="E590" s="432">
        <f>Introduction!$D$8</f>
        <v>0</v>
      </c>
      <c r="F590" s="432" t="s">
        <v>1115</v>
      </c>
      <c r="G590" s="432" t="s">
        <v>1115</v>
      </c>
      <c r="H590" s="433"/>
      <c r="I590" s="432">
        <f>'Land use &amp; agriculture'!B23</f>
        <v>0</v>
      </c>
      <c r="J590" s="432">
        <f>'Land use &amp; agriculture'!C23</f>
        <v>0</v>
      </c>
      <c r="K590" s="432">
        <f>'Land use &amp; agriculture'!D23</f>
        <v>0</v>
      </c>
      <c r="L590" s="432" t="str">
        <f>'Land use &amp; agriculture'!E23</f>
        <v>Tier 1</v>
      </c>
      <c r="M590" s="432" t="str">
        <f>'Land use &amp; agriculture'!F23</f>
        <v xml:space="preserve"> </v>
      </c>
      <c r="N590" s="432">
        <f>'Land use &amp; agriculture'!G23</f>
        <v>0</v>
      </c>
      <c r="O590" s="432" t="str">
        <f>'Land use &amp; agriculture'!H23</f>
        <v>ha</v>
      </c>
      <c r="P590" s="432">
        <f>'Land use &amp; agriculture'!I23</f>
        <v>0</v>
      </c>
      <c r="Q590" s="432" t="str">
        <f>'Land use &amp; agriculture'!J23</f>
        <v>ha</v>
      </c>
      <c r="R590" s="432" t="str">
        <f>'Land use &amp; agriculture'!K23</f>
        <v/>
      </c>
      <c r="S590" s="432" t="str">
        <f>'Land use &amp; agriculture'!L23</f>
        <v/>
      </c>
      <c r="T590" s="432">
        <f>'Land use &amp; agriculture'!M23</f>
        <v>0</v>
      </c>
      <c r="U590" s="432">
        <f>'Land use &amp; agriculture'!N23</f>
        <v>0</v>
      </c>
      <c r="V590" s="432">
        <f>'Land use &amp; agriculture'!O23</f>
        <v>0</v>
      </c>
      <c r="W590" s="432">
        <f>'Land use &amp; agriculture'!P23</f>
        <v>0</v>
      </c>
      <c r="X590" s="432">
        <f>'Land use &amp; agriculture'!Q23</f>
        <v>0</v>
      </c>
      <c r="Y590" s="432">
        <f>'Land use &amp; agriculture'!R23</f>
        <v>0</v>
      </c>
      <c r="Z590" s="432">
        <f>'Land use &amp; agriculture'!S23</f>
        <v>0</v>
      </c>
      <c r="AA590" s="432" t="str">
        <f>'Land use &amp; agriculture'!T23</f>
        <v/>
      </c>
      <c r="AB590" s="432" t="str">
        <f>'Land use &amp; agriculture'!U23</f>
        <v/>
      </c>
      <c r="AC590" s="432" t="str">
        <f>'Land use &amp; agriculture'!V23</f>
        <v/>
      </c>
      <c r="AE590" s="432">
        <f t="shared" si="22"/>
        <v>0</v>
      </c>
      <c r="AF590" s="432">
        <f t="shared" si="23"/>
        <v>0</v>
      </c>
    </row>
    <row r="591" spans="2:32" x14ac:dyDescent="0.35">
      <c r="B591" s="432" t="e">
        <f>"2024"&amp;MATCH(Totals!D591,OrgType,0)&amp;"_"&amp;MATCH(Totals!E591,Organisations,0)&amp;"_"&amp;LEFT(Totals!F591,1)&amp;"_"&amp;LEFT(G591,1)&amp;"_"&amp;COUNTIF($G$3:G591,G591)</f>
        <v>#N/A</v>
      </c>
      <c r="C591" s="432">
        <v>2024</v>
      </c>
      <c r="D591" s="432">
        <f>Introduction!$D$7</f>
        <v>0</v>
      </c>
      <c r="E591" s="432">
        <f>Introduction!$D$8</f>
        <v>0</v>
      </c>
      <c r="F591" s="432" t="s">
        <v>1115</v>
      </c>
      <c r="G591" s="432" t="s">
        <v>1115</v>
      </c>
      <c r="H591" s="433"/>
      <c r="I591" s="432">
        <f>'Land use &amp; agriculture'!B24</f>
        <v>0</v>
      </c>
      <c r="J591" s="432">
        <f>'Land use &amp; agriculture'!C24</f>
        <v>0</v>
      </c>
      <c r="K591" s="432">
        <f>'Land use &amp; agriculture'!D24</f>
        <v>0</v>
      </c>
      <c r="L591" s="432" t="str">
        <f>'Land use &amp; agriculture'!E24</f>
        <v>Tier 1</v>
      </c>
      <c r="M591" s="432" t="str">
        <f>'Land use &amp; agriculture'!F24</f>
        <v xml:space="preserve"> </v>
      </c>
      <c r="N591" s="432">
        <f>'Land use &amp; agriculture'!G24</f>
        <v>0</v>
      </c>
      <c r="O591" s="432" t="str">
        <f>'Land use &amp; agriculture'!H24</f>
        <v>ha</v>
      </c>
      <c r="P591" s="432">
        <f>'Land use &amp; agriculture'!I24</f>
        <v>0</v>
      </c>
      <c r="Q591" s="432" t="str">
        <f>'Land use &amp; agriculture'!J24</f>
        <v>ha</v>
      </c>
      <c r="R591" s="432" t="str">
        <f>'Land use &amp; agriculture'!K24</f>
        <v/>
      </c>
      <c r="S591" s="432" t="str">
        <f>'Land use &amp; agriculture'!L24</f>
        <v/>
      </c>
      <c r="T591" s="432">
        <f>'Land use &amp; agriculture'!M24</f>
        <v>0</v>
      </c>
      <c r="U591" s="432">
        <f>'Land use &amp; agriculture'!N24</f>
        <v>0</v>
      </c>
      <c r="V591" s="432">
        <f>'Land use &amp; agriculture'!O24</f>
        <v>0</v>
      </c>
      <c r="W591" s="432">
        <f>'Land use &amp; agriculture'!P24</f>
        <v>0</v>
      </c>
      <c r="X591" s="432">
        <f>'Land use &amp; agriculture'!Q24</f>
        <v>0</v>
      </c>
      <c r="Y591" s="432">
        <f>'Land use &amp; agriculture'!R24</f>
        <v>0</v>
      </c>
      <c r="Z591" s="432">
        <f>'Land use &amp; agriculture'!S24</f>
        <v>0</v>
      </c>
      <c r="AA591" s="432" t="str">
        <f>'Land use &amp; agriculture'!T24</f>
        <v/>
      </c>
      <c r="AB591" s="432" t="str">
        <f>'Land use &amp; agriculture'!U24</f>
        <v/>
      </c>
      <c r="AC591" s="432" t="str">
        <f>'Land use &amp; agriculture'!V24</f>
        <v/>
      </c>
      <c r="AE591" s="432">
        <f t="shared" si="22"/>
        <v>0</v>
      </c>
      <c r="AF591" s="432">
        <f t="shared" si="23"/>
        <v>0</v>
      </c>
    </row>
    <row r="592" spans="2:32" x14ac:dyDescent="0.35">
      <c r="B592" s="432" t="e">
        <f>"2024"&amp;MATCH(Totals!D592,OrgType,0)&amp;"_"&amp;MATCH(Totals!E592,Organisations,0)&amp;"_"&amp;LEFT(Totals!F592,1)&amp;"_"&amp;LEFT(G592,1)&amp;"_"&amp;COUNTIF($G$3:G592,G592)</f>
        <v>#N/A</v>
      </c>
      <c r="C592" s="432">
        <v>2024</v>
      </c>
      <c r="D592" s="432">
        <f>Introduction!$D$7</f>
        <v>0</v>
      </c>
      <c r="E592" s="432">
        <f>Introduction!$D$8</f>
        <v>0</v>
      </c>
      <c r="F592" s="432" t="s">
        <v>1115</v>
      </c>
      <c r="G592" s="432" t="s">
        <v>1115</v>
      </c>
      <c r="H592" s="433"/>
      <c r="I592" s="432">
        <f>'Land use &amp; agriculture'!B25</f>
        <v>0</v>
      </c>
      <c r="J592" s="432">
        <f>'Land use &amp; agriculture'!C25</f>
        <v>0</v>
      </c>
      <c r="K592" s="432">
        <f>'Land use &amp; agriculture'!D25</f>
        <v>0</v>
      </c>
      <c r="L592" s="432" t="str">
        <f>'Land use &amp; agriculture'!E25</f>
        <v>Tier 1</v>
      </c>
      <c r="M592" s="432" t="str">
        <f>'Land use &amp; agriculture'!F25</f>
        <v xml:space="preserve"> </v>
      </c>
      <c r="N592" s="432">
        <f>'Land use &amp; agriculture'!G25</f>
        <v>0</v>
      </c>
      <c r="O592" s="432" t="str">
        <f>'Land use &amp; agriculture'!H25</f>
        <v>ha</v>
      </c>
      <c r="P592" s="432">
        <f>'Land use &amp; agriculture'!I25</f>
        <v>0</v>
      </c>
      <c r="Q592" s="432" t="str">
        <f>'Land use &amp; agriculture'!J25</f>
        <v>ha</v>
      </c>
      <c r="R592" s="432" t="str">
        <f>'Land use &amp; agriculture'!K25</f>
        <v/>
      </c>
      <c r="S592" s="432" t="str">
        <f>'Land use &amp; agriculture'!L25</f>
        <v/>
      </c>
      <c r="T592" s="432">
        <f>'Land use &amp; agriculture'!M25</f>
        <v>0</v>
      </c>
      <c r="U592" s="432">
        <f>'Land use &amp; agriculture'!N25</f>
        <v>0</v>
      </c>
      <c r="V592" s="432">
        <f>'Land use &amp; agriculture'!O25</f>
        <v>0</v>
      </c>
      <c r="W592" s="432">
        <f>'Land use &amp; agriculture'!P25</f>
        <v>0</v>
      </c>
      <c r="X592" s="432">
        <f>'Land use &amp; agriculture'!Q25</f>
        <v>0</v>
      </c>
      <c r="Y592" s="432">
        <f>'Land use &amp; agriculture'!R25</f>
        <v>0</v>
      </c>
      <c r="Z592" s="432">
        <f>'Land use &amp; agriculture'!S25</f>
        <v>0</v>
      </c>
      <c r="AA592" s="432" t="str">
        <f>'Land use &amp; agriculture'!T25</f>
        <v/>
      </c>
      <c r="AB592" s="432" t="str">
        <f>'Land use &amp; agriculture'!U25</f>
        <v/>
      </c>
      <c r="AC592" s="432" t="str">
        <f>'Land use &amp; agriculture'!V25</f>
        <v/>
      </c>
      <c r="AE592" s="432">
        <f t="shared" si="22"/>
        <v>0</v>
      </c>
      <c r="AF592" s="432">
        <f t="shared" si="23"/>
        <v>0</v>
      </c>
    </row>
    <row r="593" spans="2:32" x14ac:dyDescent="0.35">
      <c r="B593" s="432" t="e">
        <f>"2024"&amp;MATCH(Totals!D593,OrgType,0)&amp;"_"&amp;MATCH(Totals!E593,Organisations,0)&amp;"_"&amp;LEFT(Totals!F593,1)&amp;"_"&amp;LEFT(G593,1)&amp;"_"&amp;COUNTIF($G$3:G593,G593)</f>
        <v>#N/A</v>
      </c>
      <c r="C593" s="432">
        <v>2024</v>
      </c>
      <c r="D593" s="432">
        <f>Introduction!$D$7</f>
        <v>0</v>
      </c>
      <c r="E593" s="432">
        <f>Introduction!$D$8</f>
        <v>0</v>
      </c>
      <c r="F593" s="432" t="s">
        <v>1115</v>
      </c>
      <c r="G593" s="432" t="s">
        <v>1115</v>
      </c>
      <c r="H593" s="433"/>
      <c r="I593" s="432">
        <f>'Land use &amp; agriculture'!B26</f>
        <v>0</v>
      </c>
      <c r="J593" s="432">
        <f>'Land use &amp; agriculture'!C26</f>
        <v>0</v>
      </c>
      <c r="K593" s="432">
        <f>'Land use &amp; agriculture'!D26</f>
        <v>0</v>
      </c>
      <c r="L593" s="432" t="str">
        <f>'Land use &amp; agriculture'!E26</f>
        <v>Tier 1</v>
      </c>
      <c r="M593" s="432" t="str">
        <f>'Land use &amp; agriculture'!F26</f>
        <v xml:space="preserve"> </v>
      </c>
      <c r="N593" s="432">
        <f>'Land use &amp; agriculture'!G26</f>
        <v>0</v>
      </c>
      <c r="O593" s="432" t="str">
        <f>'Land use &amp; agriculture'!H26</f>
        <v>ha</v>
      </c>
      <c r="P593" s="432">
        <f>'Land use &amp; agriculture'!I26</f>
        <v>0</v>
      </c>
      <c r="Q593" s="432" t="str">
        <f>'Land use &amp; agriculture'!J26</f>
        <v>ha</v>
      </c>
      <c r="R593" s="432" t="str">
        <f>'Land use &amp; agriculture'!K26</f>
        <v/>
      </c>
      <c r="S593" s="432" t="str">
        <f>'Land use &amp; agriculture'!L26</f>
        <v/>
      </c>
      <c r="T593" s="432">
        <f>'Land use &amp; agriculture'!M26</f>
        <v>0</v>
      </c>
      <c r="U593" s="432">
        <f>'Land use &amp; agriculture'!N26</f>
        <v>0</v>
      </c>
      <c r="V593" s="432">
        <f>'Land use &amp; agriculture'!O26</f>
        <v>0</v>
      </c>
      <c r="W593" s="432">
        <f>'Land use &amp; agriculture'!P26</f>
        <v>0</v>
      </c>
      <c r="X593" s="432">
        <f>'Land use &amp; agriculture'!Q26</f>
        <v>0</v>
      </c>
      <c r="Y593" s="432">
        <f>'Land use &amp; agriculture'!R26</f>
        <v>0</v>
      </c>
      <c r="Z593" s="432">
        <f>'Land use &amp; agriculture'!S26</f>
        <v>0</v>
      </c>
      <c r="AA593" s="432" t="str">
        <f>'Land use &amp; agriculture'!T26</f>
        <v/>
      </c>
      <c r="AB593" s="432" t="str">
        <f>'Land use &amp; agriculture'!U26</f>
        <v/>
      </c>
      <c r="AC593" s="432" t="str">
        <f>'Land use &amp; agriculture'!V26</f>
        <v/>
      </c>
      <c r="AE593" s="432">
        <f t="shared" si="22"/>
        <v>0</v>
      </c>
      <c r="AF593" s="432">
        <f t="shared" si="23"/>
        <v>0</v>
      </c>
    </row>
    <row r="594" spans="2:32" x14ac:dyDescent="0.35">
      <c r="B594" s="432" t="e">
        <f>"2024"&amp;MATCH(Totals!D594,OrgType,0)&amp;"_"&amp;MATCH(Totals!E594,Organisations,0)&amp;"_"&amp;LEFT(Totals!F594,1)&amp;"_"&amp;LEFT(G594,1)&amp;"_"&amp;COUNTIF($G$3:G594,G594)</f>
        <v>#N/A</v>
      </c>
      <c r="C594" s="432">
        <v>2024</v>
      </c>
      <c r="D594" s="432">
        <f>Introduction!$D$7</f>
        <v>0</v>
      </c>
      <c r="E594" s="432">
        <f>Introduction!$D$8</f>
        <v>0</v>
      </c>
      <c r="F594" s="432" t="s">
        <v>1115</v>
      </c>
      <c r="G594" s="432" t="s">
        <v>1115</v>
      </c>
      <c r="H594" s="433"/>
      <c r="I594" s="432">
        <f>'Land use &amp; agriculture'!B27</f>
        <v>0</v>
      </c>
      <c r="J594" s="432">
        <f>'Land use &amp; agriculture'!C27</f>
        <v>0</v>
      </c>
      <c r="K594" s="432">
        <f>'Land use &amp; agriculture'!D27</f>
        <v>0</v>
      </c>
      <c r="L594" s="432" t="str">
        <f>'Land use &amp; agriculture'!E27</f>
        <v>Tier 1</v>
      </c>
      <c r="M594" s="432" t="str">
        <f>'Land use &amp; agriculture'!F27</f>
        <v xml:space="preserve"> </v>
      </c>
      <c r="N594" s="432">
        <f>'Land use &amp; agriculture'!G27</f>
        <v>0</v>
      </c>
      <c r="O594" s="432" t="str">
        <f>'Land use &amp; agriculture'!H27</f>
        <v>ha</v>
      </c>
      <c r="P594" s="432">
        <f>'Land use &amp; agriculture'!I27</f>
        <v>0</v>
      </c>
      <c r="Q594" s="432" t="str">
        <f>'Land use &amp; agriculture'!J27</f>
        <v>ha</v>
      </c>
      <c r="R594" s="432" t="str">
        <f>'Land use &amp; agriculture'!K27</f>
        <v/>
      </c>
      <c r="S594" s="432" t="str">
        <f>'Land use &amp; agriculture'!L27</f>
        <v/>
      </c>
      <c r="T594" s="432">
        <f>'Land use &amp; agriculture'!M27</f>
        <v>0</v>
      </c>
      <c r="U594" s="432">
        <f>'Land use &amp; agriculture'!N27</f>
        <v>0</v>
      </c>
      <c r="V594" s="432">
        <f>'Land use &amp; agriculture'!O27</f>
        <v>0</v>
      </c>
      <c r="W594" s="432">
        <f>'Land use &amp; agriculture'!P27</f>
        <v>0</v>
      </c>
      <c r="X594" s="432">
        <f>'Land use &amp; agriculture'!Q27</f>
        <v>0</v>
      </c>
      <c r="Y594" s="432">
        <f>'Land use &amp; agriculture'!R27</f>
        <v>0</v>
      </c>
      <c r="Z594" s="432">
        <f>'Land use &amp; agriculture'!S27</f>
        <v>0</v>
      </c>
      <c r="AA594" s="432" t="str">
        <f>'Land use &amp; agriculture'!T27</f>
        <v/>
      </c>
      <c r="AB594" s="432" t="str">
        <f>'Land use &amp; agriculture'!U27</f>
        <v/>
      </c>
      <c r="AC594" s="432" t="str">
        <f>'Land use &amp; agriculture'!V27</f>
        <v/>
      </c>
      <c r="AE594" s="432">
        <f t="shared" si="22"/>
        <v>0</v>
      </c>
      <c r="AF594" s="432">
        <f t="shared" si="23"/>
        <v>0</v>
      </c>
    </row>
    <row r="595" spans="2:32" x14ac:dyDescent="0.35">
      <c r="B595" s="432" t="e">
        <f>"2024"&amp;MATCH(Totals!D595,OrgType,0)&amp;"_"&amp;MATCH(Totals!E595,Organisations,0)&amp;"_"&amp;LEFT(Totals!F595,1)&amp;"_"&amp;LEFT(G595,1)&amp;"_"&amp;COUNTIF($G$3:G595,G595)</f>
        <v>#N/A</v>
      </c>
      <c r="C595" s="432">
        <v>2024</v>
      </c>
      <c r="D595" s="432">
        <f>Introduction!$D$7</f>
        <v>0</v>
      </c>
      <c r="E595" s="432">
        <f>Introduction!$D$8</f>
        <v>0</v>
      </c>
      <c r="F595" s="432" t="s">
        <v>1115</v>
      </c>
      <c r="G595" s="432" t="s">
        <v>1115</v>
      </c>
      <c r="H595" s="433"/>
      <c r="I595" s="432">
        <f>'Land use &amp; agriculture'!B28</f>
        <v>0</v>
      </c>
      <c r="J595" s="432">
        <f>'Land use &amp; agriculture'!C28</f>
        <v>0</v>
      </c>
      <c r="K595" s="432">
        <f>'Land use &amp; agriculture'!D28</f>
        <v>0</v>
      </c>
      <c r="L595" s="432" t="str">
        <f>'Land use &amp; agriculture'!E28</f>
        <v>Tier 1</v>
      </c>
      <c r="M595" s="432" t="str">
        <f>'Land use &amp; agriculture'!F28</f>
        <v xml:space="preserve"> </v>
      </c>
      <c r="N595" s="432">
        <f>'Land use &amp; agriculture'!G28</f>
        <v>0</v>
      </c>
      <c r="O595" s="432" t="str">
        <f>'Land use &amp; agriculture'!H28</f>
        <v>ha</v>
      </c>
      <c r="P595" s="432">
        <f>'Land use &amp; agriculture'!I28</f>
        <v>0</v>
      </c>
      <c r="Q595" s="432" t="str">
        <f>'Land use &amp; agriculture'!J28</f>
        <v>ha</v>
      </c>
      <c r="R595" s="432" t="str">
        <f>'Land use &amp; agriculture'!K28</f>
        <v/>
      </c>
      <c r="S595" s="432" t="str">
        <f>'Land use &amp; agriculture'!L28</f>
        <v/>
      </c>
      <c r="T595" s="432">
        <f>'Land use &amp; agriculture'!M28</f>
        <v>0</v>
      </c>
      <c r="U595" s="432">
        <f>'Land use &amp; agriculture'!N28</f>
        <v>0</v>
      </c>
      <c r="V595" s="432">
        <f>'Land use &amp; agriculture'!O28</f>
        <v>0</v>
      </c>
      <c r="W595" s="432">
        <f>'Land use &amp; agriculture'!P28</f>
        <v>0</v>
      </c>
      <c r="X595" s="432">
        <f>'Land use &amp; agriculture'!Q28</f>
        <v>0</v>
      </c>
      <c r="Y595" s="432">
        <f>'Land use &amp; agriculture'!R28</f>
        <v>0</v>
      </c>
      <c r="Z595" s="432">
        <f>'Land use &amp; agriculture'!S28</f>
        <v>0</v>
      </c>
      <c r="AA595" s="432" t="str">
        <f>'Land use &amp; agriculture'!T28</f>
        <v/>
      </c>
      <c r="AB595" s="432" t="str">
        <f>'Land use &amp; agriculture'!U28</f>
        <v/>
      </c>
      <c r="AC595" s="432" t="str">
        <f>'Land use &amp; agriculture'!V28</f>
        <v/>
      </c>
      <c r="AE595" s="432">
        <f t="shared" si="22"/>
        <v>0</v>
      </c>
      <c r="AF595" s="432">
        <f t="shared" si="23"/>
        <v>0</v>
      </c>
    </row>
    <row r="596" spans="2:32" x14ac:dyDescent="0.35">
      <c r="B596" s="432" t="e">
        <f>"2024"&amp;MATCH(Totals!D596,OrgType,0)&amp;"_"&amp;MATCH(Totals!E596,Organisations,0)&amp;"_"&amp;LEFT(Totals!F596,1)&amp;"_"&amp;LEFT(G596,1)&amp;"_"&amp;COUNTIF($G$3:G596,G596)</f>
        <v>#N/A</v>
      </c>
      <c r="C596" s="432">
        <v>2024</v>
      </c>
      <c r="D596" s="432">
        <f>Introduction!$D$7</f>
        <v>0</v>
      </c>
      <c r="E596" s="432">
        <f>Introduction!$D$8</f>
        <v>0</v>
      </c>
      <c r="F596" s="432" t="s">
        <v>1115</v>
      </c>
      <c r="G596" s="432" t="s">
        <v>1115</v>
      </c>
      <c r="H596" s="433"/>
      <c r="I596" s="432">
        <f>'Land use &amp; agriculture'!B29</f>
        <v>0</v>
      </c>
      <c r="J596" s="432">
        <f>'Land use &amp; agriculture'!C29</f>
        <v>0</v>
      </c>
      <c r="K596" s="432">
        <f>'Land use &amp; agriculture'!D29</f>
        <v>0</v>
      </c>
      <c r="L596" s="432" t="str">
        <f>'Land use &amp; agriculture'!E29</f>
        <v>Tier 1</v>
      </c>
      <c r="M596" s="432" t="str">
        <f>'Land use &amp; agriculture'!F29</f>
        <v xml:space="preserve"> </v>
      </c>
      <c r="N596" s="432">
        <f>'Land use &amp; agriculture'!G29</f>
        <v>0</v>
      </c>
      <c r="O596" s="432" t="str">
        <f>'Land use &amp; agriculture'!H29</f>
        <v>ha</v>
      </c>
      <c r="P596" s="432">
        <f>'Land use &amp; agriculture'!I29</f>
        <v>0</v>
      </c>
      <c r="Q596" s="432" t="str">
        <f>'Land use &amp; agriculture'!J29</f>
        <v>ha</v>
      </c>
      <c r="R596" s="432" t="str">
        <f>'Land use &amp; agriculture'!K29</f>
        <v/>
      </c>
      <c r="S596" s="432" t="str">
        <f>'Land use &amp; agriculture'!L29</f>
        <v/>
      </c>
      <c r="T596" s="432">
        <f>'Land use &amp; agriculture'!M29</f>
        <v>0</v>
      </c>
      <c r="U596" s="432">
        <f>'Land use &amp; agriculture'!N29</f>
        <v>0</v>
      </c>
      <c r="V596" s="432">
        <f>'Land use &amp; agriculture'!O29</f>
        <v>0</v>
      </c>
      <c r="W596" s="432">
        <f>'Land use &amp; agriculture'!P29</f>
        <v>0</v>
      </c>
      <c r="X596" s="432">
        <f>'Land use &amp; agriculture'!Q29</f>
        <v>0</v>
      </c>
      <c r="Y596" s="432">
        <f>'Land use &amp; agriculture'!R29</f>
        <v>0</v>
      </c>
      <c r="Z596" s="432">
        <f>'Land use &amp; agriculture'!S29</f>
        <v>0</v>
      </c>
      <c r="AA596" s="432" t="str">
        <f>'Land use &amp; agriculture'!T29</f>
        <v/>
      </c>
      <c r="AB596" s="432" t="str">
        <f>'Land use &amp; agriculture'!U29</f>
        <v/>
      </c>
      <c r="AC596" s="432" t="str">
        <f>'Land use &amp; agriculture'!V29</f>
        <v/>
      </c>
      <c r="AE596" s="432">
        <f t="shared" si="22"/>
        <v>0</v>
      </c>
      <c r="AF596" s="432">
        <f t="shared" si="23"/>
        <v>0</v>
      </c>
    </row>
    <row r="597" spans="2:32" x14ac:dyDescent="0.35">
      <c r="B597" s="432" t="e">
        <f>"2024"&amp;MATCH(Totals!D597,OrgType,0)&amp;"_"&amp;MATCH(Totals!E597,Organisations,0)&amp;"_"&amp;LEFT(Totals!F597,1)&amp;"_"&amp;LEFT(G597,1)&amp;"_"&amp;COUNTIF($G$3:G597,G597)</f>
        <v>#N/A</v>
      </c>
      <c r="C597" s="432">
        <v>2024</v>
      </c>
      <c r="D597" s="432">
        <f>Introduction!$D$7</f>
        <v>0</v>
      </c>
      <c r="E597" s="432">
        <f>Introduction!$D$8</f>
        <v>0</v>
      </c>
      <c r="F597" s="432" t="s">
        <v>1115</v>
      </c>
      <c r="G597" s="432" t="s">
        <v>1115</v>
      </c>
      <c r="H597" s="433"/>
      <c r="I597" s="432">
        <f>'Land use &amp; agriculture'!B30</f>
        <v>0</v>
      </c>
      <c r="J597" s="432">
        <f>'Land use &amp; agriculture'!C30</f>
        <v>0</v>
      </c>
      <c r="K597" s="432">
        <f>'Land use &amp; agriculture'!D30</f>
        <v>0</v>
      </c>
      <c r="L597" s="432" t="str">
        <f>'Land use &amp; agriculture'!E30</f>
        <v>Tier 1</v>
      </c>
      <c r="M597" s="432" t="str">
        <f>'Land use &amp; agriculture'!F30</f>
        <v xml:space="preserve"> </v>
      </c>
      <c r="N597" s="432">
        <f>'Land use &amp; agriculture'!G30</f>
        <v>0</v>
      </c>
      <c r="O597" s="432" t="str">
        <f>'Land use &amp; agriculture'!H30</f>
        <v>ha</v>
      </c>
      <c r="P597" s="432">
        <f>'Land use &amp; agriculture'!I30</f>
        <v>0</v>
      </c>
      <c r="Q597" s="432" t="str">
        <f>'Land use &amp; agriculture'!J30</f>
        <v>ha</v>
      </c>
      <c r="R597" s="432" t="str">
        <f>'Land use &amp; agriculture'!K30</f>
        <v/>
      </c>
      <c r="S597" s="432" t="str">
        <f>'Land use &amp; agriculture'!L30</f>
        <v/>
      </c>
      <c r="T597" s="432">
        <f>'Land use &amp; agriculture'!M30</f>
        <v>0</v>
      </c>
      <c r="U597" s="432">
        <f>'Land use &amp; agriculture'!N30</f>
        <v>0</v>
      </c>
      <c r="V597" s="432">
        <f>'Land use &amp; agriculture'!O30</f>
        <v>0</v>
      </c>
      <c r="W597" s="432">
        <f>'Land use &amp; agriculture'!P30</f>
        <v>0</v>
      </c>
      <c r="X597" s="432">
        <f>'Land use &amp; agriculture'!Q30</f>
        <v>0</v>
      </c>
      <c r="Y597" s="432">
        <f>'Land use &amp; agriculture'!R30</f>
        <v>0</v>
      </c>
      <c r="Z597" s="432">
        <f>'Land use &amp; agriculture'!S30</f>
        <v>0</v>
      </c>
      <c r="AA597" s="432" t="str">
        <f>'Land use &amp; agriculture'!T30</f>
        <v/>
      </c>
      <c r="AB597" s="432" t="str">
        <f>'Land use &amp; agriculture'!U30</f>
        <v/>
      </c>
      <c r="AC597" s="432" t="str">
        <f>'Land use &amp; agriculture'!V30</f>
        <v/>
      </c>
      <c r="AE597" s="432">
        <f t="shared" si="22"/>
        <v>0</v>
      </c>
      <c r="AF597" s="432">
        <f t="shared" si="23"/>
        <v>0</v>
      </c>
    </row>
    <row r="598" spans="2:32" x14ac:dyDescent="0.35">
      <c r="B598" s="432" t="e">
        <f>"2024"&amp;MATCH(Totals!D598,OrgType,0)&amp;"_"&amp;MATCH(Totals!E598,Organisations,0)&amp;"_"&amp;LEFT(Totals!F598,1)&amp;"_"&amp;LEFT(G598,1)&amp;"_"&amp;COUNTIF($G$3:G598,G598)</f>
        <v>#N/A</v>
      </c>
      <c r="C598" s="432">
        <v>2024</v>
      </c>
      <c r="D598" s="432">
        <f>Introduction!$D$7</f>
        <v>0</v>
      </c>
      <c r="E598" s="432">
        <f>Introduction!$D$8</f>
        <v>0</v>
      </c>
      <c r="F598" s="432" t="s">
        <v>1115</v>
      </c>
      <c r="G598" s="432" t="s">
        <v>1115</v>
      </c>
      <c r="H598" s="433"/>
      <c r="I598" s="432">
        <f>'Land use &amp; agriculture'!B31</f>
        <v>0</v>
      </c>
      <c r="J598" s="432">
        <f>'Land use &amp; agriculture'!C31</f>
        <v>0</v>
      </c>
      <c r="K598" s="432">
        <f>'Land use &amp; agriculture'!D31</f>
        <v>0</v>
      </c>
      <c r="L598" s="432" t="str">
        <f>'Land use &amp; agriculture'!E31</f>
        <v>Tier 1</v>
      </c>
      <c r="M598" s="432" t="str">
        <f>'Land use &amp; agriculture'!F31</f>
        <v xml:space="preserve"> </v>
      </c>
      <c r="N598" s="432">
        <f>'Land use &amp; agriculture'!G31</f>
        <v>0</v>
      </c>
      <c r="O598" s="432" t="str">
        <f>'Land use &amp; agriculture'!H31</f>
        <v>ha</v>
      </c>
      <c r="P598" s="432">
        <f>'Land use &amp; agriculture'!I31</f>
        <v>0</v>
      </c>
      <c r="Q598" s="432" t="str">
        <f>'Land use &amp; agriculture'!J31</f>
        <v>ha</v>
      </c>
      <c r="R598" s="432" t="str">
        <f>'Land use &amp; agriculture'!K31</f>
        <v/>
      </c>
      <c r="S598" s="432" t="str">
        <f>'Land use &amp; agriculture'!L31</f>
        <v/>
      </c>
      <c r="T598" s="432">
        <f>'Land use &amp; agriculture'!M31</f>
        <v>0</v>
      </c>
      <c r="U598" s="432">
        <f>'Land use &amp; agriculture'!N31</f>
        <v>0</v>
      </c>
      <c r="V598" s="432">
        <f>'Land use &amp; agriculture'!O31</f>
        <v>0</v>
      </c>
      <c r="W598" s="432">
        <f>'Land use &amp; agriculture'!P31</f>
        <v>0</v>
      </c>
      <c r="X598" s="432">
        <f>'Land use &amp; agriculture'!Q31</f>
        <v>0</v>
      </c>
      <c r="Y598" s="432">
        <f>'Land use &amp; agriculture'!R31</f>
        <v>0</v>
      </c>
      <c r="Z598" s="432">
        <f>'Land use &amp; agriculture'!S31</f>
        <v>0</v>
      </c>
      <c r="AA598" s="432" t="str">
        <f>'Land use &amp; agriculture'!T31</f>
        <v/>
      </c>
      <c r="AB598" s="432" t="str">
        <f>'Land use &amp; agriculture'!U31</f>
        <v/>
      </c>
      <c r="AC598" s="432" t="str">
        <f>'Land use &amp; agriculture'!V31</f>
        <v/>
      </c>
      <c r="AE598" s="432">
        <f t="shared" si="22"/>
        <v>0</v>
      </c>
      <c r="AF598" s="432">
        <f t="shared" si="23"/>
        <v>0</v>
      </c>
    </row>
    <row r="599" spans="2:32" x14ac:dyDescent="0.35">
      <c r="B599" s="432" t="e">
        <f>"2024"&amp;MATCH(Totals!D599,OrgType,0)&amp;"_"&amp;MATCH(Totals!E599,Organisations,0)&amp;"_"&amp;LEFT(Totals!F599,1)&amp;"_"&amp;LEFT(G599,1)&amp;"_"&amp;COUNTIF($G$3:G599,G599)</f>
        <v>#N/A</v>
      </c>
      <c r="C599" s="432">
        <v>2024</v>
      </c>
      <c r="D599" s="432">
        <f>Introduction!$D$7</f>
        <v>0</v>
      </c>
      <c r="E599" s="432">
        <f>Introduction!$D$8</f>
        <v>0</v>
      </c>
      <c r="F599" s="432" t="s">
        <v>1115</v>
      </c>
      <c r="G599" s="432" t="s">
        <v>1115</v>
      </c>
      <c r="H599" s="433"/>
      <c r="I599" s="432">
        <f>'Land use &amp; agriculture'!B32</f>
        <v>0</v>
      </c>
      <c r="J599" s="432">
        <f>'Land use &amp; agriculture'!C32</f>
        <v>0</v>
      </c>
      <c r="K599" s="432">
        <f>'Land use &amp; agriculture'!D32</f>
        <v>0</v>
      </c>
      <c r="L599" s="432" t="str">
        <f>'Land use &amp; agriculture'!E32</f>
        <v>Tier 1</v>
      </c>
      <c r="M599" s="432" t="str">
        <f>'Land use &amp; agriculture'!F32</f>
        <v xml:space="preserve"> </v>
      </c>
      <c r="N599" s="432">
        <f>'Land use &amp; agriculture'!G32</f>
        <v>0</v>
      </c>
      <c r="O599" s="432" t="str">
        <f>'Land use &amp; agriculture'!H32</f>
        <v>ha</v>
      </c>
      <c r="P599" s="432">
        <f>'Land use &amp; agriculture'!I32</f>
        <v>0</v>
      </c>
      <c r="Q599" s="432" t="str">
        <f>'Land use &amp; agriculture'!J32</f>
        <v>ha</v>
      </c>
      <c r="R599" s="432" t="str">
        <f>'Land use &amp; agriculture'!K32</f>
        <v/>
      </c>
      <c r="S599" s="432" t="str">
        <f>'Land use &amp; agriculture'!L32</f>
        <v/>
      </c>
      <c r="T599" s="432">
        <f>'Land use &amp; agriculture'!M32</f>
        <v>0</v>
      </c>
      <c r="U599" s="432">
        <f>'Land use &amp; agriculture'!N32</f>
        <v>0</v>
      </c>
      <c r="V599" s="432">
        <f>'Land use &amp; agriculture'!O32</f>
        <v>0</v>
      </c>
      <c r="W599" s="432">
        <f>'Land use &amp; agriculture'!P32</f>
        <v>0</v>
      </c>
      <c r="X599" s="432">
        <f>'Land use &amp; agriculture'!Q32</f>
        <v>0</v>
      </c>
      <c r="Y599" s="432">
        <f>'Land use &amp; agriculture'!R32</f>
        <v>0</v>
      </c>
      <c r="Z599" s="432">
        <f>'Land use &amp; agriculture'!S32</f>
        <v>0</v>
      </c>
      <c r="AA599" s="432" t="str">
        <f>'Land use &amp; agriculture'!T32</f>
        <v/>
      </c>
      <c r="AB599" s="432" t="str">
        <f>'Land use &amp; agriculture'!U32</f>
        <v/>
      </c>
      <c r="AC599" s="432" t="str">
        <f>'Land use &amp; agriculture'!V32</f>
        <v/>
      </c>
      <c r="AE599" s="432">
        <f t="shared" si="22"/>
        <v>0</v>
      </c>
      <c r="AF599" s="432">
        <f t="shared" si="23"/>
        <v>0</v>
      </c>
    </row>
    <row r="600" spans="2:32" x14ac:dyDescent="0.35">
      <c r="B600" s="432" t="e">
        <f>"2024"&amp;MATCH(Totals!D600,OrgType,0)&amp;"_"&amp;MATCH(Totals!E600,Organisations,0)&amp;"_"&amp;LEFT(Totals!F600,1)&amp;"_"&amp;LEFT(G600,1)&amp;"_"&amp;COUNTIF($G$3:G600,G600)</f>
        <v>#N/A</v>
      </c>
      <c r="C600" s="432">
        <v>2024</v>
      </c>
      <c r="D600" s="432">
        <f>Introduction!$D$7</f>
        <v>0</v>
      </c>
      <c r="E600" s="432">
        <f>Introduction!$D$8</f>
        <v>0</v>
      </c>
      <c r="F600" s="432" t="s">
        <v>1115</v>
      </c>
      <c r="G600" s="432" t="s">
        <v>1115</v>
      </c>
      <c r="H600" s="433"/>
      <c r="I600" s="432">
        <f>'Land use &amp; agriculture'!B33</f>
        <v>0</v>
      </c>
      <c r="J600" s="432">
        <f>'Land use &amp; agriculture'!C33</f>
        <v>0</v>
      </c>
      <c r="K600" s="432">
        <f>'Land use &amp; agriculture'!D33</f>
        <v>0</v>
      </c>
      <c r="L600" s="432" t="str">
        <f>'Land use &amp; agriculture'!E33</f>
        <v>Tier 1</v>
      </c>
      <c r="M600" s="432" t="str">
        <f>'Land use &amp; agriculture'!F33</f>
        <v xml:space="preserve"> </v>
      </c>
      <c r="N600" s="432">
        <f>'Land use &amp; agriculture'!G33</f>
        <v>0</v>
      </c>
      <c r="O600" s="432" t="str">
        <f>'Land use &amp; agriculture'!H33</f>
        <v>ha</v>
      </c>
      <c r="P600" s="432">
        <f>'Land use &amp; agriculture'!I33</f>
        <v>0</v>
      </c>
      <c r="Q600" s="432" t="str">
        <f>'Land use &amp; agriculture'!J33</f>
        <v>ha</v>
      </c>
      <c r="R600" s="432" t="str">
        <f>'Land use &amp; agriculture'!K33</f>
        <v/>
      </c>
      <c r="S600" s="432" t="str">
        <f>'Land use &amp; agriculture'!L33</f>
        <v/>
      </c>
      <c r="T600" s="432">
        <f>'Land use &amp; agriculture'!M33</f>
        <v>0</v>
      </c>
      <c r="U600" s="432">
        <f>'Land use &amp; agriculture'!N33</f>
        <v>0</v>
      </c>
      <c r="V600" s="432">
        <f>'Land use &amp; agriculture'!O33</f>
        <v>0</v>
      </c>
      <c r="W600" s="432">
        <f>'Land use &amp; agriculture'!P33</f>
        <v>0</v>
      </c>
      <c r="X600" s="432">
        <f>'Land use &amp; agriculture'!Q33</f>
        <v>0</v>
      </c>
      <c r="Y600" s="432">
        <f>'Land use &amp; agriculture'!R33</f>
        <v>0</v>
      </c>
      <c r="Z600" s="432">
        <f>'Land use &amp; agriculture'!S33</f>
        <v>0</v>
      </c>
      <c r="AA600" s="432" t="str">
        <f>'Land use &amp; agriculture'!T33</f>
        <v/>
      </c>
      <c r="AB600" s="432" t="str">
        <f>'Land use &amp; agriculture'!U33</f>
        <v/>
      </c>
      <c r="AC600" s="432" t="str">
        <f>'Land use &amp; agriculture'!V33</f>
        <v/>
      </c>
      <c r="AE600" s="432">
        <f t="shared" si="22"/>
        <v>0</v>
      </c>
      <c r="AF600" s="432">
        <f t="shared" si="23"/>
        <v>0</v>
      </c>
    </row>
    <row r="601" spans="2:32" x14ac:dyDescent="0.35">
      <c r="B601" s="432" t="e">
        <f>"2024"&amp;MATCH(Totals!D601,OrgType,0)&amp;"_"&amp;MATCH(Totals!E601,Organisations,0)&amp;"_"&amp;LEFT(Totals!F601,1)&amp;"_"&amp;LEFT(G601,1)&amp;"_"&amp;COUNTIF($G$3:G601,G601)</f>
        <v>#N/A</v>
      </c>
      <c r="C601" s="432">
        <v>2024</v>
      </c>
      <c r="D601" s="432">
        <f>Introduction!$D$7</f>
        <v>0</v>
      </c>
      <c r="E601" s="432">
        <f>Introduction!$D$8</f>
        <v>0</v>
      </c>
      <c r="F601" s="432" t="s">
        <v>1115</v>
      </c>
      <c r="G601" s="432" t="s">
        <v>1115</v>
      </c>
      <c r="H601" s="433"/>
      <c r="I601" s="432">
        <f>'Land use &amp; agriculture'!B34</f>
        <v>0</v>
      </c>
      <c r="J601" s="432">
        <f>'Land use &amp; agriculture'!C34</f>
        <v>0</v>
      </c>
      <c r="K601" s="432">
        <f>'Land use &amp; agriculture'!D34</f>
        <v>0</v>
      </c>
      <c r="L601" s="432" t="str">
        <f>'Land use &amp; agriculture'!E34</f>
        <v>Tier 1</v>
      </c>
      <c r="M601" s="432" t="str">
        <f>'Land use &amp; agriculture'!F34</f>
        <v xml:space="preserve"> </v>
      </c>
      <c r="N601" s="432">
        <f>'Land use &amp; agriculture'!G34</f>
        <v>0</v>
      </c>
      <c r="O601" s="432" t="str">
        <f>'Land use &amp; agriculture'!H34</f>
        <v>ha</v>
      </c>
      <c r="P601" s="432">
        <f>'Land use &amp; agriculture'!I34</f>
        <v>0</v>
      </c>
      <c r="Q601" s="432" t="str">
        <f>'Land use &amp; agriculture'!J34</f>
        <v>ha</v>
      </c>
      <c r="R601" s="432" t="str">
        <f>'Land use &amp; agriculture'!K34</f>
        <v/>
      </c>
      <c r="S601" s="432" t="str">
        <f>'Land use &amp; agriculture'!L34</f>
        <v/>
      </c>
      <c r="T601" s="432">
        <f>'Land use &amp; agriculture'!M34</f>
        <v>0</v>
      </c>
      <c r="U601" s="432">
        <f>'Land use &amp; agriculture'!N34</f>
        <v>0</v>
      </c>
      <c r="V601" s="432">
        <f>'Land use &amp; agriculture'!O34</f>
        <v>0</v>
      </c>
      <c r="W601" s="432">
        <f>'Land use &amp; agriculture'!P34</f>
        <v>0</v>
      </c>
      <c r="X601" s="432">
        <f>'Land use &amp; agriculture'!Q34</f>
        <v>0</v>
      </c>
      <c r="Y601" s="432">
        <f>'Land use &amp; agriculture'!R34</f>
        <v>0</v>
      </c>
      <c r="Z601" s="432">
        <f>'Land use &amp; agriculture'!S34</f>
        <v>0</v>
      </c>
      <c r="AA601" s="432" t="str">
        <f>'Land use &amp; agriculture'!T34</f>
        <v/>
      </c>
      <c r="AB601" s="432" t="str">
        <f>'Land use &amp; agriculture'!U34</f>
        <v/>
      </c>
      <c r="AC601" s="432" t="str">
        <f>'Land use &amp; agriculture'!V34</f>
        <v/>
      </c>
      <c r="AE601" s="432">
        <f t="shared" si="22"/>
        <v>0</v>
      </c>
      <c r="AF601" s="432">
        <f t="shared" si="23"/>
        <v>0</v>
      </c>
    </row>
    <row r="602" spans="2:32" x14ac:dyDescent="0.35">
      <c r="B602" s="432" t="e">
        <f>"2024"&amp;MATCH(Totals!D602,OrgType,0)&amp;"_"&amp;MATCH(Totals!E602,Organisations,0)&amp;"_"&amp;LEFT(Totals!F602,1)&amp;"_"&amp;LEFT(G602,1)&amp;"_"&amp;COUNTIF($G$3:G602,G602)</f>
        <v>#N/A</v>
      </c>
      <c r="C602" s="432">
        <v>2024</v>
      </c>
      <c r="D602" s="432">
        <f>Introduction!$D$7</f>
        <v>0</v>
      </c>
      <c r="E602" s="432">
        <f>Introduction!$D$8</f>
        <v>0</v>
      </c>
      <c r="F602" s="432" t="s">
        <v>1115</v>
      </c>
      <c r="G602" s="432" t="s">
        <v>1115</v>
      </c>
      <c r="H602" s="433"/>
      <c r="I602" s="432">
        <f>'Land use &amp; agriculture'!B35</f>
        <v>0</v>
      </c>
      <c r="J602" s="432">
        <f>'Land use &amp; agriculture'!C35</f>
        <v>0</v>
      </c>
      <c r="K602" s="432">
        <f>'Land use &amp; agriculture'!D35</f>
        <v>0</v>
      </c>
      <c r="L602" s="432" t="str">
        <f>'Land use &amp; agriculture'!E35</f>
        <v>Tier 1</v>
      </c>
      <c r="M602" s="432" t="str">
        <f>'Land use &amp; agriculture'!F35</f>
        <v xml:space="preserve"> </v>
      </c>
      <c r="N602" s="432">
        <f>'Land use &amp; agriculture'!G35</f>
        <v>0</v>
      </c>
      <c r="O602" s="432" t="str">
        <f>'Land use &amp; agriculture'!H35</f>
        <v>ha</v>
      </c>
      <c r="P602" s="432">
        <f>'Land use &amp; agriculture'!I35</f>
        <v>0</v>
      </c>
      <c r="Q602" s="432" t="str">
        <f>'Land use &amp; agriculture'!J35</f>
        <v>ha</v>
      </c>
      <c r="R602" s="432" t="str">
        <f>'Land use &amp; agriculture'!K35</f>
        <v/>
      </c>
      <c r="S602" s="432" t="str">
        <f>'Land use &amp; agriculture'!L35</f>
        <v/>
      </c>
      <c r="T602" s="432">
        <f>'Land use &amp; agriculture'!M35</f>
        <v>0</v>
      </c>
      <c r="U602" s="432">
        <f>'Land use &amp; agriculture'!N35</f>
        <v>0</v>
      </c>
      <c r="V602" s="432">
        <f>'Land use &amp; agriculture'!O35</f>
        <v>0</v>
      </c>
      <c r="W602" s="432">
        <f>'Land use &amp; agriculture'!P35</f>
        <v>0</v>
      </c>
      <c r="X602" s="432">
        <f>'Land use &amp; agriculture'!Q35</f>
        <v>0</v>
      </c>
      <c r="Y602" s="432">
        <f>'Land use &amp; agriculture'!R35</f>
        <v>0</v>
      </c>
      <c r="Z602" s="432">
        <f>'Land use &amp; agriculture'!S35</f>
        <v>0</v>
      </c>
      <c r="AA602" s="432" t="str">
        <f>'Land use &amp; agriculture'!T35</f>
        <v/>
      </c>
      <c r="AB602" s="432" t="str">
        <f>'Land use &amp; agriculture'!U35</f>
        <v/>
      </c>
      <c r="AC602" s="432" t="str">
        <f>'Land use &amp; agriculture'!V35</f>
        <v/>
      </c>
      <c r="AE602" s="432">
        <f t="shared" si="22"/>
        <v>0</v>
      </c>
      <c r="AF602" s="432">
        <f t="shared" si="23"/>
        <v>0</v>
      </c>
    </row>
    <row r="603" spans="2:32" x14ac:dyDescent="0.35">
      <c r="B603" s="432" t="e">
        <f>"2024"&amp;MATCH(Totals!D603,OrgType,0)&amp;"_"&amp;MATCH(Totals!E603,Organisations,0)&amp;"_"&amp;LEFT(Totals!F603,1)&amp;"_"&amp;LEFT(G603,1)&amp;"_"&amp;COUNTIF($G$3:G603,G603)</f>
        <v>#N/A</v>
      </c>
      <c r="C603" s="432">
        <v>2024</v>
      </c>
      <c r="D603" s="432">
        <f>Introduction!$D$7</f>
        <v>0</v>
      </c>
      <c r="E603" s="432">
        <f>Introduction!$D$8</f>
        <v>0</v>
      </c>
      <c r="F603" s="432" t="s">
        <v>1115</v>
      </c>
      <c r="G603" s="432" t="s">
        <v>1115</v>
      </c>
      <c r="H603" s="433"/>
      <c r="I603" s="432">
        <f>'Land use &amp; agriculture'!B36</f>
        <v>0</v>
      </c>
      <c r="J603" s="432">
        <f>'Land use &amp; agriculture'!C36</f>
        <v>0</v>
      </c>
      <c r="K603" s="432">
        <f>'Land use &amp; agriculture'!D36</f>
        <v>0</v>
      </c>
      <c r="L603" s="432" t="str">
        <f>'Land use &amp; agriculture'!E36</f>
        <v>Tier 1</v>
      </c>
      <c r="M603" s="432" t="str">
        <f>'Land use &amp; agriculture'!F36</f>
        <v xml:space="preserve"> </v>
      </c>
      <c r="N603" s="432">
        <f>'Land use &amp; agriculture'!G36</f>
        <v>0</v>
      </c>
      <c r="O603" s="432" t="str">
        <f>'Land use &amp; agriculture'!H36</f>
        <v>ha</v>
      </c>
      <c r="P603" s="432">
        <f>'Land use &amp; agriculture'!I36</f>
        <v>0</v>
      </c>
      <c r="Q603" s="432" t="str">
        <f>'Land use &amp; agriculture'!J36</f>
        <v>ha</v>
      </c>
      <c r="R603" s="432" t="str">
        <f>'Land use &amp; agriculture'!K36</f>
        <v/>
      </c>
      <c r="S603" s="432" t="str">
        <f>'Land use &amp; agriculture'!L36</f>
        <v/>
      </c>
      <c r="T603" s="432">
        <f>'Land use &amp; agriculture'!M36</f>
        <v>0</v>
      </c>
      <c r="U603" s="432">
        <f>'Land use &amp; agriculture'!N36</f>
        <v>0</v>
      </c>
      <c r="V603" s="432">
        <f>'Land use &amp; agriculture'!O36</f>
        <v>0</v>
      </c>
      <c r="W603" s="432">
        <f>'Land use &amp; agriculture'!P36</f>
        <v>0</v>
      </c>
      <c r="X603" s="432">
        <f>'Land use &amp; agriculture'!Q36</f>
        <v>0</v>
      </c>
      <c r="Y603" s="432">
        <f>'Land use &amp; agriculture'!R36</f>
        <v>0</v>
      </c>
      <c r="Z603" s="432">
        <f>'Land use &amp; agriculture'!S36</f>
        <v>0</v>
      </c>
      <c r="AA603" s="432" t="str">
        <f>'Land use &amp; agriculture'!T36</f>
        <v/>
      </c>
      <c r="AB603" s="432" t="str">
        <f>'Land use &amp; agriculture'!U36</f>
        <v/>
      </c>
      <c r="AC603" s="432" t="str">
        <f>'Land use &amp; agriculture'!V36</f>
        <v/>
      </c>
      <c r="AE603" s="432">
        <f t="shared" si="22"/>
        <v>0</v>
      </c>
      <c r="AF603" s="432">
        <f t="shared" si="23"/>
        <v>0</v>
      </c>
    </row>
    <row r="604" spans="2:32" x14ac:dyDescent="0.35">
      <c r="B604" s="432" t="e">
        <f>"2024"&amp;MATCH(Totals!D604,OrgType,0)&amp;"_"&amp;MATCH(Totals!E604,Organisations,0)&amp;"_"&amp;LEFT(Totals!F604,1)&amp;"_"&amp;LEFT(G604,1)&amp;"_"&amp;COUNTIF($G$3:G604,G604)</f>
        <v>#N/A</v>
      </c>
      <c r="C604" s="432">
        <v>2024</v>
      </c>
      <c r="D604" s="432">
        <f>Introduction!$D$7</f>
        <v>0</v>
      </c>
      <c r="E604" s="432">
        <f>Introduction!$D$8</f>
        <v>0</v>
      </c>
      <c r="F604" s="432" t="s">
        <v>1115</v>
      </c>
      <c r="G604" s="432" t="s">
        <v>1115</v>
      </c>
      <c r="H604" s="433"/>
      <c r="I604" s="432">
        <f>'Land use &amp; agriculture'!B41</f>
        <v>0</v>
      </c>
      <c r="J604" s="432">
        <f>'Land use &amp; agriculture'!C42</f>
        <v>0</v>
      </c>
      <c r="K604" s="432">
        <f>'Land use &amp; agriculture'!D41</f>
        <v>0</v>
      </c>
      <c r="L604" s="432">
        <f>'Land use &amp; agriculture'!E41</f>
        <v>0</v>
      </c>
      <c r="M604" s="432" t="str">
        <f>'Land use &amp; agriculture'!F41</f>
        <v/>
      </c>
      <c r="N604" s="432">
        <f>'Land use &amp; agriculture'!G41</f>
        <v>0</v>
      </c>
      <c r="O604" s="432" t="str">
        <f>'Land use &amp; agriculture'!H41</f>
        <v>ha</v>
      </c>
      <c r="P604" s="432">
        <f>'Land use &amp; agriculture'!I41</f>
        <v>0</v>
      </c>
      <c r="Q604" s="432" t="str">
        <f>'Land use &amp; agriculture'!J41</f>
        <v>ha</v>
      </c>
      <c r="R604" s="432" t="str">
        <f>'Land use &amp; agriculture'!K41</f>
        <v/>
      </c>
      <c r="S604" s="432">
        <f>'Land use &amp; agriculture'!L41</f>
        <v>0</v>
      </c>
      <c r="T604" s="432">
        <f>'Land use &amp; agriculture'!M41</f>
        <v>0</v>
      </c>
      <c r="U604" s="432">
        <f>'Land use &amp; agriculture'!N41</f>
        <v>0</v>
      </c>
      <c r="V604" s="432">
        <f>'Land use &amp; agriculture'!O41</f>
        <v>0</v>
      </c>
      <c r="W604" s="432">
        <f>'Land use &amp; agriculture'!P41</f>
        <v>0</v>
      </c>
      <c r="X604" s="432">
        <f>'Land use &amp; agriculture'!Q41</f>
        <v>0</v>
      </c>
      <c r="Y604" s="432">
        <f>'Land use &amp; agriculture'!R41</f>
        <v>0</v>
      </c>
      <c r="Z604" s="432">
        <f>'Land use &amp; agriculture'!S41</f>
        <v>0</v>
      </c>
      <c r="AA604" s="432" t="str">
        <f>'Land use &amp; agriculture'!T41</f>
        <v/>
      </c>
      <c r="AB604" s="432" t="str">
        <f>'Land use &amp; agriculture'!U41</f>
        <v/>
      </c>
      <c r="AC604" s="432">
        <f>'Land use &amp; agriculture'!V41</f>
        <v>0</v>
      </c>
      <c r="AE604" s="432">
        <f t="shared" si="22"/>
        <v>0</v>
      </c>
      <c r="AF604" s="432">
        <f t="shared" si="23"/>
        <v>0</v>
      </c>
    </row>
    <row r="605" spans="2:32" x14ac:dyDescent="0.35">
      <c r="B605" s="432" t="e">
        <f>"2024"&amp;MATCH(Totals!D605,OrgType,0)&amp;"_"&amp;MATCH(Totals!E605,Organisations,0)&amp;"_"&amp;LEFT(Totals!F605,1)&amp;"_"&amp;LEFT(G605,1)&amp;"_"&amp;COUNTIF($G$3:G605,G605)</f>
        <v>#N/A</v>
      </c>
      <c r="C605" s="432">
        <v>2024</v>
      </c>
      <c r="D605" s="432">
        <f>Introduction!$D$7</f>
        <v>0</v>
      </c>
      <c r="E605" s="432">
        <f>Introduction!$D$8</f>
        <v>0</v>
      </c>
      <c r="F605" s="432" t="s">
        <v>1115</v>
      </c>
      <c r="G605" s="432" t="s">
        <v>1115</v>
      </c>
      <c r="H605" s="433"/>
      <c r="I605" s="432">
        <f>'Land use &amp; agriculture'!B42</f>
        <v>0</v>
      </c>
      <c r="J605" s="432" t="e">
        <f>'Land use &amp; agriculture'!#REF!</f>
        <v>#REF!</v>
      </c>
      <c r="K605" s="432">
        <f>'Land use &amp; agriculture'!D42</f>
        <v>0</v>
      </c>
      <c r="L605" s="432">
        <f>'Land use &amp; agriculture'!E42</f>
        <v>0</v>
      </c>
      <c r="M605" s="432" t="str">
        <f>'Land use &amp; agriculture'!F42</f>
        <v/>
      </c>
      <c r="N605" s="432">
        <f>'Land use &amp; agriculture'!G42</f>
        <v>0</v>
      </c>
      <c r="O605" s="432" t="str">
        <f>'Land use &amp; agriculture'!H42</f>
        <v>ha</v>
      </c>
      <c r="P605" s="432">
        <f>'Land use &amp; agriculture'!I42</f>
        <v>0</v>
      </c>
      <c r="Q605" s="432" t="str">
        <f>'Land use &amp; agriculture'!J42</f>
        <v>ha</v>
      </c>
      <c r="R605" s="432" t="str">
        <f>'Land use &amp; agriculture'!K42</f>
        <v/>
      </c>
      <c r="S605" s="432">
        <f>'Land use &amp; agriculture'!L42</f>
        <v>0</v>
      </c>
      <c r="T605" s="432">
        <f>'Land use &amp; agriculture'!M42</f>
        <v>0</v>
      </c>
      <c r="U605" s="432">
        <f>'Land use &amp; agriculture'!N42</f>
        <v>0</v>
      </c>
      <c r="V605" s="432">
        <f>'Land use &amp; agriculture'!O42</f>
        <v>0</v>
      </c>
      <c r="W605" s="432">
        <f>'Land use &amp; agriculture'!P42</f>
        <v>0</v>
      </c>
      <c r="X605" s="432">
        <f>'Land use &amp; agriculture'!Q42</f>
        <v>0</v>
      </c>
      <c r="Y605" s="432">
        <f>'Land use &amp; agriculture'!R42</f>
        <v>0</v>
      </c>
      <c r="Z605" s="432">
        <f>'Land use &amp; agriculture'!S42</f>
        <v>0</v>
      </c>
      <c r="AA605" s="432" t="str">
        <f>'Land use &amp; agriculture'!T42</f>
        <v/>
      </c>
      <c r="AB605" s="432" t="str">
        <f>'Land use &amp; agriculture'!U42</f>
        <v/>
      </c>
      <c r="AC605" s="432">
        <f>'Land use &amp; agriculture'!V42</f>
        <v>0</v>
      </c>
      <c r="AE605" s="432">
        <f t="shared" si="22"/>
        <v>0</v>
      </c>
      <c r="AF605" s="432">
        <f t="shared" si="23"/>
        <v>0</v>
      </c>
    </row>
    <row r="606" spans="2:32" x14ac:dyDescent="0.35">
      <c r="B606" s="432" t="e">
        <f>"2024"&amp;MATCH(Totals!D606,OrgType,0)&amp;"_"&amp;MATCH(Totals!E606,Organisations,0)&amp;"_"&amp;LEFT(Totals!F606,1)&amp;"_"&amp;LEFT(G606,1)&amp;"_"&amp;COUNTIF($G$3:G606,G606)</f>
        <v>#N/A</v>
      </c>
      <c r="C606" s="432">
        <v>2024</v>
      </c>
      <c r="D606" s="432">
        <f>Introduction!$D$7</f>
        <v>0</v>
      </c>
      <c r="E606" s="432">
        <f>Introduction!$D$8</f>
        <v>0</v>
      </c>
      <c r="F606" s="432" t="s">
        <v>1115</v>
      </c>
      <c r="G606" s="432" t="s">
        <v>1115</v>
      </c>
      <c r="H606" s="433"/>
      <c r="I606" s="432">
        <f>'Land use &amp; agriculture'!B43</f>
        <v>0</v>
      </c>
      <c r="J606" s="432">
        <f>'Land use &amp; agriculture'!C43</f>
        <v>0</v>
      </c>
      <c r="K606" s="432">
        <f>'Land use &amp; agriculture'!D43</f>
        <v>0</v>
      </c>
      <c r="L606" s="432">
        <f>'Land use &amp; agriculture'!E43</f>
        <v>0</v>
      </c>
      <c r="M606" s="432" t="str">
        <f>'Land use &amp; agriculture'!F43</f>
        <v/>
      </c>
      <c r="N606" s="432">
        <f>'Land use &amp; agriculture'!G43</f>
        <v>0</v>
      </c>
      <c r="O606" s="432" t="str">
        <f>'Land use &amp; agriculture'!H43</f>
        <v>ha</v>
      </c>
      <c r="P606" s="432">
        <f>'Land use &amp; agriculture'!I43</f>
        <v>0</v>
      </c>
      <c r="Q606" s="432" t="str">
        <f>'Land use &amp; agriculture'!J43</f>
        <v>ha</v>
      </c>
      <c r="R606" s="432" t="str">
        <f>'Land use &amp; agriculture'!K43</f>
        <v/>
      </c>
      <c r="S606" s="432">
        <f>'Land use &amp; agriculture'!L43</f>
        <v>0</v>
      </c>
      <c r="T606" s="432">
        <f>'Land use &amp; agriculture'!M43</f>
        <v>0</v>
      </c>
      <c r="U606" s="432">
        <f>'Land use &amp; agriculture'!N43</f>
        <v>0</v>
      </c>
      <c r="V606" s="432">
        <f>'Land use &amp; agriculture'!O43</f>
        <v>0</v>
      </c>
      <c r="W606" s="432">
        <f>'Land use &amp; agriculture'!P43</f>
        <v>0</v>
      </c>
      <c r="X606" s="432">
        <f>'Land use &amp; agriculture'!Q43</f>
        <v>0</v>
      </c>
      <c r="Y606" s="432">
        <f>'Land use &amp; agriculture'!R43</f>
        <v>0</v>
      </c>
      <c r="Z606" s="432">
        <f>'Land use &amp; agriculture'!S43</f>
        <v>0</v>
      </c>
      <c r="AA606" s="432" t="str">
        <f>'Land use &amp; agriculture'!T43</f>
        <v/>
      </c>
      <c r="AB606" s="432" t="str">
        <f>'Land use &amp; agriculture'!U43</f>
        <v/>
      </c>
      <c r="AC606" s="432">
        <f>'Land use &amp; agriculture'!V43</f>
        <v>0</v>
      </c>
      <c r="AE606" s="432">
        <f t="shared" si="22"/>
        <v>0</v>
      </c>
      <c r="AF606" s="432">
        <f t="shared" si="23"/>
        <v>0</v>
      </c>
    </row>
    <row r="607" spans="2:32" x14ac:dyDescent="0.35">
      <c r="B607" s="432" t="e">
        <f>"2024"&amp;MATCH(Totals!D607,OrgType,0)&amp;"_"&amp;MATCH(Totals!E607,Organisations,0)&amp;"_"&amp;LEFT(Totals!F607,1)&amp;"_"&amp;LEFT(G607,1)&amp;"_"&amp;COUNTIF($G$3:G607,G607)</f>
        <v>#N/A</v>
      </c>
      <c r="C607" s="432">
        <v>2024</v>
      </c>
      <c r="D607" s="432">
        <f>Introduction!$D$7</f>
        <v>0</v>
      </c>
      <c r="E607" s="432">
        <f>Introduction!$D$8</f>
        <v>0</v>
      </c>
      <c r="F607" s="432" t="s">
        <v>1115</v>
      </c>
      <c r="G607" s="432" t="s">
        <v>1115</v>
      </c>
      <c r="H607" s="433"/>
      <c r="I607" s="432">
        <f>'Land use &amp; agriculture'!B44</f>
        <v>0</v>
      </c>
      <c r="J607" s="432">
        <f>'Land use &amp; agriculture'!C44</f>
        <v>0</v>
      </c>
      <c r="K607" s="432">
        <f>'Land use &amp; agriculture'!D44</f>
        <v>0</v>
      </c>
      <c r="L607" s="432">
        <f>'Land use &amp; agriculture'!E44</f>
        <v>0</v>
      </c>
      <c r="M607" s="432" t="str">
        <f>'Land use &amp; agriculture'!F44</f>
        <v/>
      </c>
      <c r="N607" s="432">
        <f>'Land use &amp; agriculture'!G44</f>
        <v>0</v>
      </c>
      <c r="O607" s="432" t="str">
        <f>'Land use &amp; agriculture'!H44</f>
        <v>ha</v>
      </c>
      <c r="P607" s="432">
        <f>'Land use &amp; agriculture'!I44</f>
        <v>0</v>
      </c>
      <c r="Q607" s="432" t="str">
        <f>'Land use &amp; agriculture'!J44</f>
        <v>ha</v>
      </c>
      <c r="R607" s="432" t="str">
        <f>'Land use &amp; agriculture'!K44</f>
        <v/>
      </c>
      <c r="S607" s="432">
        <f>'Land use &amp; agriculture'!L44</f>
        <v>0</v>
      </c>
      <c r="T607" s="432">
        <f>'Land use &amp; agriculture'!M44</f>
        <v>0</v>
      </c>
      <c r="U607" s="432">
        <f>'Land use &amp; agriculture'!N44</f>
        <v>0</v>
      </c>
      <c r="V607" s="432">
        <f>'Land use &amp; agriculture'!O44</f>
        <v>0</v>
      </c>
      <c r="W607" s="432">
        <f>'Land use &amp; agriculture'!P44</f>
        <v>0</v>
      </c>
      <c r="X607" s="432">
        <f>'Land use &amp; agriculture'!Q44</f>
        <v>0</v>
      </c>
      <c r="Y607" s="432">
        <f>'Land use &amp; agriculture'!R44</f>
        <v>0</v>
      </c>
      <c r="Z607" s="432">
        <f>'Land use &amp; agriculture'!S44</f>
        <v>0</v>
      </c>
      <c r="AA607" s="432" t="str">
        <f>'Land use &amp; agriculture'!T44</f>
        <v/>
      </c>
      <c r="AB607" s="432" t="str">
        <f>'Land use &amp; agriculture'!U44</f>
        <v/>
      </c>
      <c r="AC607" s="432">
        <f>'Land use &amp; agriculture'!V44</f>
        <v>0</v>
      </c>
      <c r="AE607" s="432">
        <f t="shared" si="22"/>
        <v>0</v>
      </c>
      <c r="AF607" s="432">
        <f t="shared" si="23"/>
        <v>0</v>
      </c>
    </row>
    <row r="608" spans="2:32" x14ac:dyDescent="0.35">
      <c r="B608" s="432" t="e">
        <f>"2024"&amp;MATCH(Totals!D608,OrgType,0)&amp;"_"&amp;MATCH(Totals!E608,Organisations,0)&amp;"_"&amp;LEFT(Totals!F608,1)&amp;"_"&amp;LEFT(G608,1)&amp;"_"&amp;COUNTIF($G$3:G608,G608)</f>
        <v>#N/A</v>
      </c>
      <c r="C608" s="432">
        <v>2024</v>
      </c>
      <c r="D608" s="432">
        <f>Introduction!$D$7</f>
        <v>0</v>
      </c>
      <c r="E608" s="432">
        <f>Introduction!$D$8</f>
        <v>0</v>
      </c>
      <c r="F608" s="432" t="s">
        <v>1115</v>
      </c>
      <c r="G608" s="432" t="s">
        <v>1115</v>
      </c>
      <c r="H608" s="433"/>
      <c r="I608" s="432">
        <f>'Land use &amp; agriculture'!B45</f>
        <v>0</v>
      </c>
      <c r="J608" s="432">
        <f>'Land use &amp; agriculture'!C45</f>
        <v>0</v>
      </c>
      <c r="K608" s="432">
        <f>'Land use &amp; agriculture'!D45</f>
        <v>0</v>
      </c>
      <c r="L608" s="432">
        <f>'Land use &amp; agriculture'!E45</f>
        <v>0</v>
      </c>
      <c r="M608" s="432" t="str">
        <f>'Land use &amp; agriculture'!F45</f>
        <v/>
      </c>
      <c r="N608" s="432">
        <f>'Land use &amp; agriculture'!G45</f>
        <v>0</v>
      </c>
      <c r="O608" s="432" t="str">
        <f>'Land use &amp; agriculture'!H45</f>
        <v>ha</v>
      </c>
      <c r="P608" s="432">
        <f>'Land use &amp; agriculture'!I45</f>
        <v>0</v>
      </c>
      <c r="Q608" s="432" t="str">
        <f>'Land use &amp; agriculture'!J45</f>
        <v>ha</v>
      </c>
      <c r="R608" s="432" t="str">
        <f>'Land use &amp; agriculture'!K45</f>
        <v/>
      </c>
      <c r="S608" s="432">
        <f>'Land use &amp; agriculture'!L45</f>
        <v>0</v>
      </c>
      <c r="T608" s="432">
        <f>'Land use &amp; agriculture'!M45</f>
        <v>0</v>
      </c>
      <c r="U608" s="432">
        <f>'Land use &amp; agriculture'!N45</f>
        <v>0</v>
      </c>
      <c r="V608" s="432">
        <f>'Land use &amp; agriculture'!O45</f>
        <v>0</v>
      </c>
      <c r="W608" s="432">
        <f>'Land use &amp; agriculture'!P45</f>
        <v>0</v>
      </c>
      <c r="X608" s="432">
        <f>'Land use &amp; agriculture'!Q45</f>
        <v>0</v>
      </c>
      <c r="Y608" s="432">
        <f>'Land use &amp; agriculture'!R45</f>
        <v>0</v>
      </c>
      <c r="Z608" s="432">
        <f>'Land use &amp; agriculture'!S45</f>
        <v>0</v>
      </c>
      <c r="AA608" s="432" t="str">
        <f>'Land use &amp; agriculture'!T45</f>
        <v/>
      </c>
      <c r="AB608" s="432" t="str">
        <f>'Land use &amp; agriculture'!U45</f>
        <v/>
      </c>
      <c r="AC608" s="432">
        <f>'Land use &amp; agriculture'!V45</f>
        <v>0</v>
      </c>
      <c r="AE608" s="432">
        <f t="shared" si="22"/>
        <v>0</v>
      </c>
      <c r="AF608" s="432">
        <f t="shared" si="23"/>
        <v>0</v>
      </c>
    </row>
    <row r="609" spans="2:32" x14ac:dyDescent="0.35">
      <c r="B609" s="432" t="e">
        <f>"2024"&amp;MATCH(Totals!D609,OrgType,0)&amp;"_"&amp;MATCH(Totals!E609,Organisations,0)&amp;"_"&amp;LEFT(Totals!F609,1)&amp;"_"&amp;LEFT(G609,1)&amp;"_"&amp;COUNTIF($G$3:G609,G609)</f>
        <v>#N/A</v>
      </c>
      <c r="C609" s="432">
        <v>2024</v>
      </c>
      <c r="D609" s="432">
        <f>Introduction!$D$7</f>
        <v>0</v>
      </c>
      <c r="E609" s="432">
        <f>Introduction!$D$8</f>
        <v>0</v>
      </c>
      <c r="F609" s="432" t="s">
        <v>1115</v>
      </c>
      <c r="G609" s="432" t="s">
        <v>1115</v>
      </c>
      <c r="H609" s="433"/>
      <c r="I609" s="432">
        <f>'Land use &amp; agriculture'!B46</f>
        <v>0</v>
      </c>
      <c r="J609" s="432">
        <f>'Land use &amp; agriculture'!C46</f>
        <v>0</v>
      </c>
      <c r="K609" s="432">
        <f>'Land use &amp; agriculture'!D46</f>
        <v>0</v>
      </c>
      <c r="L609" s="432">
        <f>'Land use &amp; agriculture'!E46</f>
        <v>0</v>
      </c>
      <c r="M609" s="432" t="str">
        <f>'Land use &amp; agriculture'!F46</f>
        <v/>
      </c>
      <c r="N609" s="432">
        <f>'Land use &amp; agriculture'!G46</f>
        <v>0</v>
      </c>
      <c r="O609" s="432" t="str">
        <f>'Land use &amp; agriculture'!H46</f>
        <v>ha</v>
      </c>
      <c r="P609" s="432">
        <f>'Land use &amp; agriculture'!I46</f>
        <v>0</v>
      </c>
      <c r="Q609" s="432" t="str">
        <f>'Land use &amp; agriculture'!J46</f>
        <v>ha</v>
      </c>
      <c r="R609" s="432" t="str">
        <f>'Land use &amp; agriculture'!K46</f>
        <v/>
      </c>
      <c r="S609" s="432">
        <f>'Land use &amp; agriculture'!L46</f>
        <v>0</v>
      </c>
      <c r="T609" s="432">
        <f>'Land use &amp; agriculture'!M46</f>
        <v>0</v>
      </c>
      <c r="U609" s="432">
        <f>'Land use &amp; agriculture'!N46</f>
        <v>0</v>
      </c>
      <c r="V609" s="432">
        <f>'Land use &amp; agriculture'!O46</f>
        <v>0</v>
      </c>
      <c r="W609" s="432">
        <f>'Land use &amp; agriculture'!P46</f>
        <v>0</v>
      </c>
      <c r="X609" s="432">
        <f>'Land use &amp; agriculture'!Q46</f>
        <v>0</v>
      </c>
      <c r="Y609" s="432">
        <f>'Land use &amp; agriculture'!R46</f>
        <v>0</v>
      </c>
      <c r="Z609" s="432">
        <f>'Land use &amp; agriculture'!S46</f>
        <v>0</v>
      </c>
      <c r="AA609" s="432" t="str">
        <f>'Land use &amp; agriculture'!T46</f>
        <v/>
      </c>
      <c r="AB609" s="432" t="str">
        <f>'Land use &amp; agriculture'!U46</f>
        <v/>
      </c>
      <c r="AC609" s="432">
        <f>'Land use &amp; agriculture'!V46</f>
        <v>0</v>
      </c>
      <c r="AE609" s="432">
        <f t="shared" si="22"/>
        <v>0</v>
      </c>
      <c r="AF609" s="432">
        <f t="shared" si="23"/>
        <v>0</v>
      </c>
    </row>
    <row r="610" spans="2:32" x14ac:dyDescent="0.35">
      <c r="B610" s="432" t="e">
        <f>"2024"&amp;MATCH(Totals!D610,OrgType,0)&amp;"_"&amp;MATCH(Totals!E610,Organisations,0)&amp;"_"&amp;LEFT(Totals!F610,1)&amp;"_"&amp;LEFT(G610,1)&amp;"_"&amp;COUNTIF($G$3:G610,G610)</f>
        <v>#N/A</v>
      </c>
      <c r="C610" s="432">
        <v>2024</v>
      </c>
      <c r="D610" s="432">
        <f>Introduction!$D$7</f>
        <v>0</v>
      </c>
      <c r="E610" s="432">
        <f>Introduction!$D$8</f>
        <v>0</v>
      </c>
      <c r="F610" s="432" t="s">
        <v>1115</v>
      </c>
      <c r="G610" s="432" t="s">
        <v>1115</v>
      </c>
      <c r="H610" s="433"/>
      <c r="I610" s="432">
        <f>'Land use &amp; agriculture'!B47</f>
        <v>0</v>
      </c>
      <c r="J610" s="432">
        <f>'Land use &amp; agriculture'!C47</f>
        <v>0</v>
      </c>
      <c r="K610" s="432">
        <f>'Land use &amp; agriculture'!D47</f>
        <v>0</v>
      </c>
      <c r="L610" s="432">
        <f>'Land use &amp; agriculture'!E47</f>
        <v>0</v>
      </c>
      <c r="M610" s="432" t="str">
        <f>'Land use &amp; agriculture'!F47</f>
        <v/>
      </c>
      <c r="N610" s="432">
        <f>'Land use &amp; agriculture'!G47</f>
        <v>0</v>
      </c>
      <c r="O610" s="432" t="str">
        <f>'Land use &amp; agriculture'!H47</f>
        <v>ha</v>
      </c>
      <c r="P610" s="432">
        <f>'Land use &amp; agriculture'!I47</f>
        <v>0</v>
      </c>
      <c r="Q610" s="432" t="str">
        <f>'Land use &amp; agriculture'!J47</f>
        <v>ha</v>
      </c>
      <c r="R610" s="432" t="str">
        <f>'Land use &amp; agriculture'!K47</f>
        <v/>
      </c>
      <c r="S610" s="432">
        <f>'Land use &amp; agriculture'!L47</f>
        <v>0</v>
      </c>
      <c r="T610" s="432">
        <f>'Land use &amp; agriculture'!M47</f>
        <v>0</v>
      </c>
      <c r="U610" s="432">
        <f>'Land use &amp; agriculture'!N47</f>
        <v>0</v>
      </c>
      <c r="V610" s="432">
        <f>'Land use &amp; agriculture'!O47</f>
        <v>0</v>
      </c>
      <c r="W610" s="432">
        <f>'Land use &amp; agriculture'!P47</f>
        <v>0</v>
      </c>
      <c r="X610" s="432">
        <f>'Land use &amp; agriculture'!Q47</f>
        <v>0</v>
      </c>
      <c r="Y610" s="432">
        <f>'Land use &amp; agriculture'!R47</f>
        <v>0</v>
      </c>
      <c r="Z610" s="432">
        <f>'Land use &amp; agriculture'!S47</f>
        <v>0</v>
      </c>
      <c r="AA610" s="432" t="str">
        <f>'Land use &amp; agriculture'!T47</f>
        <v/>
      </c>
      <c r="AB610" s="432" t="str">
        <f>'Land use &amp; agriculture'!U47</f>
        <v/>
      </c>
      <c r="AC610" s="432">
        <f>'Land use &amp; agriculture'!V47</f>
        <v>0</v>
      </c>
      <c r="AE610" s="432">
        <f t="shared" si="22"/>
        <v>0</v>
      </c>
      <c r="AF610" s="432">
        <f t="shared" si="23"/>
        <v>0</v>
      </c>
    </row>
    <row r="611" spans="2:32" x14ac:dyDescent="0.35">
      <c r="B611" s="432" t="e">
        <f>"2024"&amp;MATCH(Totals!D611,OrgType,0)&amp;"_"&amp;MATCH(Totals!E611,Organisations,0)&amp;"_"&amp;LEFT(Totals!F611,1)&amp;"_"&amp;LEFT(G611,1)&amp;"_"&amp;COUNTIF($G$3:G611,G611)</f>
        <v>#N/A</v>
      </c>
      <c r="C611" s="432">
        <v>2024</v>
      </c>
      <c r="D611" s="432">
        <f>Introduction!$D$7</f>
        <v>0</v>
      </c>
      <c r="E611" s="432">
        <f>Introduction!$D$8</f>
        <v>0</v>
      </c>
      <c r="F611" s="432" t="s">
        <v>1115</v>
      </c>
      <c r="G611" s="432" t="s">
        <v>1115</v>
      </c>
      <c r="H611" s="433"/>
      <c r="I611" s="432">
        <f>'Land use &amp; agriculture'!B48</f>
        <v>0</v>
      </c>
      <c r="J611" s="432">
        <f>'Land use &amp; agriculture'!C48</f>
        <v>0</v>
      </c>
      <c r="K611" s="432">
        <f>'Land use &amp; agriculture'!D48</f>
        <v>0</v>
      </c>
      <c r="L611" s="432">
        <f>'Land use &amp; agriculture'!E48</f>
        <v>0</v>
      </c>
      <c r="M611" s="432" t="str">
        <f>'Land use &amp; agriculture'!F48</f>
        <v/>
      </c>
      <c r="N611" s="432">
        <f>'Land use &amp; agriculture'!G48</f>
        <v>0</v>
      </c>
      <c r="O611" s="432" t="str">
        <f>'Land use &amp; agriculture'!H48</f>
        <v>ha</v>
      </c>
      <c r="P611" s="432">
        <f>'Land use &amp; agriculture'!I48</f>
        <v>0</v>
      </c>
      <c r="Q611" s="432" t="str">
        <f>'Land use &amp; agriculture'!J48</f>
        <v>ha</v>
      </c>
      <c r="R611" s="432" t="str">
        <f>'Land use &amp; agriculture'!K48</f>
        <v/>
      </c>
      <c r="S611" s="432">
        <f>'Land use &amp; agriculture'!L48</f>
        <v>0</v>
      </c>
      <c r="T611" s="432">
        <f>'Land use &amp; agriculture'!M48</f>
        <v>0</v>
      </c>
      <c r="U611" s="432">
        <f>'Land use &amp; agriculture'!N48</f>
        <v>0</v>
      </c>
      <c r="V611" s="432">
        <f>'Land use &amp; agriculture'!O48</f>
        <v>0</v>
      </c>
      <c r="W611" s="432">
        <f>'Land use &amp; agriculture'!P48</f>
        <v>0</v>
      </c>
      <c r="X611" s="432">
        <f>'Land use &amp; agriculture'!Q48</f>
        <v>0</v>
      </c>
      <c r="Y611" s="432">
        <f>'Land use &amp; agriculture'!R48</f>
        <v>0</v>
      </c>
      <c r="Z611" s="432">
        <f>'Land use &amp; agriculture'!S48</f>
        <v>0</v>
      </c>
      <c r="AA611" s="432" t="str">
        <f>'Land use &amp; agriculture'!T48</f>
        <v/>
      </c>
      <c r="AB611" s="432" t="str">
        <f>'Land use &amp; agriculture'!U48</f>
        <v/>
      </c>
      <c r="AC611" s="432">
        <f>'Land use &amp; agriculture'!V48</f>
        <v>0</v>
      </c>
      <c r="AE611" s="432">
        <f t="shared" si="22"/>
        <v>0</v>
      </c>
      <c r="AF611" s="432">
        <f t="shared" si="23"/>
        <v>0</v>
      </c>
    </row>
    <row r="612" spans="2:32" x14ac:dyDescent="0.35">
      <c r="B612" s="432" t="e">
        <f>"2024"&amp;MATCH(Totals!D612,OrgType,0)&amp;"_"&amp;MATCH(Totals!E612,Organisations,0)&amp;"_"&amp;LEFT(Totals!F612,1)&amp;"_"&amp;LEFT(G612,1)&amp;"_"&amp;COUNTIF($G$3:G612,G612)</f>
        <v>#N/A</v>
      </c>
      <c r="C612" s="432">
        <v>2024</v>
      </c>
      <c r="D612" s="432">
        <f>Introduction!$D$7</f>
        <v>0</v>
      </c>
      <c r="E612" s="432">
        <f>Introduction!$D$8</f>
        <v>0</v>
      </c>
      <c r="F612" s="432" t="s">
        <v>1115</v>
      </c>
      <c r="G612" s="432" t="s">
        <v>1115</v>
      </c>
      <c r="H612" s="433"/>
      <c r="I612" s="432">
        <f>'Land use &amp; agriculture'!B49</f>
        <v>0</v>
      </c>
      <c r="J612" s="432">
        <f>'Land use &amp; agriculture'!C49</f>
        <v>0</v>
      </c>
      <c r="K612" s="432">
        <f>'Land use &amp; agriculture'!D49</f>
        <v>0</v>
      </c>
      <c r="L612" s="432">
        <f>'Land use &amp; agriculture'!E49</f>
        <v>0</v>
      </c>
      <c r="M612" s="432" t="str">
        <f>'Land use &amp; agriculture'!F49</f>
        <v/>
      </c>
      <c r="N612" s="432">
        <f>'Land use &amp; agriculture'!G49</f>
        <v>0</v>
      </c>
      <c r="O612" s="432" t="str">
        <f>'Land use &amp; agriculture'!H49</f>
        <v>ha</v>
      </c>
      <c r="P612" s="432">
        <f>'Land use &amp; agriculture'!I49</f>
        <v>0</v>
      </c>
      <c r="Q612" s="432" t="str">
        <f>'Land use &amp; agriculture'!J49</f>
        <v>ha</v>
      </c>
      <c r="R612" s="432" t="str">
        <f>'Land use &amp; agriculture'!K49</f>
        <v/>
      </c>
      <c r="S612" s="432">
        <f>'Land use &amp; agriculture'!L49</f>
        <v>0</v>
      </c>
      <c r="T612" s="432">
        <f>'Land use &amp; agriculture'!M49</f>
        <v>0</v>
      </c>
      <c r="U612" s="432">
        <f>'Land use &amp; agriculture'!N49</f>
        <v>0</v>
      </c>
      <c r="V612" s="432">
        <f>'Land use &amp; agriculture'!O49</f>
        <v>0</v>
      </c>
      <c r="W612" s="432">
        <f>'Land use &amp; agriculture'!P49</f>
        <v>0</v>
      </c>
      <c r="X612" s="432">
        <f>'Land use &amp; agriculture'!Q49</f>
        <v>0</v>
      </c>
      <c r="Y612" s="432">
        <f>'Land use &amp; agriculture'!R49</f>
        <v>0</v>
      </c>
      <c r="Z612" s="432">
        <f>'Land use &amp; agriculture'!S49</f>
        <v>0</v>
      </c>
      <c r="AA612" s="432" t="str">
        <f>'Land use &amp; agriculture'!T49</f>
        <v/>
      </c>
      <c r="AB612" s="432" t="str">
        <f>'Land use &amp; agriculture'!U49</f>
        <v/>
      </c>
      <c r="AC612" s="432">
        <f>'Land use &amp; agriculture'!V49</f>
        <v>0</v>
      </c>
      <c r="AE612" s="432">
        <f t="shared" si="22"/>
        <v>0</v>
      </c>
      <c r="AF612" s="432">
        <f t="shared" si="23"/>
        <v>0</v>
      </c>
    </row>
    <row r="613" spans="2:32" x14ac:dyDescent="0.35">
      <c r="B613" s="432" t="e">
        <f>"2024"&amp;MATCH(Totals!D613,OrgType,0)&amp;"_"&amp;MATCH(Totals!E613,Organisations,0)&amp;"_"&amp;LEFT(Totals!F613,1)&amp;"_"&amp;LEFT(G613,1)&amp;"_"&amp;COUNTIF($G$3:G613,G613)</f>
        <v>#N/A</v>
      </c>
      <c r="C613" s="432">
        <v>2024</v>
      </c>
      <c r="D613" s="432">
        <f>Introduction!$D$7</f>
        <v>0</v>
      </c>
      <c r="E613" s="432">
        <f>Introduction!$D$8</f>
        <v>0</v>
      </c>
      <c r="F613" s="432" t="s">
        <v>1115</v>
      </c>
      <c r="G613" s="432" t="s">
        <v>1115</v>
      </c>
      <c r="H613" s="433"/>
      <c r="I613" s="432">
        <f>'Land use &amp; agriculture'!B50</f>
        <v>0</v>
      </c>
      <c r="J613" s="432">
        <f>'Land use &amp; agriculture'!C50</f>
        <v>0</v>
      </c>
      <c r="K613" s="432">
        <f>'Land use &amp; agriculture'!D50</f>
        <v>0</v>
      </c>
      <c r="L613" s="432">
        <f>'Land use &amp; agriculture'!E50</f>
        <v>0</v>
      </c>
      <c r="M613" s="432" t="str">
        <f>'Land use &amp; agriculture'!F50</f>
        <v/>
      </c>
      <c r="N613" s="432">
        <f>'Land use &amp; agriculture'!G50</f>
        <v>0</v>
      </c>
      <c r="O613" s="432" t="str">
        <f>'Land use &amp; agriculture'!H50</f>
        <v>ha</v>
      </c>
      <c r="P613" s="432">
        <f>'Land use &amp; agriculture'!I50</f>
        <v>0</v>
      </c>
      <c r="Q613" s="432" t="str">
        <f>'Land use &amp; agriculture'!J50</f>
        <v>ha</v>
      </c>
      <c r="R613" s="432" t="str">
        <f>'Land use &amp; agriculture'!K50</f>
        <v/>
      </c>
      <c r="S613" s="432">
        <f>'Land use &amp; agriculture'!L50</f>
        <v>0</v>
      </c>
      <c r="T613" s="432">
        <f>'Land use &amp; agriculture'!M50</f>
        <v>0</v>
      </c>
      <c r="U613" s="432">
        <f>'Land use &amp; agriculture'!N50</f>
        <v>0</v>
      </c>
      <c r="V613" s="432">
        <f>'Land use &amp; agriculture'!O50</f>
        <v>0</v>
      </c>
      <c r="W613" s="432">
        <f>'Land use &amp; agriculture'!P50</f>
        <v>0</v>
      </c>
      <c r="X613" s="432">
        <f>'Land use &amp; agriculture'!Q50</f>
        <v>0</v>
      </c>
      <c r="Y613" s="432">
        <f>'Land use &amp; agriculture'!R50</f>
        <v>0</v>
      </c>
      <c r="Z613" s="432">
        <f>'Land use &amp; agriculture'!S50</f>
        <v>0</v>
      </c>
      <c r="AA613" s="432" t="str">
        <f>'Land use &amp; agriculture'!T50</f>
        <v/>
      </c>
      <c r="AB613" s="432" t="str">
        <f>'Land use &amp; agriculture'!U50</f>
        <v/>
      </c>
      <c r="AC613" s="432">
        <f>'Land use &amp; agriculture'!V50</f>
        <v>0</v>
      </c>
      <c r="AE613" s="432">
        <f t="shared" si="22"/>
        <v>0</v>
      </c>
      <c r="AF613" s="432">
        <f t="shared" si="23"/>
        <v>0</v>
      </c>
    </row>
    <row r="614" spans="2:32" x14ac:dyDescent="0.35">
      <c r="B614" s="432" t="e">
        <f>"2024"&amp;MATCH(Totals!D614,OrgType,0)&amp;"_"&amp;MATCH(Totals!E614,Organisations,0)&amp;"_"&amp;LEFT(Totals!F614,1)&amp;"_"&amp;LEFT(G614,1)&amp;"_"&amp;COUNTIF($G$3:G614,G614)</f>
        <v>#N/A</v>
      </c>
      <c r="C614" s="432">
        <v>2024</v>
      </c>
      <c r="D614" s="432">
        <f>Introduction!$D$7</f>
        <v>0</v>
      </c>
      <c r="E614" s="432">
        <f>Introduction!$D$8</f>
        <v>0</v>
      </c>
      <c r="F614" s="432" t="s">
        <v>1115</v>
      </c>
      <c r="G614" s="432" t="s">
        <v>1115</v>
      </c>
      <c r="H614" s="433"/>
      <c r="I614" s="432">
        <f>'Land use &amp; agriculture'!B51</f>
        <v>0</v>
      </c>
      <c r="J614" s="432">
        <f>'Land use &amp; agriculture'!C51</f>
        <v>0</v>
      </c>
      <c r="K614" s="432">
        <f>'Land use &amp; agriculture'!D51</f>
        <v>0</v>
      </c>
      <c r="L614" s="432">
        <f>'Land use &amp; agriculture'!E51</f>
        <v>0</v>
      </c>
      <c r="M614" s="432" t="str">
        <f>'Land use &amp; agriculture'!F51</f>
        <v/>
      </c>
      <c r="N614" s="432">
        <f>'Land use &amp; agriculture'!G51</f>
        <v>0</v>
      </c>
      <c r="O614" s="432" t="str">
        <f>'Land use &amp; agriculture'!H51</f>
        <v>ha</v>
      </c>
      <c r="P614" s="432">
        <f>'Land use &amp; agriculture'!I51</f>
        <v>0</v>
      </c>
      <c r="Q614" s="432" t="str">
        <f>'Land use &amp; agriculture'!J51</f>
        <v>ha</v>
      </c>
      <c r="R614" s="432" t="str">
        <f>'Land use &amp; agriculture'!K51</f>
        <v/>
      </c>
      <c r="S614" s="432">
        <f>'Land use &amp; agriculture'!L51</f>
        <v>0</v>
      </c>
      <c r="T614" s="432">
        <f>'Land use &amp; agriculture'!M51</f>
        <v>0</v>
      </c>
      <c r="U614" s="432">
        <f>'Land use &amp; agriculture'!N51</f>
        <v>0</v>
      </c>
      <c r="V614" s="432">
        <f>'Land use &amp; agriculture'!O51</f>
        <v>0</v>
      </c>
      <c r="W614" s="432">
        <f>'Land use &amp; agriculture'!P51</f>
        <v>0</v>
      </c>
      <c r="X614" s="432">
        <f>'Land use &amp; agriculture'!Q51</f>
        <v>0</v>
      </c>
      <c r="Y614" s="432">
        <f>'Land use &amp; agriculture'!R51</f>
        <v>0</v>
      </c>
      <c r="Z614" s="432">
        <f>'Land use &amp; agriculture'!S51</f>
        <v>0</v>
      </c>
      <c r="AA614" s="432" t="str">
        <f>'Land use &amp; agriculture'!T51</f>
        <v/>
      </c>
      <c r="AB614" s="432" t="str">
        <f>'Land use &amp; agriculture'!U51</f>
        <v/>
      </c>
      <c r="AC614" s="432">
        <f>'Land use &amp; agriculture'!V51</f>
        <v>0</v>
      </c>
      <c r="AE614" s="432">
        <f t="shared" si="22"/>
        <v>0</v>
      </c>
      <c r="AF614" s="432">
        <f t="shared" si="23"/>
        <v>0</v>
      </c>
    </row>
    <row r="615" spans="2:32" x14ac:dyDescent="0.35">
      <c r="B615" s="432" t="e">
        <f>"2024"&amp;MATCH(Totals!D615,OrgType,0)&amp;"_"&amp;MATCH(Totals!E615,Organisations,0)&amp;"_"&amp;LEFT(Totals!F615,1)&amp;"_"&amp;LEFT(G615,1)&amp;"_"&amp;COUNTIF($G$3:G615,G615)</f>
        <v>#N/A</v>
      </c>
      <c r="C615" s="432">
        <v>2024</v>
      </c>
      <c r="D615" s="432">
        <f>Introduction!$D$7</f>
        <v>0</v>
      </c>
      <c r="E615" s="432">
        <f>Introduction!$D$8</f>
        <v>0</v>
      </c>
      <c r="F615" s="432" t="s">
        <v>1115</v>
      </c>
      <c r="G615" s="432" t="s">
        <v>1115</v>
      </c>
      <c r="H615" s="433"/>
      <c r="I615" s="432">
        <f>'Land use &amp; agriculture'!B52</f>
        <v>0</v>
      </c>
      <c r="J615" s="432">
        <f>'Land use &amp; agriculture'!C52</f>
        <v>0</v>
      </c>
      <c r="K615" s="432">
        <f>'Land use &amp; agriculture'!D52</f>
        <v>0</v>
      </c>
      <c r="L615" s="432">
        <f>'Land use &amp; agriculture'!E52</f>
        <v>0</v>
      </c>
      <c r="M615" s="432" t="str">
        <f>'Land use &amp; agriculture'!F52</f>
        <v/>
      </c>
      <c r="N615" s="432">
        <f>'Land use &amp; agriculture'!G52</f>
        <v>0</v>
      </c>
      <c r="O615" s="432" t="str">
        <f>'Land use &amp; agriculture'!H52</f>
        <v>ha</v>
      </c>
      <c r="P615" s="432">
        <f>'Land use &amp; agriculture'!I52</f>
        <v>0</v>
      </c>
      <c r="Q615" s="432" t="str">
        <f>'Land use &amp; agriculture'!J52</f>
        <v>ha</v>
      </c>
      <c r="R615" s="432" t="str">
        <f>'Land use &amp; agriculture'!K52</f>
        <v/>
      </c>
      <c r="S615" s="432">
        <f>'Land use &amp; agriculture'!L52</f>
        <v>0</v>
      </c>
      <c r="T615" s="432">
        <f>'Land use &amp; agriculture'!M52</f>
        <v>0</v>
      </c>
      <c r="U615" s="432">
        <f>'Land use &amp; agriculture'!N52</f>
        <v>0</v>
      </c>
      <c r="V615" s="432">
        <f>'Land use &amp; agriculture'!O52</f>
        <v>0</v>
      </c>
      <c r="W615" s="432">
        <f>'Land use &amp; agriculture'!P52</f>
        <v>0</v>
      </c>
      <c r="X615" s="432">
        <f>'Land use &amp; agriculture'!Q52</f>
        <v>0</v>
      </c>
      <c r="Y615" s="432">
        <f>'Land use &amp; agriculture'!R52</f>
        <v>0</v>
      </c>
      <c r="Z615" s="432">
        <f>'Land use &amp; agriculture'!S52</f>
        <v>0</v>
      </c>
      <c r="AA615" s="432" t="str">
        <f>'Land use &amp; agriculture'!T52</f>
        <v/>
      </c>
      <c r="AB615" s="432" t="str">
        <f>'Land use &amp; agriculture'!U52</f>
        <v/>
      </c>
      <c r="AC615" s="432">
        <f>'Land use &amp; agriculture'!V52</f>
        <v>0</v>
      </c>
      <c r="AE615" s="432">
        <f t="shared" si="22"/>
        <v>0</v>
      </c>
      <c r="AF615" s="432">
        <f t="shared" si="23"/>
        <v>0</v>
      </c>
    </row>
    <row r="616" spans="2:32" x14ac:dyDescent="0.35">
      <c r="B616" s="432" t="e">
        <f>"2024"&amp;MATCH(Totals!D616,OrgType,0)&amp;"_"&amp;MATCH(Totals!E616,Organisations,0)&amp;"_"&amp;LEFT(Totals!F616,1)&amp;"_"&amp;LEFT(G616,1)&amp;"_"&amp;COUNTIF($G$3:G616,G616)</f>
        <v>#N/A</v>
      </c>
      <c r="C616" s="432">
        <v>2024</v>
      </c>
      <c r="D616" s="432">
        <f>Introduction!$D$7</f>
        <v>0</v>
      </c>
      <c r="E616" s="432">
        <f>Introduction!$D$8</f>
        <v>0</v>
      </c>
      <c r="F616" s="432" t="s">
        <v>1115</v>
      </c>
      <c r="G616" s="432" t="s">
        <v>1115</v>
      </c>
      <c r="H616" s="433"/>
      <c r="I616" s="432">
        <f>'Land use &amp; agriculture'!B53</f>
        <v>0</v>
      </c>
      <c r="J616" s="432">
        <f>'Land use &amp; agriculture'!C53</f>
        <v>0</v>
      </c>
      <c r="K616" s="432">
        <f>'Land use &amp; agriculture'!D53</f>
        <v>0</v>
      </c>
      <c r="L616" s="432">
        <f>'Land use &amp; agriculture'!E53</f>
        <v>0</v>
      </c>
      <c r="M616" s="432" t="str">
        <f>'Land use &amp; agriculture'!F53</f>
        <v/>
      </c>
      <c r="N616" s="432">
        <f>'Land use &amp; agriculture'!G53</f>
        <v>0</v>
      </c>
      <c r="O616" s="432" t="str">
        <f>'Land use &amp; agriculture'!H53</f>
        <v>ha</v>
      </c>
      <c r="P616" s="432">
        <f>'Land use &amp; agriculture'!I53</f>
        <v>0</v>
      </c>
      <c r="Q616" s="432" t="str">
        <f>'Land use &amp; agriculture'!J53</f>
        <v>ha</v>
      </c>
      <c r="R616" s="432" t="str">
        <f>'Land use &amp; agriculture'!K53</f>
        <v/>
      </c>
      <c r="S616" s="432">
        <f>'Land use &amp; agriculture'!L53</f>
        <v>0</v>
      </c>
      <c r="T616" s="432">
        <f>'Land use &amp; agriculture'!M53</f>
        <v>0</v>
      </c>
      <c r="U616" s="432">
        <f>'Land use &amp; agriculture'!N53</f>
        <v>0</v>
      </c>
      <c r="V616" s="432">
        <f>'Land use &amp; agriculture'!O53</f>
        <v>0</v>
      </c>
      <c r="W616" s="432">
        <f>'Land use &amp; agriculture'!P53</f>
        <v>0</v>
      </c>
      <c r="X616" s="432">
        <f>'Land use &amp; agriculture'!Q53</f>
        <v>0</v>
      </c>
      <c r="Y616" s="432">
        <f>'Land use &amp; agriculture'!R53</f>
        <v>0</v>
      </c>
      <c r="Z616" s="432">
        <f>'Land use &amp; agriculture'!S53</f>
        <v>0</v>
      </c>
      <c r="AA616" s="432" t="str">
        <f>'Land use &amp; agriculture'!T53</f>
        <v/>
      </c>
      <c r="AB616" s="432" t="str">
        <f>'Land use &amp; agriculture'!U53</f>
        <v/>
      </c>
      <c r="AC616" s="432">
        <f>'Land use &amp; agriculture'!V53</f>
        <v>0</v>
      </c>
      <c r="AE616" s="432">
        <f t="shared" si="22"/>
        <v>0</v>
      </c>
      <c r="AF616" s="432">
        <f t="shared" si="23"/>
        <v>0</v>
      </c>
    </row>
    <row r="617" spans="2:32" x14ac:dyDescent="0.35">
      <c r="B617" s="432" t="e">
        <f>"2024"&amp;MATCH(Totals!D617,OrgType,0)&amp;"_"&amp;MATCH(Totals!E617,Organisations,0)&amp;"_"&amp;LEFT(Totals!F617,1)&amp;"_"&amp;LEFT(G617,1)&amp;"_"&amp;COUNTIF($G$3:G617,G617)</f>
        <v>#N/A</v>
      </c>
      <c r="C617" s="432">
        <v>2024</v>
      </c>
      <c r="D617" s="432">
        <f>Introduction!$D$7</f>
        <v>0</v>
      </c>
      <c r="E617" s="432">
        <f>Introduction!$D$8</f>
        <v>0</v>
      </c>
      <c r="F617" s="432" t="s">
        <v>1115</v>
      </c>
      <c r="G617" s="432" t="s">
        <v>1115</v>
      </c>
      <c r="H617" s="433"/>
      <c r="I617" s="432">
        <f>'Land use &amp; agriculture'!B54</f>
        <v>0</v>
      </c>
      <c r="J617" s="432">
        <f>'Land use &amp; agriculture'!C54</f>
        <v>0</v>
      </c>
      <c r="K617" s="432">
        <f>'Land use &amp; agriculture'!D54</f>
        <v>0</v>
      </c>
      <c r="L617" s="432">
        <f>'Land use &amp; agriculture'!E54</f>
        <v>0</v>
      </c>
      <c r="M617" s="432" t="str">
        <f>'Land use &amp; agriculture'!F54</f>
        <v/>
      </c>
      <c r="N617" s="432">
        <f>'Land use &amp; agriculture'!G54</f>
        <v>0</v>
      </c>
      <c r="O617" s="432" t="str">
        <f>'Land use &amp; agriculture'!H54</f>
        <v>ha</v>
      </c>
      <c r="P617" s="432">
        <f>'Land use &amp; agriculture'!I54</f>
        <v>0</v>
      </c>
      <c r="Q617" s="432" t="str">
        <f>'Land use &amp; agriculture'!J54</f>
        <v>ha</v>
      </c>
      <c r="R617" s="432" t="str">
        <f>'Land use &amp; agriculture'!K54</f>
        <v/>
      </c>
      <c r="S617" s="432">
        <f>'Land use &amp; agriculture'!L54</f>
        <v>0</v>
      </c>
      <c r="T617" s="432">
        <f>'Land use &amp; agriculture'!M54</f>
        <v>0</v>
      </c>
      <c r="U617" s="432">
        <f>'Land use &amp; agriculture'!N54</f>
        <v>0</v>
      </c>
      <c r="V617" s="432">
        <f>'Land use &amp; agriculture'!O54</f>
        <v>0</v>
      </c>
      <c r="W617" s="432">
        <f>'Land use &amp; agriculture'!P54</f>
        <v>0</v>
      </c>
      <c r="X617" s="432">
        <f>'Land use &amp; agriculture'!Q54</f>
        <v>0</v>
      </c>
      <c r="Y617" s="432">
        <f>'Land use &amp; agriculture'!R54</f>
        <v>0</v>
      </c>
      <c r="Z617" s="432">
        <f>'Land use &amp; agriculture'!S54</f>
        <v>0</v>
      </c>
      <c r="AA617" s="432" t="str">
        <f>'Land use &amp; agriculture'!T54</f>
        <v/>
      </c>
      <c r="AB617" s="432" t="str">
        <f>'Land use &amp; agriculture'!U54</f>
        <v/>
      </c>
      <c r="AC617" s="432">
        <f>'Land use &amp; agriculture'!V54</f>
        <v>0</v>
      </c>
      <c r="AE617" s="432">
        <f t="shared" si="22"/>
        <v>0</v>
      </c>
      <c r="AF617" s="432">
        <f t="shared" si="23"/>
        <v>0</v>
      </c>
    </row>
    <row r="618" spans="2:32" x14ac:dyDescent="0.35">
      <c r="B618" s="432" t="e">
        <f>"2024"&amp;MATCH(Totals!D618,OrgType,0)&amp;"_"&amp;MATCH(Totals!E618,Organisations,0)&amp;"_"&amp;LEFT(Totals!F618,1)&amp;"_"&amp;LEFT(G618,1)&amp;"_"&amp;COUNTIF($G$3:G618,G618)</f>
        <v>#N/A</v>
      </c>
      <c r="C618" s="432">
        <v>2024</v>
      </c>
      <c r="D618" s="432">
        <f>Introduction!$D$7</f>
        <v>0</v>
      </c>
      <c r="E618" s="432">
        <f>Introduction!$D$8</f>
        <v>0</v>
      </c>
      <c r="F618" s="432" t="s">
        <v>1115</v>
      </c>
      <c r="G618" s="432" t="s">
        <v>1115</v>
      </c>
      <c r="H618" s="433"/>
      <c r="I618" s="432">
        <f>'Land use &amp; agriculture'!B55</f>
        <v>0</v>
      </c>
      <c r="J618" s="432">
        <f>'Land use &amp; agriculture'!C55</f>
        <v>0</v>
      </c>
      <c r="K618" s="432">
        <f>'Land use &amp; agriculture'!D55</f>
        <v>0</v>
      </c>
      <c r="L618" s="432">
        <f>'Land use &amp; agriculture'!E55</f>
        <v>0</v>
      </c>
      <c r="M618" s="432" t="str">
        <f>'Land use &amp; agriculture'!F55</f>
        <v/>
      </c>
      <c r="N618" s="432">
        <f>'Land use &amp; agriculture'!G55</f>
        <v>0</v>
      </c>
      <c r="O618" s="432" t="str">
        <f>'Land use &amp; agriculture'!H55</f>
        <v>ha</v>
      </c>
      <c r="P618" s="432">
        <f>'Land use &amp; agriculture'!I55</f>
        <v>0</v>
      </c>
      <c r="Q618" s="432" t="str">
        <f>'Land use &amp; agriculture'!J55</f>
        <v>ha</v>
      </c>
      <c r="R618" s="432" t="str">
        <f>'Land use &amp; agriculture'!K55</f>
        <v/>
      </c>
      <c r="S618" s="432">
        <f>'Land use &amp; agriculture'!L55</f>
        <v>0</v>
      </c>
      <c r="T618" s="432">
        <f>'Land use &amp; agriculture'!M55</f>
        <v>0</v>
      </c>
      <c r="U618" s="432">
        <f>'Land use &amp; agriculture'!N55</f>
        <v>0</v>
      </c>
      <c r="V618" s="432">
        <f>'Land use &amp; agriculture'!O55</f>
        <v>0</v>
      </c>
      <c r="W618" s="432">
        <f>'Land use &amp; agriculture'!P55</f>
        <v>0</v>
      </c>
      <c r="X618" s="432">
        <f>'Land use &amp; agriculture'!Q55</f>
        <v>0</v>
      </c>
      <c r="Y618" s="432">
        <f>'Land use &amp; agriculture'!R55</f>
        <v>0</v>
      </c>
      <c r="Z618" s="432">
        <f>'Land use &amp; agriculture'!S55</f>
        <v>0</v>
      </c>
      <c r="AA618" s="432" t="str">
        <f>'Land use &amp; agriculture'!T55</f>
        <v/>
      </c>
      <c r="AB618" s="432" t="str">
        <f>'Land use &amp; agriculture'!U55</f>
        <v/>
      </c>
      <c r="AC618" s="432">
        <f>'Land use &amp; agriculture'!V55</f>
        <v>0</v>
      </c>
      <c r="AE618" s="432">
        <f t="shared" si="22"/>
        <v>0</v>
      </c>
      <c r="AF618" s="432">
        <f t="shared" si="23"/>
        <v>0</v>
      </c>
    </row>
    <row r="619" spans="2:32" x14ac:dyDescent="0.35">
      <c r="B619" s="432" t="e">
        <f>"2024"&amp;MATCH(Totals!D619,OrgType,0)&amp;"_"&amp;MATCH(Totals!E619,Organisations,0)&amp;"_"&amp;LEFT(Totals!F619,1)&amp;"_"&amp;LEFT(G619,1)&amp;"_"&amp;COUNTIF($G$3:G619,G619)</f>
        <v>#N/A</v>
      </c>
      <c r="C619" s="432">
        <v>2024</v>
      </c>
      <c r="D619" s="432">
        <f>Introduction!$D$7</f>
        <v>0</v>
      </c>
      <c r="E619" s="432">
        <f>Introduction!$D$8</f>
        <v>0</v>
      </c>
      <c r="F619" s="432" t="s">
        <v>1115</v>
      </c>
      <c r="G619" s="432" t="s">
        <v>1115</v>
      </c>
      <c r="H619" s="433"/>
      <c r="I619" s="432">
        <f>'Land use &amp; agriculture'!B56</f>
        <v>0</v>
      </c>
      <c r="J619" s="432">
        <f>'Land use &amp; agriculture'!C56</f>
        <v>0</v>
      </c>
      <c r="K619" s="432">
        <f>'Land use &amp; agriculture'!D56</f>
        <v>0</v>
      </c>
      <c r="L619" s="432">
        <f>'Land use &amp; agriculture'!E56</f>
        <v>0</v>
      </c>
      <c r="M619" s="432" t="str">
        <f>'Land use &amp; agriculture'!F56</f>
        <v/>
      </c>
      <c r="N619" s="432">
        <f>'Land use &amp; agriculture'!G56</f>
        <v>0</v>
      </c>
      <c r="O619" s="432" t="str">
        <f>'Land use &amp; agriculture'!H56</f>
        <v>ha</v>
      </c>
      <c r="P619" s="432">
        <f>'Land use &amp; agriculture'!I56</f>
        <v>0</v>
      </c>
      <c r="Q619" s="432" t="str">
        <f>'Land use &amp; agriculture'!J56</f>
        <v>ha</v>
      </c>
      <c r="R619" s="432" t="str">
        <f>'Land use &amp; agriculture'!K56</f>
        <v/>
      </c>
      <c r="S619" s="432">
        <f>'Land use &amp; agriculture'!L56</f>
        <v>0</v>
      </c>
      <c r="T619" s="432">
        <f>'Land use &amp; agriculture'!M56</f>
        <v>0</v>
      </c>
      <c r="U619" s="432">
        <f>'Land use &amp; agriculture'!N56</f>
        <v>0</v>
      </c>
      <c r="V619" s="432">
        <f>'Land use &amp; agriculture'!O56</f>
        <v>0</v>
      </c>
      <c r="W619" s="432">
        <f>'Land use &amp; agriculture'!P56</f>
        <v>0</v>
      </c>
      <c r="X619" s="432">
        <f>'Land use &amp; agriculture'!Q56</f>
        <v>0</v>
      </c>
      <c r="Y619" s="432">
        <f>'Land use &amp; agriculture'!R56</f>
        <v>0</v>
      </c>
      <c r="Z619" s="432">
        <f>'Land use &amp; agriculture'!S56</f>
        <v>0</v>
      </c>
      <c r="AA619" s="432" t="str">
        <f>'Land use &amp; agriculture'!T56</f>
        <v/>
      </c>
      <c r="AB619" s="432" t="str">
        <f>'Land use &amp; agriculture'!U56</f>
        <v/>
      </c>
      <c r="AC619" s="432">
        <f>'Land use &amp; agriculture'!V56</f>
        <v>0</v>
      </c>
      <c r="AE619" s="432">
        <f t="shared" si="22"/>
        <v>0</v>
      </c>
      <c r="AF619" s="432">
        <f t="shared" si="23"/>
        <v>0</v>
      </c>
    </row>
    <row r="620" spans="2:32" x14ac:dyDescent="0.35">
      <c r="B620" s="432" t="e">
        <f>"2024"&amp;MATCH(Totals!D620,OrgType,0)&amp;"_"&amp;MATCH(Totals!E620,Organisations,0)&amp;"_"&amp;LEFT(Totals!F620,1)&amp;"_"&amp;LEFT(G620,1)&amp;"_"&amp;COUNTIF($G$3:G620,G620)</f>
        <v>#N/A</v>
      </c>
      <c r="C620" s="432">
        <v>2024</v>
      </c>
      <c r="D620" s="432">
        <f>Introduction!$D$7</f>
        <v>0</v>
      </c>
      <c r="E620" s="432">
        <f>Introduction!$D$8</f>
        <v>0</v>
      </c>
      <c r="F620" s="432" t="s">
        <v>1115</v>
      </c>
      <c r="G620" s="432" t="s">
        <v>1115</v>
      </c>
      <c r="H620" s="433"/>
      <c r="I620" s="432">
        <f>'Land use &amp; agriculture'!B57</f>
        <v>0</v>
      </c>
      <c r="J620" s="432">
        <f>'Land use &amp; agriculture'!C57</f>
        <v>0</v>
      </c>
      <c r="K620" s="432">
        <f>'Land use &amp; agriculture'!D57</f>
        <v>0</v>
      </c>
      <c r="L620" s="432">
        <f>'Land use &amp; agriculture'!E57</f>
        <v>0</v>
      </c>
      <c r="M620" s="432" t="str">
        <f>'Land use &amp; agriculture'!F57</f>
        <v/>
      </c>
      <c r="N620" s="432">
        <f>'Land use &amp; agriculture'!G57</f>
        <v>0</v>
      </c>
      <c r="O620" s="432" t="str">
        <f>'Land use &amp; agriculture'!H57</f>
        <v>ha</v>
      </c>
      <c r="P620" s="432">
        <f>'Land use &amp; agriculture'!I57</f>
        <v>0</v>
      </c>
      <c r="Q620" s="432" t="str">
        <f>'Land use &amp; agriculture'!J57</f>
        <v>ha</v>
      </c>
      <c r="R620" s="432" t="str">
        <f>'Land use &amp; agriculture'!K57</f>
        <v/>
      </c>
      <c r="S620" s="432">
        <f>'Land use &amp; agriculture'!L57</f>
        <v>0</v>
      </c>
      <c r="T620" s="432">
        <f>'Land use &amp; agriculture'!M57</f>
        <v>0</v>
      </c>
      <c r="U620" s="432">
        <f>'Land use &amp; agriculture'!N57</f>
        <v>0</v>
      </c>
      <c r="V620" s="432">
        <f>'Land use &amp; agriculture'!O57</f>
        <v>0</v>
      </c>
      <c r="W620" s="432">
        <f>'Land use &amp; agriculture'!P57</f>
        <v>0</v>
      </c>
      <c r="X620" s="432">
        <f>'Land use &amp; agriculture'!Q57</f>
        <v>0</v>
      </c>
      <c r="Y620" s="432">
        <f>'Land use &amp; agriculture'!R57</f>
        <v>0</v>
      </c>
      <c r="Z620" s="432">
        <f>'Land use &amp; agriculture'!S57</f>
        <v>0</v>
      </c>
      <c r="AA620" s="432" t="str">
        <f>'Land use &amp; agriculture'!T57</f>
        <v/>
      </c>
      <c r="AB620" s="432" t="str">
        <f>'Land use &amp; agriculture'!U57</f>
        <v/>
      </c>
      <c r="AC620" s="432">
        <f>'Land use &amp; agriculture'!V57</f>
        <v>0</v>
      </c>
      <c r="AE620" s="432">
        <f t="shared" si="22"/>
        <v>0</v>
      </c>
      <c r="AF620" s="432">
        <f t="shared" si="23"/>
        <v>0</v>
      </c>
    </row>
    <row r="621" spans="2:32" x14ac:dyDescent="0.35">
      <c r="B621" s="432" t="e">
        <f>"2024"&amp;MATCH(Totals!D621,OrgType,0)&amp;"_"&amp;MATCH(Totals!E621,Organisations,0)&amp;"_"&amp;LEFT(Totals!F621,1)&amp;"_"&amp;LEFT(G621,1)&amp;"_"&amp;COUNTIF($G$3:G621,G621)</f>
        <v>#N/A</v>
      </c>
      <c r="C621" s="432">
        <v>2024</v>
      </c>
      <c r="D621" s="432">
        <f>Introduction!$D$7</f>
        <v>0</v>
      </c>
      <c r="E621" s="432">
        <f>Introduction!$D$8</f>
        <v>0</v>
      </c>
      <c r="F621" s="432" t="s">
        <v>1115</v>
      </c>
      <c r="G621" s="432" t="s">
        <v>1115</v>
      </c>
      <c r="H621" s="433"/>
      <c r="I621" s="432">
        <f>'Land use &amp; agriculture'!B58</f>
        <v>0</v>
      </c>
      <c r="J621" s="432">
        <f>'Land use &amp; agriculture'!C58</f>
        <v>0</v>
      </c>
      <c r="K621" s="432">
        <f>'Land use &amp; agriculture'!D58</f>
        <v>0</v>
      </c>
      <c r="L621" s="432">
        <f>'Land use &amp; agriculture'!E58</f>
        <v>0</v>
      </c>
      <c r="M621" s="432" t="str">
        <f>'Land use &amp; agriculture'!F58</f>
        <v/>
      </c>
      <c r="N621" s="432">
        <f>'Land use &amp; agriculture'!G58</f>
        <v>0</v>
      </c>
      <c r="O621" s="432" t="str">
        <f>'Land use &amp; agriculture'!H58</f>
        <v>ha</v>
      </c>
      <c r="P621" s="432">
        <f>'Land use &amp; agriculture'!I58</f>
        <v>0</v>
      </c>
      <c r="Q621" s="432" t="str">
        <f>'Land use &amp; agriculture'!J58</f>
        <v>ha</v>
      </c>
      <c r="R621" s="432" t="str">
        <f>'Land use &amp; agriculture'!K58</f>
        <v/>
      </c>
      <c r="S621" s="432">
        <f>'Land use &amp; agriculture'!L58</f>
        <v>0</v>
      </c>
      <c r="T621" s="432">
        <f>'Land use &amp; agriculture'!M58</f>
        <v>0</v>
      </c>
      <c r="U621" s="432">
        <f>'Land use &amp; agriculture'!N58</f>
        <v>0</v>
      </c>
      <c r="V621" s="432">
        <f>'Land use &amp; agriculture'!O58</f>
        <v>0</v>
      </c>
      <c r="W621" s="432">
        <f>'Land use &amp; agriculture'!P58</f>
        <v>0</v>
      </c>
      <c r="X621" s="432">
        <f>'Land use &amp; agriculture'!Q58</f>
        <v>0</v>
      </c>
      <c r="Y621" s="432">
        <f>'Land use &amp; agriculture'!R58</f>
        <v>0</v>
      </c>
      <c r="Z621" s="432">
        <f>'Land use &amp; agriculture'!S58</f>
        <v>0</v>
      </c>
      <c r="AA621" s="432" t="str">
        <f>'Land use &amp; agriculture'!T58</f>
        <v/>
      </c>
      <c r="AB621" s="432" t="str">
        <f>'Land use &amp; agriculture'!U58</f>
        <v/>
      </c>
      <c r="AC621" s="432">
        <f>'Land use &amp; agriculture'!V58</f>
        <v>0</v>
      </c>
      <c r="AE621" s="432">
        <f t="shared" si="22"/>
        <v>0</v>
      </c>
      <c r="AF621" s="432">
        <f t="shared" si="23"/>
        <v>0</v>
      </c>
    </row>
    <row r="622" spans="2:32" x14ac:dyDescent="0.35">
      <c r="B622" s="432" t="e">
        <f>"2024"&amp;MATCH(Totals!D622,OrgType,0)&amp;"_"&amp;MATCH(Totals!E622,Organisations,0)&amp;"_"&amp;LEFT(Totals!F622,1)&amp;"_"&amp;LEFT(G622,1)&amp;"_"&amp;COUNTIF($G$3:G622,G622)</f>
        <v>#N/A</v>
      </c>
      <c r="C622" s="432">
        <v>2024</v>
      </c>
      <c r="D622" s="432">
        <f>Introduction!$D$7</f>
        <v>0</v>
      </c>
      <c r="E622" s="432">
        <f>Introduction!$D$8</f>
        <v>0</v>
      </c>
      <c r="F622" s="432" t="s">
        <v>1115</v>
      </c>
      <c r="G622" s="432" t="s">
        <v>1115</v>
      </c>
      <c r="H622" s="433"/>
      <c r="I622" s="432">
        <f>'Land use &amp; agriculture'!B59</f>
        <v>0</v>
      </c>
      <c r="J622" s="432">
        <f>'Land use &amp; agriculture'!C59</f>
        <v>0</v>
      </c>
      <c r="K622" s="432">
        <f>'Land use &amp; agriculture'!D59</f>
        <v>0</v>
      </c>
      <c r="L622" s="432">
        <f>'Land use &amp; agriculture'!E59</f>
        <v>0</v>
      </c>
      <c r="M622" s="432" t="str">
        <f>'Land use &amp; agriculture'!F59</f>
        <v/>
      </c>
      <c r="N622" s="432">
        <f>'Land use &amp; agriculture'!G59</f>
        <v>0</v>
      </c>
      <c r="O622" s="432" t="str">
        <f>'Land use &amp; agriculture'!H59</f>
        <v>ha</v>
      </c>
      <c r="P622" s="432">
        <f>'Land use &amp; agriculture'!I59</f>
        <v>0</v>
      </c>
      <c r="Q622" s="432" t="str">
        <f>'Land use &amp; agriculture'!J59</f>
        <v>ha</v>
      </c>
      <c r="R622" s="432" t="str">
        <f>'Land use &amp; agriculture'!K59</f>
        <v/>
      </c>
      <c r="S622" s="432">
        <f>'Land use &amp; agriculture'!L59</f>
        <v>0</v>
      </c>
      <c r="T622" s="432">
        <f>'Land use &amp; agriculture'!M59</f>
        <v>0</v>
      </c>
      <c r="U622" s="432">
        <f>'Land use &amp; agriculture'!N59</f>
        <v>0</v>
      </c>
      <c r="V622" s="432">
        <f>'Land use &amp; agriculture'!O59</f>
        <v>0</v>
      </c>
      <c r="W622" s="432">
        <f>'Land use &amp; agriculture'!P59</f>
        <v>0</v>
      </c>
      <c r="X622" s="432">
        <f>'Land use &amp; agriculture'!Q59</f>
        <v>0</v>
      </c>
      <c r="Y622" s="432">
        <f>'Land use &amp; agriculture'!R59</f>
        <v>0</v>
      </c>
      <c r="Z622" s="432">
        <f>'Land use &amp; agriculture'!S59</f>
        <v>0</v>
      </c>
      <c r="AA622" s="432" t="str">
        <f>'Land use &amp; agriculture'!T59</f>
        <v/>
      </c>
      <c r="AB622" s="432" t="str">
        <f>'Land use &amp; agriculture'!U59</f>
        <v/>
      </c>
      <c r="AC622" s="432">
        <f>'Land use &amp; agriculture'!V59</f>
        <v>0</v>
      </c>
      <c r="AE622" s="432">
        <f t="shared" si="22"/>
        <v>0</v>
      </c>
      <c r="AF622" s="432">
        <f t="shared" si="23"/>
        <v>0</v>
      </c>
    </row>
    <row r="623" spans="2:32" x14ac:dyDescent="0.35">
      <c r="B623" s="432" t="e">
        <f>"2024"&amp;MATCH(Totals!D623,OrgType,0)&amp;"_"&amp;MATCH(Totals!E623,Organisations,0)&amp;"_"&amp;LEFT(Totals!F623,1)&amp;"_"&amp;LEFT(G623,1)&amp;"_"&amp;COUNTIF($G$3:G623,G623)</f>
        <v>#N/A</v>
      </c>
      <c r="C623" s="432">
        <v>2024</v>
      </c>
      <c r="D623" s="432">
        <f>Introduction!$D$7</f>
        <v>0</v>
      </c>
      <c r="E623" s="432">
        <f>Introduction!$D$8</f>
        <v>0</v>
      </c>
      <c r="F623" s="432" t="s">
        <v>1115</v>
      </c>
      <c r="G623" s="432" t="s">
        <v>1115</v>
      </c>
      <c r="H623" s="433"/>
      <c r="I623" s="432">
        <f>'Land use &amp; agriculture'!B60</f>
        <v>0</v>
      </c>
      <c r="J623" s="432">
        <f>'Land use &amp; agriculture'!C60</f>
        <v>0</v>
      </c>
      <c r="K623" s="432">
        <f>'Land use &amp; agriculture'!D60</f>
        <v>0</v>
      </c>
      <c r="L623" s="432">
        <f>'Land use &amp; agriculture'!E60</f>
        <v>0</v>
      </c>
      <c r="M623" s="432" t="str">
        <f>'Land use &amp; agriculture'!F60</f>
        <v/>
      </c>
      <c r="N623" s="432">
        <f>'Land use &amp; agriculture'!G60</f>
        <v>0</v>
      </c>
      <c r="O623" s="432" t="str">
        <f>'Land use &amp; agriculture'!H60</f>
        <v>ha</v>
      </c>
      <c r="P623" s="432">
        <f>'Land use &amp; agriculture'!I60</f>
        <v>0</v>
      </c>
      <c r="Q623" s="432" t="str">
        <f>'Land use &amp; agriculture'!J60</f>
        <v>ha</v>
      </c>
      <c r="R623" s="432" t="str">
        <f>'Land use &amp; agriculture'!K60</f>
        <v/>
      </c>
      <c r="S623" s="432">
        <f>'Land use &amp; agriculture'!L60</f>
        <v>0</v>
      </c>
      <c r="T623" s="432">
        <f>'Land use &amp; agriculture'!M60</f>
        <v>0</v>
      </c>
      <c r="U623" s="432">
        <f>'Land use &amp; agriculture'!N60</f>
        <v>0</v>
      </c>
      <c r="V623" s="432">
        <f>'Land use &amp; agriculture'!O60</f>
        <v>0</v>
      </c>
      <c r="W623" s="432">
        <f>'Land use &amp; agriculture'!P60</f>
        <v>0</v>
      </c>
      <c r="X623" s="432">
        <f>'Land use &amp; agriculture'!Q60</f>
        <v>0</v>
      </c>
      <c r="Y623" s="432">
        <f>'Land use &amp; agriculture'!R60</f>
        <v>0</v>
      </c>
      <c r="Z623" s="432">
        <f>'Land use &amp; agriculture'!S60</f>
        <v>0</v>
      </c>
      <c r="AA623" s="432" t="str">
        <f>'Land use &amp; agriculture'!T60</f>
        <v/>
      </c>
      <c r="AB623" s="432" t="str">
        <f>'Land use &amp; agriculture'!U60</f>
        <v/>
      </c>
      <c r="AC623" s="432">
        <f>'Land use &amp; agriculture'!V60</f>
        <v>0</v>
      </c>
      <c r="AE623" s="432">
        <f t="shared" si="22"/>
        <v>0</v>
      </c>
      <c r="AF623" s="432">
        <f t="shared" si="23"/>
        <v>0</v>
      </c>
    </row>
    <row r="624" spans="2:32" x14ac:dyDescent="0.35">
      <c r="B624" s="432" t="e">
        <f>"2024"&amp;MATCH(Totals!D624,OrgType,0)&amp;"_"&amp;MATCH(Totals!E624,Organisations,0)&amp;"_"&amp;LEFT(Totals!F624,1)&amp;"_"&amp;LEFT(G624,1)&amp;"_"&amp;COUNTIF($G$3:G624,G624)</f>
        <v>#N/A</v>
      </c>
      <c r="C624" s="432">
        <v>2024</v>
      </c>
      <c r="D624" s="432">
        <f>Introduction!$D$7</f>
        <v>0</v>
      </c>
      <c r="E624" s="432">
        <f>Introduction!$D$8</f>
        <v>0</v>
      </c>
      <c r="F624" s="432" t="s">
        <v>1115</v>
      </c>
      <c r="G624" s="432" t="s">
        <v>1115</v>
      </c>
      <c r="H624" s="433"/>
      <c r="I624" s="432">
        <f>'Land use &amp; agriculture'!B61</f>
        <v>0</v>
      </c>
      <c r="J624" s="432">
        <f>'Land use &amp; agriculture'!C61</f>
        <v>0</v>
      </c>
      <c r="K624" s="432">
        <f>'Land use &amp; agriculture'!D61</f>
        <v>0</v>
      </c>
      <c r="L624" s="432">
        <f>'Land use &amp; agriculture'!E61</f>
        <v>0</v>
      </c>
      <c r="M624" s="432" t="str">
        <f>'Land use &amp; agriculture'!F61</f>
        <v/>
      </c>
      <c r="N624" s="432">
        <f>'Land use &amp; agriculture'!G61</f>
        <v>0</v>
      </c>
      <c r="O624" s="432" t="str">
        <f>'Land use &amp; agriculture'!H61</f>
        <v>ha</v>
      </c>
      <c r="P624" s="432">
        <f>'Land use &amp; agriculture'!I61</f>
        <v>0</v>
      </c>
      <c r="Q624" s="432" t="str">
        <f>'Land use &amp; agriculture'!J61</f>
        <v>ha</v>
      </c>
      <c r="R624" s="432" t="str">
        <f>'Land use &amp; agriculture'!K61</f>
        <v/>
      </c>
      <c r="S624" s="432">
        <f>'Land use &amp; agriculture'!L61</f>
        <v>0</v>
      </c>
      <c r="T624" s="432">
        <f>'Land use &amp; agriculture'!M61</f>
        <v>0</v>
      </c>
      <c r="U624" s="432">
        <f>'Land use &amp; agriculture'!N61</f>
        <v>0</v>
      </c>
      <c r="V624" s="432">
        <f>'Land use &amp; agriculture'!O61</f>
        <v>0</v>
      </c>
      <c r="W624" s="432">
        <f>'Land use &amp; agriculture'!P61</f>
        <v>0</v>
      </c>
      <c r="X624" s="432">
        <f>'Land use &amp; agriculture'!Q61</f>
        <v>0</v>
      </c>
      <c r="Y624" s="432">
        <f>'Land use &amp; agriculture'!R61</f>
        <v>0</v>
      </c>
      <c r="Z624" s="432">
        <f>'Land use &amp; agriculture'!S61</f>
        <v>0</v>
      </c>
      <c r="AA624" s="432" t="str">
        <f>'Land use &amp; agriculture'!T61</f>
        <v/>
      </c>
      <c r="AB624" s="432" t="str">
        <f>'Land use &amp; agriculture'!U61</f>
        <v/>
      </c>
      <c r="AC624" s="432">
        <f>'Land use &amp; agriculture'!V61</f>
        <v>0</v>
      </c>
      <c r="AE624" s="432">
        <f t="shared" si="22"/>
        <v>0</v>
      </c>
      <c r="AF624" s="432">
        <f t="shared" si="23"/>
        <v>0</v>
      </c>
    </row>
    <row r="625" spans="2:32" x14ac:dyDescent="0.35">
      <c r="B625" s="432" t="e">
        <f>"2024"&amp;MATCH(Totals!D625,OrgType,0)&amp;"_"&amp;MATCH(Totals!E625,Organisations,0)&amp;"_"&amp;LEFT(Totals!F625,1)&amp;"_"&amp;LEFT(G625,1)&amp;"_"&amp;COUNTIF($G$3:G625,G625)</f>
        <v>#N/A</v>
      </c>
      <c r="C625" s="432">
        <v>2024</v>
      </c>
      <c r="D625" s="432">
        <f>Introduction!$D$7</f>
        <v>0</v>
      </c>
      <c r="E625" s="432">
        <f>Introduction!$D$8</f>
        <v>0</v>
      </c>
      <c r="F625" s="432" t="s">
        <v>1115</v>
      </c>
      <c r="G625" s="432" t="s">
        <v>1115</v>
      </c>
      <c r="H625" s="433"/>
      <c r="I625" s="432">
        <f>'Land use &amp; agriculture'!B62</f>
        <v>0</v>
      </c>
      <c r="J625" s="432">
        <f>'Land use &amp; agriculture'!C62</f>
        <v>0</v>
      </c>
      <c r="K625" s="432">
        <f>'Land use &amp; agriculture'!D62</f>
        <v>0</v>
      </c>
      <c r="L625" s="432">
        <f>'Land use &amp; agriculture'!E62</f>
        <v>0</v>
      </c>
      <c r="M625" s="432" t="str">
        <f>'Land use &amp; agriculture'!F62</f>
        <v/>
      </c>
      <c r="N625" s="432">
        <f>'Land use &amp; agriculture'!G62</f>
        <v>0</v>
      </c>
      <c r="O625" s="432" t="str">
        <f>'Land use &amp; agriculture'!H62</f>
        <v>ha</v>
      </c>
      <c r="P625" s="432">
        <f>'Land use &amp; agriculture'!I62</f>
        <v>0</v>
      </c>
      <c r="Q625" s="432" t="str">
        <f>'Land use &amp; agriculture'!J62</f>
        <v>ha</v>
      </c>
      <c r="R625" s="432" t="str">
        <f>'Land use &amp; agriculture'!K62</f>
        <v/>
      </c>
      <c r="S625" s="432">
        <f>'Land use &amp; agriculture'!L62</f>
        <v>0</v>
      </c>
      <c r="T625" s="432">
        <f>'Land use &amp; agriculture'!M62</f>
        <v>0</v>
      </c>
      <c r="U625" s="432">
        <f>'Land use &amp; agriculture'!N62</f>
        <v>0</v>
      </c>
      <c r="V625" s="432">
        <f>'Land use &amp; agriculture'!O62</f>
        <v>0</v>
      </c>
      <c r="W625" s="432">
        <f>'Land use &amp; agriculture'!P62</f>
        <v>0</v>
      </c>
      <c r="X625" s="432">
        <f>'Land use &amp; agriculture'!Q62</f>
        <v>0</v>
      </c>
      <c r="Y625" s="432">
        <f>'Land use &amp; agriculture'!R62</f>
        <v>0</v>
      </c>
      <c r="Z625" s="432">
        <f>'Land use &amp; agriculture'!S62</f>
        <v>0</v>
      </c>
      <c r="AA625" s="432" t="str">
        <f>'Land use &amp; agriculture'!T62</f>
        <v/>
      </c>
      <c r="AB625" s="432" t="str">
        <f>'Land use &amp; agriculture'!U62</f>
        <v/>
      </c>
      <c r="AC625" s="432">
        <f>'Land use &amp; agriculture'!V62</f>
        <v>0</v>
      </c>
      <c r="AE625" s="432">
        <f t="shared" si="22"/>
        <v>0</v>
      </c>
      <c r="AF625" s="432">
        <f t="shared" si="23"/>
        <v>0</v>
      </c>
    </row>
    <row r="626" spans="2:32" x14ac:dyDescent="0.35">
      <c r="B626" s="432" t="e">
        <f>"2024"&amp;MATCH(Totals!D626,OrgType,0)&amp;"_"&amp;MATCH(Totals!E626,Organisations,0)&amp;"_"&amp;LEFT(Totals!F626,1)&amp;"_"&amp;LEFT(G626,1)&amp;"_"&amp;COUNTIF($G$3:G626,G626)</f>
        <v>#N/A</v>
      </c>
      <c r="C626" s="432">
        <v>2024</v>
      </c>
      <c r="D626" s="432">
        <f>Introduction!$D$7</f>
        <v>0</v>
      </c>
      <c r="E626" s="432">
        <f>Introduction!$D$8</f>
        <v>0</v>
      </c>
      <c r="F626" s="432" t="s">
        <v>1115</v>
      </c>
      <c r="G626" s="432" t="s">
        <v>1115</v>
      </c>
      <c r="H626" s="433"/>
      <c r="I626" s="432">
        <f>'Land use &amp; agriculture'!B63</f>
        <v>0</v>
      </c>
      <c r="J626" s="432">
        <f>'Land use &amp; agriculture'!C63</f>
        <v>0</v>
      </c>
      <c r="K626" s="432">
        <f>'Land use &amp; agriculture'!D63</f>
        <v>0</v>
      </c>
      <c r="L626" s="432">
        <f>'Land use &amp; agriculture'!E63</f>
        <v>0</v>
      </c>
      <c r="M626" s="432" t="str">
        <f>'Land use &amp; agriculture'!F63</f>
        <v/>
      </c>
      <c r="N626" s="432">
        <f>'Land use &amp; agriculture'!G63</f>
        <v>0</v>
      </c>
      <c r="O626" s="432" t="str">
        <f>'Land use &amp; agriculture'!H63</f>
        <v>ha</v>
      </c>
      <c r="P626" s="432">
        <f>'Land use &amp; agriculture'!I63</f>
        <v>0</v>
      </c>
      <c r="Q626" s="432" t="str">
        <f>'Land use &amp; agriculture'!J63</f>
        <v>ha</v>
      </c>
      <c r="R626" s="432" t="str">
        <f>'Land use &amp; agriculture'!K63</f>
        <v/>
      </c>
      <c r="S626" s="432">
        <f>'Land use &amp; agriculture'!L63</f>
        <v>0</v>
      </c>
      <c r="T626" s="432">
        <f>'Land use &amp; agriculture'!M63</f>
        <v>0</v>
      </c>
      <c r="U626" s="432">
        <f>'Land use &amp; agriculture'!N63</f>
        <v>0</v>
      </c>
      <c r="V626" s="432">
        <f>'Land use &amp; agriculture'!O63</f>
        <v>0</v>
      </c>
      <c r="W626" s="432">
        <f>'Land use &amp; agriculture'!P63</f>
        <v>0</v>
      </c>
      <c r="X626" s="432">
        <f>'Land use &amp; agriculture'!Q63</f>
        <v>0</v>
      </c>
      <c r="Y626" s="432">
        <f>'Land use &amp; agriculture'!R63</f>
        <v>0</v>
      </c>
      <c r="Z626" s="432">
        <f>'Land use &amp; agriculture'!S63</f>
        <v>0</v>
      </c>
      <c r="AA626" s="432" t="str">
        <f>'Land use &amp; agriculture'!T63</f>
        <v/>
      </c>
      <c r="AB626" s="432" t="str">
        <f>'Land use &amp; agriculture'!U63</f>
        <v/>
      </c>
      <c r="AC626" s="432">
        <f>'Land use &amp; agriculture'!V63</f>
        <v>0</v>
      </c>
      <c r="AE626" s="432">
        <f t="shared" si="22"/>
        <v>0</v>
      </c>
      <c r="AF626" s="432">
        <f t="shared" si="23"/>
        <v>0</v>
      </c>
    </row>
    <row r="627" spans="2:32" x14ac:dyDescent="0.35">
      <c r="B627" s="432" t="e">
        <f>"2024"&amp;MATCH(Totals!D627,OrgType,0)&amp;"_"&amp;MATCH(Totals!E627,Organisations,0)&amp;"_"&amp;LEFT(Totals!F627,1)&amp;"_"&amp;LEFT(G627,1)&amp;"_"&amp;COUNTIF($G$3:G627,G627)</f>
        <v>#N/A</v>
      </c>
      <c r="C627" s="432">
        <v>2024</v>
      </c>
      <c r="D627" s="432">
        <f>Introduction!$D$7</f>
        <v>0</v>
      </c>
      <c r="E627" s="432">
        <f>Introduction!$D$8</f>
        <v>0</v>
      </c>
      <c r="F627" s="432" t="s">
        <v>152</v>
      </c>
      <c r="G627" s="432" t="s">
        <v>152</v>
      </c>
      <c r="H627" s="433"/>
      <c r="I627" s="432">
        <f>'Land use &amp; agriculture'!B67</f>
        <v>0</v>
      </c>
      <c r="J627" s="432">
        <f>'Land use &amp; agriculture'!C67</f>
        <v>0</v>
      </c>
      <c r="K627" s="432">
        <f>'Land use &amp; agriculture'!D67</f>
        <v>0</v>
      </c>
      <c r="L627" s="432">
        <f>'Land use &amp; agriculture'!E67</f>
        <v>0</v>
      </c>
      <c r="M627" s="432" t="str">
        <f>'Land use &amp; agriculture'!F67</f>
        <v/>
      </c>
      <c r="N627" s="432">
        <f>'Land use &amp; agriculture'!G67</f>
        <v>0</v>
      </c>
      <c r="O627" s="432">
        <f>'Land use &amp; agriculture'!H67</f>
        <v>0</v>
      </c>
      <c r="P627" s="432" t="str">
        <f>'Land use &amp; agriculture'!I67</f>
        <v/>
      </c>
      <c r="Q627" s="432" t="str">
        <f>'Land use &amp; agriculture'!J67</f>
        <v/>
      </c>
      <c r="R627" s="432" t="str">
        <f>'Land use &amp; agriculture'!K67</f>
        <v/>
      </c>
      <c r="S627" s="432" t="str">
        <f>'Land use &amp; agriculture'!L67</f>
        <v/>
      </c>
      <c r="T627" s="432">
        <f>'Land use &amp; agriculture'!M67</f>
        <v>0</v>
      </c>
      <c r="U627" s="432">
        <f>'Land use &amp; agriculture'!N67</f>
        <v>0</v>
      </c>
      <c r="V627" s="432" t="str">
        <f>'Land use &amp; agriculture'!O67</f>
        <v/>
      </c>
      <c r="W627" s="432" t="str">
        <f>'Land use &amp; agriculture'!P67</f>
        <v/>
      </c>
      <c r="X627" s="432" t="str">
        <f>'Land use &amp; agriculture'!Q67</f>
        <v/>
      </c>
      <c r="Y627" s="432" t="str">
        <f>'Land use &amp; agriculture'!R67</f>
        <v/>
      </c>
      <c r="Z627" s="432" t="str">
        <f>'Land use &amp; agriculture'!S67</f>
        <v/>
      </c>
      <c r="AA627" s="432" t="str">
        <f>'Land use &amp; agriculture'!T67</f>
        <v/>
      </c>
      <c r="AB627" s="432" t="str">
        <f>'Land use &amp; agriculture'!U67</f>
        <v/>
      </c>
      <c r="AC627" s="432" t="str">
        <f>'Land use &amp; agriculture'!V67</f>
        <v/>
      </c>
      <c r="AE627" s="432">
        <f t="shared" si="22"/>
        <v>0</v>
      </c>
      <c r="AF627" s="432">
        <f t="shared" si="23"/>
        <v>0</v>
      </c>
    </row>
    <row r="628" spans="2:32" x14ac:dyDescent="0.35">
      <c r="B628" s="432" t="e">
        <f>"2024"&amp;MATCH(Totals!D628,OrgType,0)&amp;"_"&amp;MATCH(Totals!E628,Organisations,0)&amp;"_"&amp;LEFT(Totals!F628,1)&amp;"_"&amp;LEFT(G628,1)&amp;"_"&amp;COUNTIF($G$3:G628,G628)</f>
        <v>#N/A</v>
      </c>
      <c r="C628" s="432">
        <v>2024</v>
      </c>
      <c r="D628" s="432">
        <f>Introduction!$D$7</f>
        <v>0</v>
      </c>
      <c r="E628" s="432">
        <f>Introduction!$D$8</f>
        <v>0</v>
      </c>
      <c r="F628" s="432" t="s">
        <v>152</v>
      </c>
      <c r="G628" s="432" t="s">
        <v>152</v>
      </c>
      <c r="H628" s="433"/>
      <c r="I628" s="432">
        <f>'Land use &amp; agriculture'!B68</f>
        <v>0</v>
      </c>
      <c r="J628" s="432">
        <f>'Land use &amp; agriculture'!C68</f>
        <v>0</v>
      </c>
      <c r="K628" s="432">
        <f>'Land use &amp; agriculture'!D68</f>
        <v>0</v>
      </c>
      <c r="L628" s="432">
        <f>'Land use &amp; agriculture'!E68</f>
        <v>0</v>
      </c>
      <c r="M628" s="432" t="str">
        <f>'Land use &amp; agriculture'!F68</f>
        <v/>
      </c>
      <c r="N628" s="432">
        <f>'Land use &amp; agriculture'!G68</f>
        <v>0</v>
      </c>
      <c r="O628" s="432">
        <f>'Land use &amp; agriculture'!H68</f>
        <v>0</v>
      </c>
      <c r="P628" s="432" t="str">
        <f>'Land use &amp; agriculture'!I68</f>
        <v/>
      </c>
      <c r="Q628" s="432" t="str">
        <f>'Land use &amp; agriculture'!J68</f>
        <v/>
      </c>
      <c r="R628" s="432" t="str">
        <f>'Land use &amp; agriculture'!K68</f>
        <v/>
      </c>
      <c r="S628" s="432" t="str">
        <f>'Land use &amp; agriculture'!L68</f>
        <v/>
      </c>
      <c r="T628" s="432">
        <f>'Land use &amp; agriculture'!M68</f>
        <v>0</v>
      </c>
      <c r="U628" s="432">
        <f>'Land use &amp; agriculture'!N68</f>
        <v>0</v>
      </c>
      <c r="V628" s="432" t="str">
        <f>'Land use &amp; agriculture'!O68</f>
        <v/>
      </c>
      <c r="W628" s="432" t="str">
        <f>'Land use &amp; agriculture'!P68</f>
        <v/>
      </c>
      <c r="X628" s="432" t="str">
        <f>'Land use &amp; agriculture'!Q68</f>
        <v/>
      </c>
      <c r="Y628" s="432" t="str">
        <f>'Land use &amp; agriculture'!R68</f>
        <v/>
      </c>
      <c r="Z628" s="432" t="str">
        <f>'Land use &amp; agriculture'!S68</f>
        <v/>
      </c>
      <c r="AA628" s="432" t="str">
        <f>'Land use &amp; agriculture'!T68</f>
        <v/>
      </c>
      <c r="AB628" s="432" t="str">
        <f>'Land use &amp; agriculture'!U68</f>
        <v/>
      </c>
      <c r="AC628" s="432" t="str">
        <f>'Land use &amp; agriculture'!V68</f>
        <v/>
      </c>
      <c r="AE628" s="432">
        <f t="shared" si="22"/>
        <v>0</v>
      </c>
      <c r="AF628" s="432">
        <f t="shared" si="23"/>
        <v>0</v>
      </c>
    </row>
    <row r="629" spans="2:32" x14ac:dyDescent="0.35">
      <c r="B629" s="432" t="e">
        <f>"2024"&amp;MATCH(Totals!D629,OrgType,0)&amp;"_"&amp;MATCH(Totals!E629,Organisations,0)&amp;"_"&amp;LEFT(Totals!F629,1)&amp;"_"&amp;LEFT(G629,1)&amp;"_"&amp;COUNTIF($G$3:G629,G629)</f>
        <v>#N/A</v>
      </c>
      <c r="C629" s="432">
        <v>2024</v>
      </c>
      <c r="D629" s="432">
        <f>Introduction!$D$7</f>
        <v>0</v>
      </c>
      <c r="E629" s="432">
        <f>Introduction!$D$8</f>
        <v>0</v>
      </c>
      <c r="F629" s="432" t="s">
        <v>152</v>
      </c>
      <c r="G629" s="432" t="s">
        <v>152</v>
      </c>
      <c r="H629" s="433"/>
      <c r="I629" s="432">
        <f>'Land use &amp; agriculture'!B69</f>
        <v>0</v>
      </c>
      <c r="J629" s="432">
        <f>'Land use &amp; agriculture'!C69</f>
        <v>0</v>
      </c>
      <c r="K629" s="432">
        <f>'Land use &amp; agriculture'!D69</f>
        <v>0</v>
      </c>
      <c r="L629" s="432">
        <f>'Land use &amp; agriculture'!E69</f>
        <v>0</v>
      </c>
      <c r="M629" s="432" t="str">
        <f>'Land use &amp; agriculture'!F69</f>
        <v/>
      </c>
      <c r="N629" s="432">
        <f>'Land use &amp; agriculture'!G69</f>
        <v>0</v>
      </c>
      <c r="O629" s="432">
        <f>'Land use &amp; agriculture'!H69</f>
        <v>0</v>
      </c>
      <c r="P629" s="432" t="str">
        <f>'Land use &amp; agriculture'!I69</f>
        <v/>
      </c>
      <c r="Q629" s="432" t="str">
        <f>'Land use &amp; agriculture'!J69</f>
        <v/>
      </c>
      <c r="R629" s="432" t="str">
        <f>'Land use &amp; agriculture'!K69</f>
        <v/>
      </c>
      <c r="S629" s="432" t="str">
        <f>'Land use &amp; agriculture'!L69</f>
        <v/>
      </c>
      <c r="T629" s="432">
        <f>'Land use &amp; agriculture'!M69</f>
        <v>0</v>
      </c>
      <c r="U629" s="432">
        <f>'Land use &amp; agriculture'!N69</f>
        <v>0</v>
      </c>
      <c r="V629" s="432" t="str">
        <f>'Land use &amp; agriculture'!O69</f>
        <v/>
      </c>
      <c r="W629" s="432" t="str">
        <f>'Land use &amp; agriculture'!P69</f>
        <v/>
      </c>
      <c r="X629" s="432" t="str">
        <f>'Land use &amp; agriculture'!Q69</f>
        <v/>
      </c>
      <c r="Y629" s="432" t="str">
        <f>'Land use &amp; agriculture'!R69</f>
        <v/>
      </c>
      <c r="Z629" s="432" t="str">
        <f>'Land use &amp; agriculture'!S69</f>
        <v/>
      </c>
      <c r="AA629" s="432" t="str">
        <f>'Land use &amp; agriculture'!T69</f>
        <v/>
      </c>
      <c r="AB629" s="432" t="str">
        <f>'Land use &amp; agriculture'!U69</f>
        <v/>
      </c>
      <c r="AC629" s="432" t="str">
        <f>'Land use &amp; agriculture'!V69</f>
        <v/>
      </c>
      <c r="AE629" s="432">
        <f t="shared" ref="AE629:AE642" si="24">IF(AND(R629="",N629&lt;&gt;0),1,0)</f>
        <v>0</v>
      </c>
      <c r="AF629" s="432">
        <f t="shared" ref="AF629:AF642" si="25">IF(AND(S629="",N629&lt;&gt;0),1,0)</f>
        <v>0</v>
      </c>
    </row>
    <row r="630" spans="2:32" x14ac:dyDescent="0.35">
      <c r="B630" s="432" t="e">
        <f>"2024"&amp;MATCH(Totals!D630,OrgType,0)&amp;"_"&amp;MATCH(Totals!E630,Organisations,0)&amp;"_"&amp;LEFT(Totals!F630,1)&amp;"_"&amp;LEFT(G630,1)&amp;"_"&amp;COUNTIF($G$3:G630,G630)</f>
        <v>#N/A</v>
      </c>
      <c r="C630" s="432">
        <v>2024</v>
      </c>
      <c r="D630" s="432">
        <f>Introduction!$D$7</f>
        <v>0</v>
      </c>
      <c r="E630" s="432">
        <f>Introduction!$D$8</f>
        <v>0</v>
      </c>
      <c r="F630" s="432" t="s">
        <v>152</v>
      </c>
      <c r="G630" s="432" t="s">
        <v>152</v>
      </c>
      <c r="H630" s="433"/>
      <c r="I630" s="432">
        <f>'Land use &amp; agriculture'!B70</f>
        <v>0</v>
      </c>
      <c r="J630" s="432">
        <f>'Land use &amp; agriculture'!C70</f>
        <v>0</v>
      </c>
      <c r="K630" s="432">
        <f>'Land use &amp; agriculture'!D70</f>
        <v>0</v>
      </c>
      <c r="L630" s="432">
        <f>'Land use &amp; agriculture'!E70</f>
        <v>0</v>
      </c>
      <c r="M630" s="432" t="str">
        <f>'Land use &amp; agriculture'!F70</f>
        <v/>
      </c>
      <c r="N630" s="432">
        <f>'Land use &amp; agriculture'!G70</f>
        <v>0</v>
      </c>
      <c r="O630" s="432">
        <f>'Land use &amp; agriculture'!H70</f>
        <v>0</v>
      </c>
      <c r="P630" s="432" t="str">
        <f>'Land use &amp; agriculture'!I70</f>
        <v/>
      </c>
      <c r="Q630" s="432" t="str">
        <f>'Land use &amp; agriculture'!J70</f>
        <v/>
      </c>
      <c r="R630" s="432" t="str">
        <f>'Land use &amp; agriculture'!K70</f>
        <v/>
      </c>
      <c r="S630" s="432" t="str">
        <f>'Land use &amp; agriculture'!L70</f>
        <v/>
      </c>
      <c r="T630" s="432">
        <f>'Land use &amp; agriculture'!M70</f>
        <v>0</v>
      </c>
      <c r="U630" s="432">
        <f>'Land use &amp; agriculture'!N70</f>
        <v>0</v>
      </c>
      <c r="V630" s="432" t="str">
        <f>'Land use &amp; agriculture'!O70</f>
        <v/>
      </c>
      <c r="W630" s="432" t="str">
        <f>'Land use &amp; agriculture'!P70</f>
        <v/>
      </c>
      <c r="X630" s="432" t="str">
        <f>'Land use &amp; agriculture'!Q70</f>
        <v/>
      </c>
      <c r="Y630" s="432" t="str">
        <f>'Land use &amp; agriculture'!R70</f>
        <v/>
      </c>
      <c r="Z630" s="432" t="str">
        <f>'Land use &amp; agriculture'!S70</f>
        <v/>
      </c>
      <c r="AA630" s="432" t="str">
        <f>'Land use &amp; agriculture'!T70</f>
        <v/>
      </c>
      <c r="AB630" s="432" t="str">
        <f>'Land use &amp; agriculture'!U70</f>
        <v/>
      </c>
      <c r="AC630" s="432" t="str">
        <f>'Land use &amp; agriculture'!V70</f>
        <v/>
      </c>
      <c r="AE630" s="432">
        <f t="shared" si="24"/>
        <v>0</v>
      </c>
      <c r="AF630" s="432">
        <f t="shared" si="25"/>
        <v>0</v>
      </c>
    </row>
    <row r="631" spans="2:32" x14ac:dyDescent="0.35">
      <c r="B631" s="432" t="e">
        <f>"2024"&amp;MATCH(Totals!D631,OrgType,0)&amp;"_"&amp;MATCH(Totals!E631,Organisations,0)&amp;"_"&amp;LEFT(Totals!F631,1)&amp;"_"&amp;LEFT(G631,1)&amp;"_"&amp;COUNTIF($G$3:G631,G631)</f>
        <v>#N/A</v>
      </c>
      <c r="C631" s="432">
        <v>2024</v>
      </c>
      <c r="D631" s="432">
        <f>Introduction!$D$7</f>
        <v>0</v>
      </c>
      <c r="E631" s="432">
        <f>Introduction!$D$8</f>
        <v>0</v>
      </c>
      <c r="F631" s="432" t="s">
        <v>152</v>
      </c>
      <c r="G631" s="432" t="s">
        <v>152</v>
      </c>
      <c r="H631" s="433"/>
      <c r="I631" s="432">
        <f>'Land use &amp; agriculture'!B71</f>
        <v>0</v>
      </c>
      <c r="J631" s="432">
        <f>'Land use &amp; agriculture'!C71</f>
        <v>0</v>
      </c>
      <c r="K631" s="432">
        <f>'Land use &amp; agriculture'!D71</f>
        <v>0</v>
      </c>
      <c r="L631" s="432">
        <f>'Land use &amp; agriculture'!E71</f>
        <v>0</v>
      </c>
      <c r="M631" s="432" t="str">
        <f>'Land use &amp; agriculture'!F71</f>
        <v/>
      </c>
      <c r="N631" s="432">
        <f>'Land use &amp; agriculture'!G71</f>
        <v>0</v>
      </c>
      <c r="O631" s="432">
        <f>'Land use &amp; agriculture'!H71</f>
        <v>0</v>
      </c>
      <c r="P631" s="432" t="str">
        <f>'Land use &amp; agriculture'!I71</f>
        <v/>
      </c>
      <c r="Q631" s="432" t="str">
        <f>'Land use &amp; agriculture'!J71</f>
        <v/>
      </c>
      <c r="R631" s="432" t="str">
        <f>'Land use &amp; agriculture'!K71</f>
        <v/>
      </c>
      <c r="S631" s="432" t="str">
        <f>'Land use &amp; agriculture'!L71</f>
        <v/>
      </c>
      <c r="T631" s="432">
        <f>'Land use &amp; agriculture'!M71</f>
        <v>0</v>
      </c>
      <c r="U631" s="432">
        <f>'Land use &amp; agriculture'!N71</f>
        <v>0</v>
      </c>
      <c r="V631" s="432" t="str">
        <f>'Land use &amp; agriculture'!O71</f>
        <v/>
      </c>
      <c r="W631" s="432" t="str">
        <f>'Land use &amp; agriculture'!P71</f>
        <v/>
      </c>
      <c r="X631" s="432" t="str">
        <f>'Land use &amp; agriculture'!Q71</f>
        <v/>
      </c>
      <c r="Y631" s="432" t="str">
        <f>'Land use &amp; agriculture'!R71</f>
        <v/>
      </c>
      <c r="Z631" s="432" t="str">
        <f>'Land use &amp; agriculture'!S71</f>
        <v/>
      </c>
      <c r="AA631" s="432" t="str">
        <f>'Land use &amp; agriculture'!T71</f>
        <v/>
      </c>
      <c r="AB631" s="432" t="str">
        <f>'Land use &amp; agriculture'!U71</f>
        <v/>
      </c>
      <c r="AC631" s="432" t="str">
        <f>'Land use &amp; agriculture'!V71</f>
        <v/>
      </c>
      <c r="AE631" s="432">
        <f t="shared" si="24"/>
        <v>0</v>
      </c>
      <c r="AF631" s="432">
        <f t="shared" si="25"/>
        <v>0</v>
      </c>
    </row>
    <row r="632" spans="2:32" x14ac:dyDescent="0.35">
      <c r="B632" s="432" t="e">
        <f>"2024"&amp;MATCH(Totals!D632,OrgType,0)&amp;"_"&amp;MATCH(Totals!E632,Organisations,0)&amp;"_"&amp;LEFT(Totals!F632,1)&amp;"_"&amp;LEFT(G632,1)&amp;"_"&amp;COUNTIF($G$3:G632,G632)</f>
        <v>#N/A</v>
      </c>
      <c r="C632" s="432">
        <v>2024</v>
      </c>
      <c r="D632" s="432">
        <f>Introduction!$D$7</f>
        <v>0</v>
      </c>
      <c r="E632" s="432">
        <f>Introduction!$D$8</f>
        <v>0</v>
      </c>
      <c r="F632" s="432" t="s">
        <v>152</v>
      </c>
      <c r="G632" s="432" t="s">
        <v>152</v>
      </c>
      <c r="H632" s="433"/>
      <c r="I632" s="432">
        <f>'Land use &amp; agriculture'!B72</f>
        <v>0</v>
      </c>
      <c r="J632" s="432">
        <f>'Land use &amp; agriculture'!C72</f>
        <v>0</v>
      </c>
      <c r="K632" s="432">
        <f>'Land use &amp; agriculture'!D72</f>
        <v>0</v>
      </c>
      <c r="L632" s="432">
        <f>'Land use &amp; agriculture'!E72</f>
        <v>0</v>
      </c>
      <c r="M632" s="432" t="str">
        <f>'Land use &amp; agriculture'!F72</f>
        <v/>
      </c>
      <c r="N632" s="432">
        <f>'Land use &amp; agriculture'!G72</f>
        <v>0</v>
      </c>
      <c r="O632" s="432">
        <f>'Land use &amp; agriculture'!H72</f>
        <v>0</v>
      </c>
      <c r="P632" s="432" t="str">
        <f>'Land use &amp; agriculture'!I72</f>
        <v/>
      </c>
      <c r="Q632" s="432" t="str">
        <f>'Land use &amp; agriculture'!J72</f>
        <v/>
      </c>
      <c r="R632" s="432" t="str">
        <f>'Land use &amp; agriculture'!K72</f>
        <v/>
      </c>
      <c r="S632" s="432" t="str">
        <f>'Land use &amp; agriculture'!L72</f>
        <v/>
      </c>
      <c r="T632" s="432">
        <f>'Land use &amp; agriculture'!M72</f>
        <v>0</v>
      </c>
      <c r="U632" s="432">
        <f>'Land use &amp; agriculture'!N72</f>
        <v>0</v>
      </c>
      <c r="V632" s="432" t="str">
        <f>'Land use &amp; agriculture'!O72</f>
        <v/>
      </c>
      <c r="W632" s="432" t="str">
        <f>'Land use &amp; agriculture'!P72</f>
        <v/>
      </c>
      <c r="X632" s="432" t="str">
        <f>'Land use &amp; agriculture'!Q72</f>
        <v/>
      </c>
      <c r="Y632" s="432" t="str">
        <f>'Land use &amp; agriculture'!R72</f>
        <v/>
      </c>
      <c r="Z632" s="432" t="str">
        <f>'Land use &amp; agriculture'!S72</f>
        <v/>
      </c>
      <c r="AA632" s="432" t="str">
        <f>'Land use &amp; agriculture'!T72</f>
        <v/>
      </c>
      <c r="AB632" s="432" t="str">
        <f>'Land use &amp; agriculture'!U72</f>
        <v/>
      </c>
      <c r="AC632" s="432" t="str">
        <f>'Land use &amp; agriculture'!V72</f>
        <v/>
      </c>
      <c r="AE632" s="432">
        <f t="shared" si="24"/>
        <v>0</v>
      </c>
      <c r="AF632" s="432">
        <f t="shared" si="25"/>
        <v>0</v>
      </c>
    </row>
    <row r="633" spans="2:32" x14ac:dyDescent="0.35">
      <c r="B633" s="432" t="e">
        <f>"2024"&amp;MATCH(Totals!D633,OrgType,0)&amp;"_"&amp;MATCH(Totals!E633,Organisations,0)&amp;"_"&amp;LEFT(Totals!F633,1)&amp;"_"&amp;LEFT(G633,1)&amp;"_"&amp;COUNTIF($G$3:G633,G633)</f>
        <v>#N/A</v>
      </c>
      <c r="C633" s="432">
        <v>2024</v>
      </c>
      <c r="D633" s="432">
        <f>Introduction!$D$7</f>
        <v>0</v>
      </c>
      <c r="E633" s="432">
        <f>Introduction!$D$8</f>
        <v>0</v>
      </c>
      <c r="F633" s="432" t="s">
        <v>152</v>
      </c>
      <c r="G633" s="432" t="s">
        <v>152</v>
      </c>
      <c r="H633" s="433"/>
      <c r="I633" s="432">
        <f>'Land use &amp; agriculture'!B73</f>
        <v>0</v>
      </c>
      <c r="J633" s="432">
        <f>'Land use &amp; agriculture'!C73</f>
        <v>0</v>
      </c>
      <c r="K633" s="432">
        <f>'Land use &amp; agriculture'!D73</f>
        <v>0</v>
      </c>
      <c r="L633" s="432">
        <f>'Land use &amp; agriculture'!E73</f>
        <v>0</v>
      </c>
      <c r="M633" s="432" t="str">
        <f>'Land use &amp; agriculture'!F73</f>
        <v/>
      </c>
      <c r="N633" s="432">
        <f>'Land use &amp; agriculture'!G73</f>
        <v>0</v>
      </c>
      <c r="O633" s="432">
        <f>'Land use &amp; agriculture'!H73</f>
        <v>0</v>
      </c>
      <c r="P633" s="432" t="str">
        <f>'Land use &amp; agriculture'!I73</f>
        <v/>
      </c>
      <c r="Q633" s="432" t="str">
        <f>'Land use &amp; agriculture'!J73</f>
        <v/>
      </c>
      <c r="R633" s="432" t="str">
        <f>'Land use &amp; agriculture'!K73</f>
        <v/>
      </c>
      <c r="S633" s="432" t="str">
        <f>'Land use &amp; agriculture'!L73</f>
        <v/>
      </c>
      <c r="T633" s="432">
        <f>'Land use &amp; agriculture'!M73</f>
        <v>0</v>
      </c>
      <c r="U633" s="432">
        <f>'Land use &amp; agriculture'!N73</f>
        <v>0</v>
      </c>
      <c r="V633" s="432" t="str">
        <f>'Land use &amp; agriculture'!O73</f>
        <v/>
      </c>
      <c r="W633" s="432" t="str">
        <f>'Land use &amp; agriculture'!P73</f>
        <v/>
      </c>
      <c r="X633" s="432" t="str">
        <f>'Land use &amp; agriculture'!Q73</f>
        <v/>
      </c>
      <c r="Y633" s="432" t="str">
        <f>'Land use &amp; agriculture'!R73</f>
        <v/>
      </c>
      <c r="Z633" s="432" t="str">
        <f>'Land use &amp; agriculture'!S73</f>
        <v/>
      </c>
      <c r="AA633" s="432" t="str">
        <f>'Land use &amp; agriculture'!T73</f>
        <v/>
      </c>
      <c r="AB633" s="432" t="str">
        <f>'Land use &amp; agriculture'!U73</f>
        <v/>
      </c>
      <c r="AC633" s="432" t="str">
        <f>'Land use &amp; agriculture'!V73</f>
        <v/>
      </c>
      <c r="AE633" s="432">
        <f t="shared" si="24"/>
        <v>0</v>
      </c>
      <c r="AF633" s="432">
        <f t="shared" si="25"/>
        <v>0</v>
      </c>
    </row>
    <row r="634" spans="2:32" x14ac:dyDescent="0.35">
      <c r="B634" s="432" t="e">
        <f>"2024"&amp;MATCH(Totals!D634,OrgType,0)&amp;"_"&amp;MATCH(Totals!E634,Organisations,0)&amp;"_"&amp;LEFT(Totals!F634,1)&amp;"_"&amp;LEFT(G634,1)&amp;"_"&amp;COUNTIF($G$3:G634,G634)</f>
        <v>#N/A</v>
      </c>
      <c r="C634" s="432">
        <v>2024</v>
      </c>
      <c r="D634" s="432">
        <f>Introduction!$D$7</f>
        <v>0</v>
      </c>
      <c r="E634" s="432">
        <f>Introduction!$D$8</f>
        <v>0</v>
      </c>
      <c r="F634" s="432" t="s">
        <v>152</v>
      </c>
      <c r="G634" s="432" t="s">
        <v>152</v>
      </c>
      <c r="H634" s="433"/>
      <c r="I634" s="432">
        <f>'Land use &amp; agriculture'!B74</f>
        <v>0</v>
      </c>
      <c r="J634" s="432">
        <f>'Land use &amp; agriculture'!C74</f>
        <v>0</v>
      </c>
      <c r="K634" s="432">
        <f>'Land use &amp; agriculture'!D74</f>
        <v>0</v>
      </c>
      <c r="L634" s="432">
        <f>'Land use &amp; agriculture'!E74</f>
        <v>0</v>
      </c>
      <c r="M634" s="432" t="str">
        <f>'Land use &amp; agriculture'!F74</f>
        <v/>
      </c>
      <c r="N634" s="432">
        <f>'Land use &amp; agriculture'!G74</f>
        <v>0</v>
      </c>
      <c r="O634" s="432">
        <f>'Land use &amp; agriculture'!H74</f>
        <v>0</v>
      </c>
      <c r="P634" s="432" t="str">
        <f>'Land use &amp; agriculture'!I74</f>
        <v/>
      </c>
      <c r="Q634" s="432" t="str">
        <f>'Land use &amp; agriculture'!J74</f>
        <v/>
      </c>
      <c r="R634" s="432" t="str">
        <f>'Land use &amp; agriculture'!K74</f>
        <v/>
      </c>
      <c r="S634" s="432" t="str">
        <f>'Land use &amp; agriculture'!L74</f>
        <v/>
      </c>
      <c r="T634" s="432">
        <f>'Land use &amp; agriculture'!M74</f>
        <v>0</v>
      </c>
      <c r="U634" s="432">
        <f>'Land use &amp; agriculture'!N74</f>
        <v>0</v>
      </c>
      <c r="V634" s="432" t="str">
        <f>'Land use &amp; agriculture'!O74</f>
        <v/>
      </c>
      <c r="W634" s="432" t="str">
        <f>'Land use &amp; agriculture'!P74</f>
        <v/>
      </c>
      <c r="X634" s="432" t="str">
        <f>'Land use &amp; agriculture'!Q74</f>
        <v/>
      </c>
      <c r="Y634" s="432" t="str">
        <f>'Land use &amp; agriculture'!R74</f>
        <v/>
      </c>
      <c r="Z634" s="432" t="str">
        <f>'Land use &amp; agriculture'!S74</f>
        <v/>
      </c>
      <c r="AA634" s="432" t="str">
        <f>'Land use &amp; agriculture'!T74</f>
        <v/>
      </c>
      <c r="AB634" s="432" t="str">
        <f>'Land use &amp; agriculture'!U74</f>
        <v/>
      </c>
      <c r="AC634" s="432" t="str">
        <f>'Land use &amp; agriculture'!V74</f>
        <v/>
      </c>
      <c r="AE634" s="432">
        <f t="shared" si="24"/>
        <v>0</v>
      </c>
      <c r="AF634" s="432">
        <f t="shared" si="25"/>
        <v>0</v>
      </c>
    </row>
    <row r="635" spans="2:32" x14ac:dyDescent="0.35">
      <c r="B635" s="432" t="e">
        <f>"2024"&amp;MATCH(Totals!D635,OrgType,0)&amp;"_"&amp;MATCH(Totals!E635,Organisations,0)&amp;"_"&amp;LEFT(Totals!F635,1)&amp;"_"&amp;LEFT(G635,1)&amp;"_"&amp;COUNTIF($G$3:G635,G635)</f>
        <v>#N/A</v>
      </c>
      <c r="C635" s="432">
        <v>2024</v>
      </c>
      <c r="D635" s="432">
        <f>Introduction!$D$7</f>
        <v>0</v>
      </c>
      <c r="E635" s="432">
        <f>Introduction!$D$8</f>
        <v>0</v>
      </c>
      <c r="F635" s="432" t="s">
        <v>152</v>
      </c>
      <c r="G635" s="432" t="s">
        <v>152</v>
      </c>
      <c r="H635" s="433"/>
      <c r="I635" s="432">
        <f>'Land use &amp; agriculture'!B75</f>
        <v>0</v>
      </c>
      <c r="J635" s="432">
        <f>'Land use &amp; agriculture'!C75</f>
        <v>0</v>
      </c>
      <c r="K635" s="432">
        <f>'Land use &amp; agriculture'!D75</f>
        <v>0</v>
      </c>
      <c r="L635" s="432">
        <f>'Land use &amp; agriculture'!E75</f>
        <v>0</v>
      </c>
      <c r="M635" s="432" t="str">
        <f>'Land use &amp; agriculture'!F75</f>
        <v/>
      </c>
      <c r="N635" s="432">
        <f>'Land use &amp; agriculture'!G75</f>
        <v>0</v>
      </c>
      <c r="O635" s="432">
        <f>'Land use &amp; agriculture'!H75</f>
        <v>0</v>
      </c>
      <c r="P635" s="432" t="str">
        <f>'Land use &amp; agriculture'!I75</f>
        <v/>
      </c>
      <c r="Q635" s="432" t="str">
        <f>'Land use &amp; agriculture'!J75</f>
        <v/>
      </c>
      <c r="R635" s="432" t="str">
        <f>'Land use &amp; agriculture'!K75</f>
        <v/>
      </c>
      <c r="S635" s="432" t="str">
        <f>'Land use &amp; agriculture'!L75</f>
        <v/>
      </c>
      <c r="T635" s="432">
        <f>'Land use &amp; agriculture'!M75</f>
        <v>0</v>
      </c>
      <c r="U635" s="432">
        <f>'Land use &amp; agriculture'!N75</f>
        <v>0</v>
      </c>
      <c r="V635" s="432" t="str">
        <f>'Land use &amp; agriculture'!O75</f>
        <v/>
      </c>
      <c r="W635" s="432" t="str">
        <f>'Land use &amp; agriculture'!P75</f>
        <v/>
      </c>
      <c r="X635" s="432" t="str">
        <f>'Land use &amp; agriculture'!Q75</f>
        <v/>
      </c>
      <c r="Y635" s="432" t="str">
        <f>'Land use &amp; agriculture'!R75</f>
        <v/>
      </c>
      <c r="Z635" s="432" t="str">
        <f>'Land use &amp; agriculture'!S75</f>
        <v/>
      </c>
      <c r="AA635" s="432" t="str">
        <f>'Land use &amp; agriculture'!T75</f>
        <v/>
      </c>
      <c r="AB635" s="432" t="str">
        <f>'Land use &amp; agriculture'!U75</f>
        <v/>
      </c>
      <c r="AC635" s="432" t="str">
        <f>'Land use &amp; agriculture'!V75</f>
        <v/>
      </c>
      <c r="AE635" s="432">
        <f t="shared" si="24"/>
        <v>0</v>
      </c>
      <c r="AF635" s="432">
        <f t="shared" si="25"/>
        <v>0</v>
      </c>
    </row>
    <row r="636" spans="2:32" x14ac:dyDescent="0.35">
      <c r="B636" s="432" t="e">
        <f>"2024"&amp;MATCH(Totals!D636,OrgType,0)&amp;"_"&amp;MATCH(Totals!E636,Organisations,0)&amp;"_"&amp;LEFT(Totals!F636,1)&amp;"_"&amp;LEFT(G636,1)&amp;"_"&amp;COUNTIF($G$3:G636,G636)</f>
        <v>#N/A</v>
      </c>
      <c r="C636" s="432">
        <v>2024</v>
      </c>
      <c r="D636" s="432">
        <f>Introduction!$D$7</f>
        <v>0</v>
      </c>
      <c r="E636" s="432">
        <f>Introduction!$D$8</f>
        <v>0</v>
      </c>
      <c r="F636" s="432" t="s">
        <v>152</v>
      </c>
      <c r="G636" s="432" t="s">
        <v>152</v>
      </c>
      <c r="H636" s="433"/>
      <c r="I636" s="432">
        <f>'Land use &amp; agriculture'!B76</f>
        <v>0</v>
      </c>
      <c r="J636" s="432">
        <f>'Land use &amp; agriculture'!C76</f>
        <v>0</v>
      </c>
      <c r="K636" s="432">
        <f>'Land use &amp; agriculture'!D76</f>
        <v>0</v>
      </c>
      <c r="L636" s="432">
        <f>'Land use &amp; agriculture'!E76</f>
        <v>0</v>
      </c>
      <c r="M636" s="432" t="str">
        <f>'Land use &amp; agriculture'!F76</f>
        <v/>
      </c>
      <c r="N636" s="432">
        <f>'Land use &amp; agriculture'!G76</f>
        <v>0</v>
      </c>
      <c r="O636" s="432">
        <f>'Land use &amp; agriculture'!H76</f>
        <v>0</v>
      </c>
      <c r="P636" s="432" t="str">
        <f>'Land use &amp; agriculture'!I76</f>
        <v/>
      </c>
      <c r="Q636" s="432" t="str">
        <f>'Land use &amp; agriculture'!J76</f>
        <v/>
      </c>
      <c r="R636" s="432" t="str">
        <f>'Land use &amp; agriculture'!K76</f>
        <v/>
      </c>
      <c r="S636" s="432" t="str">
        <f>'Land use &amp; agriculture'!L76</f>
        <v/>
      </c>
      <c r="T636" s="432">
        <f>'Land use &amp; agriculture'!M76</f>
        <v>0</v>
      </c>
      <c r="U636" s="432">
        <f>'Land use &amp; agriculture'!N76</f>
        <v>0</v>
      </c>
      <c r="V636" s="432" t="str">
        <f>'Land use &amp; agriculture'!O76</f>
        <v/>
      </c>
      <c r="W636" s="432" t="str">
        <f>'Land use &amp; agriculture'!P76</f>
        <v/>
      </c>
      <c r="X636" s="432" t="str">
        <f>'Land use &amp; agriculture'!Q76</f>
        <v/>
      </c>
      <c r="Y636" s="432" t="str">
        <f>'Land use &amp; agriculture'!R76</f>
        <v/>
      </c>
      <c r="Z636" s="432" t="str">
        <f>'Land use &amp; agriculture'!S76</f>
        <v/>
      </c>
      <c r="AA636" s="432" t="str">
        <f>'Land use &amp; agriculture'!T76</f>
        <v/>
      </c>
      <c r="AB636" s="432" t="str">
        <f>'Land use &amp; agriculture'!U76</f>
        <v/>
      </c>
      <c r="AC636" s="432" t="str">
        <f>'Land use &amp; agriculture'!V76</f>
        <v/>
      </c>
      <c r="AE636" s="432">
        <f t="shared" si="24"/>
        <v>0</v>
      </c>
      <c r="AF636" s="432">
        <f t="shared" si="25"/>
        <v>0</v>
      </c>
    </row>
    <row r="637" spans="2:32" x14ac:dyDescent="0.35">
      <c r="B637" s="432" t="e">
        <f>"2024"&amp;MATCH(Totals!D637,OrgType,0)&amp;"_"&amp;MATCH(Totals!E637,Organisations,0)&amp;"_"&amp;LEFT(Totals!F637,1)&amp;"_"&amp;LEFT(G637,1)&amp;"_"&amp;COUNTIF($G$3:G637,G637)</f>
        <v>#N/A</v>
      </c>
      <c r="C637" s="432">
        <v>2024</v>
      </c>
      <c r="D637" s="432">
        <f>Introduction!$D$7</f>
        <v>0</v>
      </c>
      <c r="E637" s="432">
        <f>Introduction!$D$8</f>
        <v>0</v>
      </c>
      <c r="F637" s="432" t="s">
        <v>152</v>
      </c>
      <c r="G637" s="432" t="s">
        <v>152</v>
      </c>
      <c r="H637" s="433"/>
      <c r="I637" s="432">
        <f>'Land use &amp; agriculture'!B77</f>
        <v>0</v>
      </c>
      <c r="J637" s="432">
        <f>'Land use &amp; agriculture'!C77</f>
        <v>0</v>
      </c>
      <c r="K637" s="432">
        <f>'Land use &amp; agriculture'!D77</f>
        <v>0</v>
      </c>
      <c r="L637" s="432">
        <f>'Land use &amp; agriculture'!E77</f>
        <v>0</v>
      </c>
      <c r="M637" s="432" t="str">
        <f>'Land use &amp; agriculture'!F77</f>
        <v/>
      </c>
      <c r="N637" s="432">
        <f>'Land use &amp; agriculture'!G77</f>
        <v>0</v>
      </c>
      <c r="O637" s="432">
        <f>'Land use &amp; agriculture'!H77</f>
        <v>0</v>
      </c>
      <c r="P637" s="432" t="str">
        <f>'Land use &amp; agriculture'!I77</f>
        <v/>
      </c>
      <c r="Q637" s="432" t="str">
        <f>'Land use &amp; agriculture'!J77</f>
        <v/>
      </c>
      <c r="R637" s="432" t="str">
        <f>'Land use &amp; agriculture'!K77</f>
        <v/>
      </c>
      <c r="S637" s="432" t="str">
        <f>'Land use &amp; agriculture'!L77</f>
        <v/>
      </c>
      <c r="T637" s="432">
        <f>'Land use &amp; agriculture'!M77</f>
        <v>0</v>
      </c>
      <c r="U637" s="432">
        <f>'Land use &amp; agriculture'!N77</f>
        <v>0</v>
      </c>
      <c r="V637" s="432" t="str">
        <f>'Land use &amp; agriculture'!O77</f>
        <v/>
      </c>
      <c r="W637" s="432" t="str">
        <f>'Land use &amp; agriculture'!P77</f>
        <v/>
      </c>
      <c r="X637" s="432" t="str">
        <f>'Land use &amp; agriculture'!Q77</f>
        <v/>
      </c>
      <c r="Y637" s="432" t="str">
        <f>'Land use &amp; agriculture'!R77</f>
        <v/>
      </c>
      <c r="Z637" s="432" t="str">
        <f>'Land use &amp; agriculture'!S77</f>
        <v/>
      </c>
      <c r="AA637" s="432" t="str">
        <f>'Land use &amp; agriculture'!T77</f>
        <v/>
      </c>
      <c r="AB637" s="432" t="str">
        <f>'Land use &amp; agriculture'!U77</f>
        <v/>
      </c>
      <c r="AC637" s="432" t="str">
        <f>'Land use &amp; agriculture'!V77</f>
        <v/>
      </c>
      <c r="AE637" s="432">
        <f t="shared" si="24"/>
        <v>0</v>
      </c>
      <c r="AF637" s="432">
        <f t="shared" si="25"/>
        <v>0</v>
      </c>
    </row>
    <row r="638" spans="2:32" x14ac:dyDescent="0.35">
      <c r="B638" s="432" t="e">
        <f>"2024"&amp;MATCH(Totals!D638,OrgType,0)&amp;"_"&amp;MATCH(Totals!E638,Organisations,0)&amp;"_"&amp;LEFT(Totals!F638,1)&amp;"_"&amp;LEFT(G638,1)&amp;"_"&amp;COUNTIF($G$3:G638,G638)</f>
        <v>#N/A</v>
      </c>
      <c r="C638" s="432">
        <v>2024</v>
      </c>
      <c r="D638" s="432">
        <f>Introduction!$D$7</f>
        <v>0</v>
      </c>
      <c r="E638" s="432">
        <f>Introduction!$D$8</f>
        <v>0</v>
      </c>
      <c r="F638" s="432" t="s">
        <v>152</v>
      </c>
      <c r="G638" s="432" t="s">
        <v>152</v>
      </c>
      <c r="H638" s="433"/>
      <c r="I638" s="432">
        <f>'Land use &amp; agriculture'!B78</f>
        <v>0</v>
      </c>
      <c r="J638" s="432">
        <f>'Land use &amp; agriculture'!C78</f>
        <v>0</v>
      </c>
      <c r="K638" s="432">
        <f>'Land use &amp; agriculture'!D78</f>
        <v>0</v>
      </c>
      <c r="L638" s="432">
        <f>'Land use &amp; agriculture'!E78</f>
        <v>0</v>
      </c>
      <c r="M638" s="432" t="str">
        <f>'Land use &amp; agriculture'!F78</f>
        <v/>
      </c>
      <c r="N638" s="432">
        <f>'Land use &amp; agriculture'!G78</f>
        <v>0</v>
      </c>
      <c r="O638" s="432">
        <f>'Land use &amp; agriculture'!H78</f>
        <v>0</v>
      </c>
      <c r="P638" s="432" t="str">
        <f>'Land use &amp; agriculture'!I78</f>
        <v/>
      </c>
      <c r="Q638" s="432" t="str">
        <f>'Land use &amp; agriculture'!J78</f>
        <v/>
      </c>
      <c r="R638" s="432" t="str">
        <f>'Land use &amp; agriculture'!K78</f>
        <v/>
      </c>
      <c r="S638" s="432" t="str">
        <f>'Land use &amp; agriculture'!L78</f>
        <v/>
      </c>
      <c r="T638" s="432">
        <f>'Land use &amp; agriculture'!M78</f>
        <v>0</v>
      </c>
      <c r="U638" s="432">
        <f>'Land use &amp; agriculture'!N78</f>
        <v>0</v>
      </c>
      <c r="V638" s="432" t="str">
        <f>'Land use &amp; agriculture'!O78</f>
        <v/>
      </c>
      <c r="W638" s="432" t="str">
        <f>'Land use &amp; agriculture'!P78</f>
        <v/>
      </c>
      <c r="X638" s="432" t="str">
        <f>'Land use &amp; agriculture'!Q78</f>
        <v/>
      </c>
      <c r="Y638" s="432" t="str">
        <f>'Land use &amp; agriculture'!R78</f>
        <v/>
      </c>
      <c r="Z638" s="432" t="str">
        <f>'Land use &amp; agriculture'!S78</f>
        <v/>
      </c>
      <c r="AA638" s="432" t="str">
        <f>'Land use &amp; agriculture'!T78</f>
        <v/>
      </c>
      <c r="AB638" s="432" t="str">
        <f>'Land use &amp; agriculture'!U78</f>
        <v/>
      </c>
      <c r="AC638" s="432" t="str">
        <f>'Land use &amp; agriculture'!V78</f>
        <v/>
      </c>
      <c r="AE638" s="432">
        <f t="shared" si="24"/>
        <v>0</v>
      </c>
      <c r="AF638" s="432">
        <f t="shared" si="25"/>
        <v>0</v>
      </c>
    </row>
    <row r="639" spans="2:32" x14ac:dyDescent="0.35">
      <c r="B639" s="432" t="e">
        <f>"2024"&amp;MATCH(Totals!D639,OrgType,0)&amp;"_"&amp;MATCH(Totals!E639,Organisations,0)&amp;"_"&amp;LEFT(Totals!F639,1)&amp;"_"&amp;LEFT(G639,1)&amp;"_"&amp;COUNTIF($G$3:G639,G639)</f>
        <v>#N/A</v>
      </c>
      <c r="C639" s="432">
        <v>2024</v>
      </c>
      <c r="D639" s="432">
        <f>Introduction!$D$7</f>
        <v>0</v>
      </c>
      <c r="E639" s="432">
        <f>Introduction!$D$8</f>
        <v>0</v>
      </c>
      <c r="F639" s="432" t="s">
        <v>152</v>
      </c>
      <c r="G639" s="432" t="s">
        <v>152</v>
      </c>
      <c r="H639" s="433"/>
      <c r="I639" s="432">
        <f>'Land use &amp; agriculture'!B79</f>
        <v>0</v>
      </c>
      <c r="J639" s="432">
        <f>'Land use &amp; agriculture'!C79</f>
        <v>0</v>
      </c>
      <c r="K639" s="432">
        <f>'Land use &amp; agriculture'!D79</f>
        <v>0</v>
      </c>
      <c r="L639" s="432">
        <f>'Land use &amp; agriculture'!E79</f>
        <v>0</v>
      </c>
      <c r="M639" s="432" t="str">
        <f>'Land use &amp; agriculture'!F79</f>
        <v/>
      </c>
      <c r="N639" s="432">
        <f>'Land use &amp; agriculture'!G79</f>
        <v>0</v>
      </c>
      <c r="O639" s="432">
        <f>'Land use &amp; agriculture'!H79</f>
        <v>0</v>
      </c>
      <c r="P639" s="432" t="str">
        <f>'Land use &amp; agriculture'!I79</f>
        <v/>
      </c>
      <c r="Q639" s="432" t="str">
        <f>'Land use &amp; agriculture'!J79</f>
        <v/>
      </c>
      <c r="R639" s="432" t="str">
        <f>'Land use &amp; agriculture'!K79</f>
        <v/>
      </c>
      <c r="S639" s="432" t="str">
        <f>'Land use &amp; agriculture'!L79</f>
        <v/>
      </c>
      <c r="T639" s="432">
        <f>'Land use &amp; agriculture'!M79</f>
        <v>0</v>
      </c>
      <c r="U639" s="432">
        <f>'Land use &amp; agriculture'!N79</f>
        <v>0</v>
      </c>
      <c r="V639" s="432" t="str">
        <f>'Land use &amp; agriculture'!O79</f>
        <v/>
      </c>
      <c r="W639" s="432" t="str">
        <f>'Land use &amp; agriculture'!P79</f>
        <v/>
      </c>
      <c r="X639" s="432" t="str">
        <f>'Land use &amp; agriculture'!Q79</f>
        <v/>
      </c>
      <c r="Y639" s="432" t="str">
        <f>'Land use &amp; agriculture'!R79</f>
        <v/>
      </c>
      <c r="Z639" s="432" t="str">
        <f>'Land use &amp; agriculture'!S79</f>
        <v/>
      </c>
      <c r="AA639" s="432" t="str">
        <f>'Land use &amp; agriculture'!T79</f>
        <v/>
      </c>
      <c r="AB639" s="432" t="str">
        <f>'Land use &amp; agriculture'!U79</f>
        <v/>
      </c>
      <c r="AC639" s="432" t="str">
        <f>'Land use &amp; agriculture'!V79</f>
        <v/>
      </c>
      <c r="AE639" s="432">
        <f t="shared" si="24"/>
        <v>0</v>
      </c>
      <c r="AF639" s="432">
        <f t="shared" si="25"/>
        <v>0</v>
      </c>
    </row>
    <row r="640" spans="2:32" x14ac:dyDescent="0.35">
      <c r="B640" s="432" t="e">
        <f>"2024"&amp;MATCH(Totals!D640,OrgType,0)&amp;"_"&amp;MATCH(Totals!E640,Organisations,0)&amp;"_"&amp;LEFT(Totals!F640,1)&amp;"_"&amp;LEFT(G640,1)&amp;"_"&amp;COUNTIF($G$3:G640,G640)</f>
        <v>#N/A</v>
      </c>
      <c r="C640" s="432">
        <v>2024</v>
      </c>
      <c r="D640" s="432">
        <f>Introduction!$D$7</f>
        <v>0</v>
      </c>
      <c r="E640" s="432">
        <f>Introduction!$D$8</f>
        <v>0</v>
      </c>
      <c r="F640" s="432" t="s">
        <v>152</v>
      </c>
      <c r="G640" s="432" t="s">
        <v>152</v>
      </c>
      <c r="H640" s="433"/>
      <c r="I640" s="432">
        <f>'Land use &amp; agriculture'!B80</f>
        <v>0</v>
      </c>
      <c r="J640" s="432">
        <f>'Land use &amp; agriculture'!C80</f>
        <v>0</v>
      </c>
      <c r="K640" s="432">
        <f>'Land use &amp; agriculture'!D80</f>
        <v>0</v>
      </c>
      <c r="L640" s="432">
        <f>'Land use &amp; agriculture'!E80</f>
        <v>0</v>
      </c>
      <c r="M640" s="432" t="str">
        <f>'Land use &amp; agriculture'!F80</f>
        <v/>
      </c>
      <c r="N640" s="432">
        <f>'Land use &amp; agriculture'!G80</f>
        <v>0</v>
      </c>
      <c r="O640" s="432">
        <f>'Land use &amp; agriculture'!H80</f>
        <v>0</v>
      </c>
      <c r="P640" s="432" t="str">
        <f>'Land use &amp; agriculture'!I80</f>
        <v/>
      </c>
      <c r="Q640" s="432" t="str">
        <f>'Land use &amp; agriculture'!J80</f>
        <v/>
      </c>
      <c r="R640" s="432" t="str">
        <f>'Land use &amp; agriculture'!K80</f>
        <v/>
      </c>
      <c r="S640" s="432" t="str">
        <f>'Land use &amp; agriculture'!L80</f>
        <v/>
      </c>
      <c r="T640" s="432">
        <f>'Land use &amp; agriculture'!M80</f>
        <v>0</v>
      </c>
      <c r="U640" s="432">
        <f>'Land use &amp; agriculture'!N80</f>
        <v>0</v>
      </c>
      <c r="V640" s="432" t="str">
        <f>'Land use &amp; agriculture'!O80</f>
        <v/>
      </c>
      <c r="W640" s="432" t="str">
        <f>'Land use &amp; agriculture'!P80</f>
        <v/>
      </c>
      <c r="X640" s="432" t="str">
        <f>'Land use &amp; agriculture'!Q80</f>
        <v/>
      </c>
      <c r="Y640" s="432" t="str">
        <f>'Land use &amp; agriculture'!R80</f>
        <v/>
      </c>
      <c r="Z640" s="432" t="str">
        <f>'Land use &amp; agriculture'!S80</f>
        <v/>
      </c>
      <c r="AA640" s="432" t="str">
        <f>'Land use &amp; agriculture'!T80</f>
        <v/>
      </c>
      <c r="AB640" s="432" t="str">
        <f>'Land use &amp; agriculture'!U80</f>
        <v/>
      </c>
      <c r="AC640" s="432" t="str">
        <f>'Land use &amp; agriculture'!V80</f>
        <v/>
      </c>
      <c r="AE640" s="432">
        <f t="shared" si="24"/>
        <v>0</v>
      </c>
      <c r="AF640" s="432">
        <f t="shared" si="25"/>
        <v>0</v>
      </c>
    </row>
    <row r="641" spans="2:32" x14ac:dyDescent="0.35">
      <c r="B641" s="432" t="e">
        <f>"2024"&amp;MATCH(Totals!D641,OrgType,0)&amp;"_"&amp;MATCH(Totals!E641,Organisations,0)&amp;"_"&amp;LEFT(Totals!F641,1)&amp;"_"&amp;LEFT(G641,1)&amp;"_"&amp;COUNTIF($G$3:G641,G641)</f>
        <v>#N/A</v>
      </c>
      <c r="C641" s="432">
        <v>2024</v>
      </c>
      <c r="D641" s="432">
        <f>Introduction!$D$7</f>
        <v>0</v>
      </c>
      <c r="E641" s="432">
        <f>Introduction!$D$8</f>
        <v>0</v>
      </c>
      <c r="F641" s="432" t="s">
        <v>152</v>
      </c>
      <c r="G641" s="432" t="s">
        <v>152</v>
      </c>
      <c r="H641" s="433"/>
      <c r="I641" s="432">
        <f>'Land use &amp; agriculture'!B81</f>
        <v>0</v>
      </c>
      <c r="J641" s="432">
        <f>'Land use &amp; agriculture'!C81</f>
        <v>0</v>
      </c>
      <c r="K641" s="432">
        <f>'Land use &amp; agriculture'!D81</f>
        <v>0</v>
      </c>
      <c r="L641" s="432">
        <f>'Land use &amp; agriculture'!E81</f>
        <v>0</v>
      </c>
      <c r="M641" s="432" t="str">
        <f>'Land use &amp; agriculture'!F81</f>
        <v/>
      </c>
      <c r="N641" s="432">
        <f>'Land use &amp; agriculture'!G81</f>
        <v>0</v>
      </c>
      <c r="O641" s="432">
        <f>'Land use &amp; agriculture'!H81</f>
        <v>0</v>
      </c>
      <c r="P641" s="432" t="str">
        <f>'Land use &amp; agriculture'!I81</f>
        <v/>
      </c>
      <c r="Q641" s="432" t="str">
        <f>'Land use &amp; agriculture'!J81</f>
        <v/>
      </c>
      <c r="R641" s="432" t="str">
        <f>'Land use &amp; agriculture'!K81</f>
        <v/>
      </c>
      <c r="S641" s="432" t="str">
        <f>'Land use &amp; agriculture'!L81</f>
        <v/>
      </c>
      <c r="T641" s="432">
        <f>'Land use &amp; agriculture'!M81</f>
        <v>0</v>
      </c>
      <c r="U641" s="432">
        <f>'Land use &amp; agriculture'!N81</f>
        <v>0</v>
      </c>
      <c r="V641" s="432" t="str">
        <f>'Land use &amp; agriculture'!O81</f>
        <v/>
      </c>
      <c r="W641" s="432" t="str">
        <f>'Land use &amp; agriculture'!P81</f>
        <v/>
      </c>
      <c r="X641" s="432" t="str">
        <f>'Land use &amp; agriculture'!Q81</f>
        <v/>
      </c>
      <c r="Y641" s="432" t="str">
        <f>'Land use &amp; agriculture'!R81</f>
        <v/>
      </c>
      <c r="Z641" s="432" t="str">
        <f>'Land use &amp; agriculture'!S81</f>
        <v/>
      </c>
      <c r="AA641" s="432" t="str">
        <f>'Land use &amp; agriculture'!T81</f>
        <v/>
      </c>
      <c r="AB641" s="432" t="str">
        <f>'Land use &amp; agriculture'!U81</f>
        <v/>
      </c>
      <c r="AC641" s="432" t="str">
        <f>'Land use &amp; agriculture'!V81</f>
        <v/>
      </c>
      <c r="AE641" s="432">
        <f t="shared" si="24"/>
        <v>0</v>
      </c>
      <c r="AF641" s="432">
        <f t="shared" si="25"/>
        <v>0</v>
      </c>
    </row>
    <row r="642" spans="2:32" x14ac:dyDescent="0.35">
      <c r="B642" s="452" t="e">
        <f>"2024"&amp;MATCH(Totals!D642,OrgType,0)&amp;"_"&amp;MATCH(Totals!E642,Organisations,0)&amp;"_"&amp;LEFT(Totals!F642,1)&amp;"_"&amp;LEFT(G642,1)&amp;"_"&amp;COUNTIF($G$3:G642,G642)</f>
        <v>#N/A</v>
      </c>
      <c r="C642" s="452">
        <v>2024</v>
      </c>
      <c r="D642" s="452">
        <f>Introduction!$D$7</f>
        <v>0</v>
      </c>
      <c r="E642" s="452">
        <f>Introduction!$D$8</f>
        <v>0</v>
      </c>
      <c r="F642" s="452" t="s">
        <v>152</v>
      </c>
      <c r="G642" s="452" t="s">
        <v>152</v>
      </c>
      <c r="H642" s="453"/>
      <c r="I642" s="452">
        <f>'Land use &amp; agriculture'!B82</f>
        <v>0</v>
      </c>
      <c r="J642" s="452">
        <f>'Land use &amp; agriculture'!C82</f>
        <v>0</v>
      </c>
      <c r="K642" s="452">
        <f>'Land use &amp; agriculture'!D82</f>
        <v>0</v>
      </c>
      <c r="L642" s="452">
        <f>'Land use &amp; agriculture'!E82</f>
        <v>0</v>
      </c>
      <c r="M642" s="452" t="str">
        <f>'Land use &amp; agriculture'!F82</f>
        <v/>
      </c>
      <c r="N642" s="452">
        <f>'Land use &amp; agriculture'!G82</f>
        <v>0</v>
      </c>
      <c r="O642" s="452">
        <f>'Land use &amp; agriculture'!H82</f>
        <v>0</v>
      </c>
      <c r="P642" s="452" t="str">
        <f>'Land use &amp; agriculture'!I82</f>
        <v/>
      </c>
      <c r="Q642" s="452" t="str">
        <f>'Land use &amp; agriculture'!J82</f>
        <v/>
      </c>
      <c r="R642" s="452" t="str">
        <f>'Land use &amp; agriculture'!K82</f>
        <v/>
      </c>
      <c r="S642" s="452" t="str">
        <f>'Land use &amp; agriculture'!L82</f>
        <v/>
      </c>
      <c r="T642" s="452">
        <f>'Land use &amp; agriculture'!M82</f>
        <v>0</v>
      </c>
      <c r="U642" s="452">
        <f>'Land use &amp; agriculture'!N82</f>
        <v>0</v>
      </c>
      <c r="V642" s="452" t="str">
        <f>'Land use &amp; agriculture'!O82</f>
        <v/>
      </c>
      <c r="W642" s="452" t="str">
        <f>'Land use &amp; agriculture'!P82</f>
        <v/>
      </c>
      <c r="X642" s="452" t="str">
        <f>'Land use &amp; agriculture'!Q82</f>
        <v/>
      </c>
      <c r="Y642" s="452" t="str">
        <f>'Land use &amp; agriculture'!R82</f>
        <v/>
      </c>
      <c r="Z642" s="452" t="str">
        <f>'Land use &amp; agriculture'!S82</f>
        <v/>
      </c>
      <c r="AA642" s="452" t="str">
        <f>'Land use &amp; agriculture'!T82</f>
        <v/>
      </c>
      <c r="AB642" s="452" t="str">
        <f>'Land use &amp; agriculture'!U82</f>
        <v/>
      </c>
      <c r="AC642" s="452" t="str">
        <f>'Land use &amp; agriculture'!V82</f>
        <v/>
      </c>
      <c r="AE642" s="432">
        <f t="shared" si="24"/>
        <v>0</v>
      </c>
      <c r="AF642" s="432">
        <f t="shared" si="25"/>
        <v>0</v>
      </c>
    </row>
  </sheetData>
  <sheetProtection algorithmName="SHA-512" hashValue="ynG5uaYRreRBa5meYXqaiEz5//oLOnK540foIGnYgeIPNIIVd/syjC4cRQRjIqRxGLSa6zFlE7W2ZwPbbmgBOw==" saltValue="jCiKcgLzExykwJhXzF0s7g==" spinCount="100000" sheet="1" objects="1" scenarios="1"/>
  <phoneticPr fontId="20" type="noConversion"/>
  <conditionalFormatting sqref="B2:AC2">
    <cfRule type="expression" dxfId="1" priority="6">
      <formula>ISERROR($S2)</formula>
    </cfRule>
  </conditionalFormatting>
  <conditionalFormatting sqref="AE2:AF2">
    <cfRule type="expression" dxfId="0" priority="1">
      <formula>ISERROR($S2)</formula>
    </cfRule>
  </conditionalFormatting>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39" id="{FEFB0E81-9B33-4A3D-852D-E660275D3CEA}">
            <x14:iconSet iconSet="3Flags" custom="1">
              <x14:cfvo type="percent">
                <xm:f>0</xm:f>
              </x14:cfvo>
              <x14:cfvo type="num">
                <xm:f>0</xm:f>
              </x14:cfvo>
              <x14:cfvo type="num">
                <xm:f>1</xm:f>
              </x14:cfvo>
              <x14:cfIcon iconSet="3Flags" iconId="2"/>
              <x14:cfIcon iconSet="3Flags" iconId="2"/>
              <x14:cfIcon iconSet="3Flags" iconId="0"/>
            </x14:iconSet>
          </x14:cfRule>
          <xm:sqref>AE3:AE642</xm:sqref>
        </x14:conditionalFormatting>
        <x14:conditionalFormatting xmlns:xm="http://schemas.microsoft.com/office/excel/2006/main">
          <x14:cfRule type="iconSet" priority="41" id="{C0EFC1ED-2510-4A3E-899D-4A706E009FEB}">
            <x14:iconSet iconSet="3Flags" custom="1">
              <x14:cfvo type="percent">
                <xm:f>0</xm:f>
              </x14:cfvo>
              <x14:cfvo type="num">
                <xm:f>0</xm:f>
              </x14:cfvo>
              <x14:cfvo type="num">
                <xm:f>1</xm:f>
              </x14:cfvo>
              <x14:cfIcon iconSet="3Flags" iconId="2"/>
              <x14:cfIcon iconSet="3Flags" iconId="2"/>
              <x14:cfIcon iconSet="3Flags" iconId="0"/>
            </x14:iconSet>
          </x14:cfRule>
          <xm:sqref>AF3:AF642</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EE2A7AB7074E94D88D13888CE79A95A" ma:contentTypeVersion="10" ma:contentTypeDescription="Create a new document." ma:contentTypeScope="" ma:versionID="483711dd1ee503023b6446ef1146f696">
  <xsd:schema xmlns:xsd="http://www.w3.org/2001/XMLSchema" xmlns:xs="http://www.w3.org/2001/XMLSchema" xmlns:p="http://schemas.microsoft.com/office/2006/metadata/properties" xmlns:ns2="9a832fa7-5093-4b90-9816-68927a2fb2cf" xmlns:ns3="4c2e01c0-dcef-4458-9241-c66c635167f9" targetNamespace="http://schemas.microsoft.com/office/2006/metadata/properties" ma:root="true" ma:fieldsID="3b82b05cb95b6d939f9cfe75bb4bc273" ns2:_="" ns3:_="">
    <xsd:import namespace="9a832fa7-5093-4b90-9816-68927a2fb2cf"/>
    <xsd:import namespace="4c2e01c0-dcef-4458-9241-c66c635167f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a832fa7-5093-4b90-9816-68927a2fb2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c2e01c0-dcef-4458-9241-c66c635167f9"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4c2e01c0-dcef-4458-9241-c66c635167f9">
      <UserInfo>
        <DisplayName>Carol Oliveira</DisplayName>
        <AccountId>22</AccountId>
        <AccountType/>
      </UserInfo>
      <UserInfo>
        <DisplayName>Suchira Peiris</DisplayName>
        <AccountId>38</AccountId>
        <AccountType/>
      </UserInfo>
      <UserInfo>
        <DisplayName>Ryan Cox</DisplayName>
        <AccountId>34</AccountId>
        <AccountType/>
      </UserInfo>
    </SharedWithUsers>
  </documentManagement>
</p:properties>
</file>

<file path=customXml/item3.xml><?xml version="1.0" encoding="utf-8"?>
<metadata xmlns="http://www.objective.com/ecm/document/metadata/FF3C5B18883D4E21973B57C2EEED7FD1" version="1.0.0">
  <systemFields>
    <field name="Objective-Id">
      <value order="0">A34708334</value>
    </field>
    <field name="Objective-Title">
      <value order="0">9 - Design and Translation - Net Zero Carbon reporting spreadsheet final (E)</value>
    </field>
    <field name="Objective-Description">
      <value order="0"/>
    </field>
    <field name="Objective-CreationStamp">
      <value order="0">2021-05-13T18:05:49Z</value>
    </field>
    <field name="Objective-IsApproved">
      <value order="0">false</value>
    </field>
    <field name="Objective-IsPublished">
      <value order="0">true</value>
    </field>
    <field name="Objective-DatePublished">
      <value order="0">2021-05-13T18:06:24Z</value>
    </field>
    <field name="Objective-ModificationStamp">
      <value order="0">2021-05-13T18:06:25Z</value>
    </field>
    <field name="Objective-Owner">
      <value order="0">Phillips, Rhiannon (ESNR-Strategy-Decarbonisation&amp;Energy)</value>
    </field>
    <field name="Objective-Path">
      <value order="0">Objective Global Folder:Business File Plan:Economy, Skills &amp; Natural Resources (ESNR):Economy, Skills &amp; Natural Resources (ESNR) - ERA - Decarbonisation &amp; Energy:1 - Save:Public Sector Decarbonisation:Delivery - Decarbonisation &amp; Energy - 2018 - 2020  :Workstream - Monitoring and Reporting - Development of Welsh Government standards</value>
    </field>
    <field name="Objective-Parent">
      <value order="0">Workstream - Monitoring and Reporting - Development of Welsh Government standards</value>
    </field>
    <field name="Objective-State">
      <value order="0">Published</value>
    </field>
    <field name="Objective-VersionId">
      <value order="0">vA68424561</value>
    </field>
    <field name="Objective-Version">
      <value order="0">1.0</value>
    </field>
    <field name="Objective-VersionNumber">
      <value order="0">1</value>
    </field>
    <field name="Objective-VersionComment">
      <value order="0">First version</value>
    </field>
    <field name="Objective-FileNumber">
      <value order="0">qA1367473</value>
    </field>
    <field name="Objective-Classification">
      <value order="0">Official</value>
    </field>
    <field name="Objective-Caveats">
      <value order="0"/>
    </field>
  </systemFields>
  <catalogues>
    <catalogue name="Document Type Catalogue" type="type" ori="id:cA14">
      <field name="Objective-Date Acquired">
        <value order="0">2021-05-12T23:00:00Z</value>
      </field>
      <field name="Objective-Official Translation">
        <value order="0"/>
      </field>
      <field name="Objective-Connect Creator">
        <value order="0"/>
      </field>
    </catalogue>
  </catalogues>
</metadat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A4BA552-B903-4EC4-B6F8-9B847D8B53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a832fa7-5093-4b90-9816-68927a2fb2cf"/>
    <ds:schemaRef ds:uri="4c2e01c0-dcef-4458-9241-c66c635167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9732A7-1D95-4311-A98C-B3DB5215722B}">
  <ds:schemaRefs>
    <ds:schemaRef ds:uri="http://www.w3.org/XML/1998/namespace"/>
    <ds:schemaRef ds:uri="http://purl.org/dc/elements/1.1/"/>
    <ds:schemaRef ds:uri="http://schemas.microsoft.com/office/2006/metadata/properties"/>
    <ds:schemaRef ds:uri="http://purl.org/dc/dcmitype/"/>
    <ds:schemaRef ds:uri="9a832fa7-5093-4b90-9816-68927a2fb2cf"/>
    <ds:schemaRef ds:uri="4c2e01c0-dcef-4458-9241-c66c635167f9"/>
    <ds:schemaRef ds:uri="http://schemas.microsoft.com/office/2006/documentManagement/types"/>
    <ds:schemaRef ds:uri="http://purl.org/dc/terms/"/>
    <ds:schemaRef ds:uri="http://schemas.openxmlformats.org/package/2006/metadata/core-properties"/>
    <ds:schemaRef ds:uri="http://schemas.microsoft.com/office/infopath/2007/PartnerControls"/>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3B29AECD-ED03-4139-9D95-9DA9641B40EB}">
  <ds:schemaRefs>
    <ds:schemaRef ds:uri="http://schemas.microsoft.com/sharepoint/v3/contenttype/forms"/>
  </ds:schemaRefs>
</ds:datastoreItem>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17</vt:i4>
      </vt:variant>
      <vt:variant>
        <vt:lpstr>Named Ranges</vt:lpstr>
      </vt:variant>
      <vt:variant>
        <vt:i4>189</vt:i4>
      </vt:variant>
    </vt:vector>
  </HeadingPairs>
  <TitlesOfParts>
    <vt:vector size="206" baseType="lpstr">
      <vt:lpstr>Introduction</vt:lpstr>
      <vt:lpstr>Version Log</vt:lpstr>
      <vt:lpstr>Summary results</vt:lpstr>
      <vt:lpstr>Buildings &amp; stationary assets</vt:lpstr>
      <vt:lpstr>Fleet</vt:lpstr>
      <vt:lpstr>Business travel, commute, home</vt:lpstr>
      <vt:lpstr>Medical gases (NHS only)</vt:lpstr>
      <vt:lpstr>Supply chain</vt:lpstr>
      <vt:lpstr>Waste</vt:lpstr>
      <vt:lpstr>Land use &amp; agriculture</vt:lpstr>
      <vt:lpstr>Renewables</vt:lpstr>
      <vt:lpstr>Emission factors</vt:lpstr>
      <vt:lpstr>Land Emission Factors</vt:lpstr>
      <vt:lpstr>Benchmarking data</vt:lpstr>
      <vt:lpstr>Lists</vt:lpstr>
      <vt:lpstr>Errors</vt:lpstr>
      <vt:lpstr>Totals</vt:lpstr>
      <vt:lpstr>'Benchmarking data'!_ftnref1</vt:lpstr>
      <vt:lpstr>'Benchmarking data'!_Toc103010521</vt:lpstr>
      <vt:lpstr>Aethercomments</vt:lpstr>
      <vt:lpstr>Aggregates</vt:lpstr>
      <vt:lpstr>AGRIC</vt:lpstr>
      <vt:lpstr>Agriculture</vt:lpstr>
      <vt:lpstr>Allfleetfuel</vt:lpstr>
      <vt:lpstr>Anatomicalwaste</vt:lpstr>
      <vt:lpstr>Asbestos</vt:lpstr>
      <vt:lpstr>Asphalt</vt:lpstr>
      <vt:lpstr>Averageconstruction</vt:lpstr>
      <vt:lpstr>Batteries</vt:lpstr>
      <vt:lpstr>Biodieselcategory1</vt:lpstr>
      <vt:lpstr>Biodieselunits</vt:lpstr>
      <vt:lpstr>Bioenergycategory1</vt:lpstr>
      <vt:lpstr>Bioenergyunits</vt:lpstr>
      <vt:lpstr>Biopetrolcategory1</vt:lpstr>
      <vt:lpstr>Biopetrolunits</vt:lpstr>
      <vt:lpstr>BoundaryInfo</vt:lpstr>
      <vt:lpstr>Bricks</vt:lpstr>
      <vt:lpstr>Buildings</vt:lpstr>
      <vt:lpstr>Buildingsownership</vt:lpstr>
      <vt:lpstr>Businesstravel</vt:lpstr>
      <vt:lpstr>Cattle</vt:lpstr>
      <vt:lpstr>CHPplant</vt:lpstr>
      <vt:lpstr>Clinicalwaste</vt:lpstr>
      <vt:lpstr>Clothing</vt:lpstr>
      <vt:lpstr>Coalcategory1</vt:lpstr>
      <vt:lpstr>Coalunits</vt:lpstr>
      <vt:lpstr>Commercialandindustrialwaste</vt:lpstr>
      <vt:lpstr>Commuting</vt:lpstr>
      <vt:lpstr>Concrete</vt:lpstr>
      <vt:lpstr>Dieselcategory1</vt:lpstr>
      <vt:lpstr>Dieselunits</vt:lpstr>
      <vt:lpstr>Ease</vt:lpstr>
      <vt:lpstr>Equipmentfuel</vt:lpstr>
      <vt:lpstr>F_gases</vt:lpstr>
      <vt:lpstr>F_GasUnits</vt:lpstr>
      <vt:lpstr>FarmlandSoils</vt:lpstr>
      <vt:lpstr>Farmlandsoilsunits</vt:lpstr>
      <vt:lpstr>Fgas</vt:lpstr>
      <vt:lpstr>fgasunits</vt:lpstr>
      <vt:lpstr>FireandRescueService</vt:lpstr>
      <vt:lpstr>Fleetandequipmentfuel</vt:lpstr>
      <vt:lpstr>Fleetdistance</vt:lpstr>
      <vt:lpstr>Flightcategory1</vt:lpstr>
      <vt:lpstr>Flightdomestic</vt:lpstr>
      <vt:lpstr>Flightlonghaul</vt:lpstr>
      <vt:lpstr>Flightshorthaul</vt:lpstr>
      <vt:lpstr>Flightunits</vt:lpstr>
      <vt:lpstr>Gasoilcategory1</vt:lpstr>
      <vt:lpstr>Gasoilunits</vt:lpstr>
      <vt:lpstr>Generatorfuel</vt:lpstr>
      <vt:lpstr>Gridelectricitycategory1</vt:lpstr>
      <vt:lpstr>Gridelectricityunits</vt:lpstr>
      <vt:lpstr>HealthBoardorTrust</vt:lpstr>
      <vt:lpstr>Heatandsteamcategory1</vt:lpstr>
      <vt:lpstr>Heatandsteamunits</vt:lpstr>
      <vt:lpstr>HGVfuel</vt:lpstr>
      <vt:lpstr>HGVsize</vt:lpstr>
      <vt:lpstr>HGVsizefuel</vt:lpstr>
      <vt:lpstr>HGVunits</vt:lpstr>
      <vt:lpstr>Hirecaraverage</vt:lpstr>
      <vt:lpstr>Hirecarcategory1</vt:lpstr>
      <vt:lpstr>Hirecarlarge</vt:lpstr>
      <vt:lpstr>Hirecarmedium</vt:lpstr>
      <vt:lpstr>Hirecarsmall</vt:lpstr>
      <vt:lpstr>Hirecarunits</vt:lpstr>
      <vt:lpstr>Homeworking</vt:lpstr>
      <vt:lpstr>Householdresidualwaste</vt:lpstr>
      <vt:lpstr>Infectiouswaste</vt:lpstr>
      <vt:lpstr>Insulation</vt:lpstr>
      <vt:lpstr>Kerosenecategory1</vt:lpstr>
      <vt:lpstr>Keroseneunits</vt:lpstr>
      <vt:lpstr>landuse</vt:lpstr>
      <vt:lpstr>landusetypes</vt:lpstr>
      <vt:lpstr>Livestock</vt:lpstr>
      <vt:lpstr>Livestockunits</vt:lpstr>
      <vt:lpstr>LocalAuthority</vt:lpstr>
      <vt:lpstr>LPGcategory1</vt:lpstr>
      <vt:lpstr>LPGunits</vt:lpstr>
      <vt:lpstr>Medicalcontaminatedsharpswaste</vt:lpstr>
      <vt:lpstr>Medicalgas</vt:lpstr>
      <vt:lpstr>Medicalgasunits</vt:lpstr>
      <vt:lpstr>Medicinalwaste</vt:lpstr>
      <vt:lpstr>Metals</vt:lpstr>
      <vt:lpstr>Methdologytier2</vt:lpstr>
      <vt:lpstr>Methodologyall</vt:lpstr>
      <vt:lpstr>Methodologytier</vt:lpstr>
      <vt:lpstr>Methodologytier1</vt:lpstr>
      <vt:lpstr>Methodologytier23</vt:lpstr>
      <vt:lpstr>Methodologytier3</vt:lpstr>
      <vt:lpstr>Mineraloil</vt:lpstr>
      <vt:lpstr>Mixedglass</vt:lpstr>
      <vt:lpstr>Mixedmetalcans</vt:lpstr>
      <vt:lpstr>Mixedpaper</vt:lpstr>
      <vt:lpstr>Mixedplastics</vt:lpstr>
      <vt:lpstr>Mixedrecycling</vt:lpstr>
      <vt:lpstr>MixedWEEE</vt:lpstr>
      <vt:lpstr>Motorbikeaverage</vt:lpstr>
      <vt:lpstr>Motorbikecategory1</vt:lpstr>
      <vt:lpstr>motorbikelarge</vt:lpstr>
      <vt:lpstr>Motorbikemedium</vt:lpstr>
      <vt:lpstr>Motorbikesmall</vt:lpstr>
      <vt:lpstr>Motorbikeunits</vt:lpstr>
      <vt:lpstr>Municipalwaste</vt:lpstr>
      <vt:lpstr>NationalParkAuthority</vt:lpstr>
      <vt:lpstr>Naturalgascategory1</vt:lpstr>
      <vt:lpstr>Naturalgasunits</vt:lpstr>
      <vt:lpstr>Noninfectiousoffensivewaste</vt:lpstr>
      <vt:lpstr>Onsiteandoffsiterenewables</vt:lpstr>
      <vt:lpstr>Onsiterenewables</vt:lpstr>
      <vt:lpstr>Organicfoodanddrink</vt:lpstr>
      <vt:lpstr>Organicgarden</vt:lpstr>
      <vt:lpstr>Organicmixed</vt:lpstr>
      <vt:lpstr>OrganisationalInfo</vt:lpstr>
      <vt:lpstr>Organisationalwaste</vt:lpstr>
      <vt:lpstr>Organisations</vt:lpstr>
      <vt:lpstr>Organisationwastetype</vt:lpstr>
      <vt:lpstr>OrgType</vt:lpstr>
      <vt:lpstr>Other</vt:lpstr>
      <vt:lpstr>Othergases</vt:lpstr>
      <vt:lpstr>Peerreview</vt:lpstr>
      <vt:lpstr>Petrolcategory1</vt:lpstr>
      <vt:lpstr>Petrolunits</vt:lpstr>
      <vt:lpstr>Plasterboard</vt:lpstr>
      <vt:lpstr>Poolcarfuel</vt:lpstr>
      <vt:lpstr>PoolcarSize</vt:lpstr>
      <vt:lpstr>Poolcarsizefuel</vt:lpstr>
      <vt:lpstr>Poolcarunits</vt:lpstr>
      <vt:lpstr>Privatecaraverage</vt:lpstr>
      <vt:lpstr>Privatecarcategory1</vt:lpstr>
      <vt:lpstr>Privatecarlarge</vt:lpstr>
      <vt:lpstr>Privatecarmedium</vt:lpstr>
      <vt:lpstr>Privatecarsmall</vt:lpstr>
      <vt:lpstr>Privatecarunits</vt:lpstr>
      <vt:lpstr>Projectwaste</vt:lpstr>
      <vt:lpstr>Publictransportbus</vt:lpstr>
      <vt:lpstr>Publictransportcategory1</vt:lpstr>
      <vt:lpstr>Publictransportferry</vt:lpstr>
      <vt:lpstr>Publictransportrail</vt:lpstr>
      <vt:lpstr>Publictransporttaxi</vt:lpstr>
      <vt:lpstr>Publictransportunits</vt:lpstr>
      <vt:lpstr>Purchasedrenewableelectricityagreement</vt:lpstr>
      <vt:lpstr>Purchasedrenewableheatagreement</vt:lpstr>
      <vt:lpstr>Purchasedrenewables</vt:lpstr>
      <vt:lpstr>Regions</vt:lpstr>
      <vt:lpstr>RenewableCHPelectricitytechnology</vt:lpstr>
      <vt:lpstr>RenewableCHPheattechnology</vt:lpstr>
      <vt:lpstr>Renewableelectricity</vt:lpstr>
      <vt:lpstr>Renewableelectricityownership</vt:lpstr>
      <vt:lpstr>Renewableelectricitytechnology</vt:lpstr>
      <vt:lpstr>Renewableheat</vt:lpstr>
      <vt:lpstr>Renewableheattechnology</vt:lpstr>
      <vt:lpstr>Renewables</vt:lpstr>
      <vt:lpstr>ReportingComments</vt:lpstr>
      <vt:lpstr>Reportingyear</vt:lpstr>
      <vt:lpstr>RSD</vt:lpstr>
      <vt:lpstr>Sheep</vt:lpstr>
      <vt:lpstr>SICProductCategories</vt:lpstr>
      <vt:lpstr>SICProductCodeLookup</vt:lpstr>
      <vt:lpstr>soil</vt:lpstr>
      <vt:lpstr>Streetlighting</vt:lpstr>
      <vt:lpstr>SupplyChain_Tier2RSD</vt:lpstr>
      <vt:lpstr>Supplychaingroup</vt:lpstr>
      <vt:lpstr>Typeoflighting</vt:lpstr>
      <vt:lpstr>TypeOrganisation</vt:lpstr>
      <vt:lpstr>Tyres</vt:lpstr>
      <vt:lpstr>UniveristyorCollege</vt:lpstr>
      <vt:lpstr>vanaverage</vt:lpstr>
      <vt:lpstr>vanbiodiesel</vt:lpstr>
      <vt:lpstr>vanbiopetrol</vt:lpstr>
      <vt:lpstr>vancategory1</vt:lpstr>
      <vt:lpstr>Vancategory2</vt:lpstr>
      <vt:lpstr>vanfuel</vt:lpstr>
      <vt:lpstr>Vansize</vt:lpstr>
      <vt:lpstr>Vansizefuel</vt:lpstr>
      <vt:lpstr>Vanunits</vt:lpstr>
      <vt:lpstr>Vehicles</vt:lpstr>
      <vt:lpstr>Version</vt:lpstr>
      <vt:lpstr>Version_Number</vt:lpstr>
      <vt:lpstr>WasteSoils</vt:lpstr>
      <vt:lpstr>Wastesource</vt:lpstr>
      <vt:lpstr>Wasteunits</vt:lpstr>
      <vt:lpstr>Watercategory1</vt:lpstr>
      <vt:lpstr>Waterunits</vt:lpstr>
      <vt:lpstr>WelshGovernment</vt:lpstr>
      <vt:lpstr>Wood</vt:lpstr>
      <vt:lpstr>Yesno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Hector.Wilson@carbontrust.com</dc:creator>
  <cp:keywords/>
  <dc:description/>
  <cp:lastModifiedBy>Williams, Jo (CCRA - Operations - CCRA Communications)</cp:lastModifiedBy>
  <cp:revision/>
  <dcterms:created xsi:type="dcterms:W3CDTF">2019-12-05T11:58:06Z</dcterms:created>
  <dcterms:modified xsi:type="dcterms:W3CDTF">2024-07-24T09:14:50Z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0x010100EEE2A7AB7074E94D88D13888CE79A95A</vt:lpwstr>
  </property>
  <property fmtid="{D5CDD505-2E9C-101B-9397-08002B2CF9AE}" pid="3" name="Objective-Id">
    <vt:lpwstr>A34708334</vt:lpwstr>
  </property>
  <property fmtid="{D5CDD505-2E9C-101B-9397-08002B2CF9AE}" pid="4" name="Objective-Title">
    <vt:lpwstr>9 - Design and Translation - Net Zero Carbon reporting spreadsheet final (E)</vt:lpwstr>
  </property>
  <property fmtid="{D5CDD505-2E9C-101B-9397-08002B2CF9AE}" pid="5" name="Objective-Description">
    <vt:lpwstr/>
  </property>
  <property fmtid="{D5CDD505-2E9C-101B-9397-08002B2CF9AE}" pid="6" name="Objective-CreationStamp">
    <vt:filetime>2021-05-13T18:05:49Z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2021-05-13T18:06:24Z</vt:filetime>
  </property>
  <property fmtid="{D5CDD505-2E9C-101B-9397-08002B2CF9AE}" pid="10" name="Objective-ModificationStamp">
    <vt:filetime>2021-05-13T18:06:25Z</vt:filetime>
  </property>
  <property fmtid="{D5CDD505-2E9C-101B-9397-08002B2CF9AE}" pid="11" name="Objective-Owner">
    <vt:lpwstr>Phillips, Rhiannon (ESNR-Strategy-Decarbonisation&amp;Energy)</vt:lpwstr>
  </property>
  <property fmtid="{D5CDD505-2E9C-101B-9397-08002B2CF9AE}" pid="12" name="Objective-Path">
    <vt:lpwstr>Objective Global Folder:Business File Plan:Economy, Skills &amp; Natural Resources (ESNR):Economy, Skills &amp; Natural Resources (ESNR) - ERA - Decarbonisation &amp; Energy:1 - Save:Public Sector Decarbonisation:Delivery - Decarbonisation &amp; Energy - 2018 - 2020  :Wo</vt:lpwstr>
  </property>
  <property fmtid="{D5CDD505-2E9C-101B-9397-08002B2CF9AE}" pid="13" name="Objective-Parent">
    <vt:lpwstr>Workstream - Monitoring and Reporting - Development of Welsh Government standards</vt:lpwstr>
  </property>
  <property fmtid="{D5CDD505-2E9C-101B-9397-08002B2CF9AE}" pid="14" name="Objective-State">
    <vt:lpwstr>Published</vt:lpwstr>
  </property>
  <property fmtid="{D5CDD505-2E9C-101B-9397-08002B2CF9AE}" pid="15" name="Objective-VersionId">
    <vt:lpwstr>vA68424561</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qA1367473</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filetime>2021-05-12T23:00:00Z</vt:filetime>
  </property>
  <property fmtid="{D5CDD505-2E9C-101B-9397-08002B2CF9AE}" pid="23" name="Objective-Official Translation">
    <vt:lpwstr/>
  </property>
  <property fmtid="{D5CDD505-2E9C-101B-9397-08002B2CF9AE}" pid="24" name="Objective-Connect Creator">
    <vt:lpwstr/>
  </property>
</Properties>
</file>