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harts/chart1.xml" ContentType="application/vnd.openxmlformats-officedocument.drawingml.chart+xml"/>
  <Override PartName="/xl/drawings/drawing4.xml" ContentType="application/vnd.openxmlformats-officedocument.drawing+xml"/>
  <Override PartName="/xl/ctrlProps/ctrlProp11.xml" ContentType="application/vnd.ms-excel.controlproperti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trlProps/ctrlProp12.xml" ContentType="application/vnd.ms-excel.controlproperties+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trlProps/ctrlProp13.xml" ContentType="application/vnd.ms-excel.controlproperties+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trlProps/ctrlProp14.xml" ContentType="application/vnd.ms-excel.controlproperties+xml"/>
  <Override PartName="/xl/charts/chart10.xml" ContentType="application/vnd.openxmlformats-officedocument.drawingml.chart+xml"/>
  <Override PartName="/xl/drawings/drawing12.xml" ContentType="application/vnd.openxmlformats-officedocument.drawing+xml"/>
  <Override PartName="/xl/ctrlProps/ctrlProp15.xml" ContentType="application/vnd.ms-excel.controlproperties+xml"/>
  <Override PartName="/xl/charts/chart11.xml" ContentType="application/vnd.openxmlformats-officedocument.drawingml.chart+xml"/>
  <Override PartName="/xl/drawings/drawing13.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trlProps/ctrlProp18.xml" ContentType="application/vnd.ms-excel.controlproperties+xml"/>
  <Override PartName="/xl/charts/chart13.xml" ContentType="application/vnd.openxmlformats-officedocument.drawingml.chart+xml"/>
  <Override PartName="/xl/drawings/drawing16.xml" ContentType="application/vnd.openxmlformats-officedocument.drawing+xml"/>
  <Override PartName="/xl/ctrlProps/ctrlProp19.xml" ContentType="application/vnd.ms-excel.controlproperties+xml"/>
  <Override PartName="/xl/drawings/drawing17.xml" ContentType="application/vnd.openxmlformats-officedocument.drawing+xml"/>
  <Override PartName="/xl/drawings/drawing18.xml" ContentType="application/vnd.openxmlformats-officedocument.drawing+xml"/>
  <Override PartName="/xl/ctrlProps/ctrlProp20.xml" ContentType="application/vnd.ms-excel.controlproperties+xml"/>
  <Override PartName="/xl/drawings/drawing19.xml" ContentType="application/vnd.openxmlformats-officedocument.drawing+xml"/>
  <Override PartName="/xl/drawings/drawing2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E69E" lockStructure="1"/>
  <bookViews>
    <workbookView xWindow="13740" yWindow="-30" windowWidth="15060" windowHeight="12855"/>
  </bookViews>
  <sheets>
    <sheet name="Home" sheetId="4" r:id="rId1"/>
    <sheet name="Select Health Board" sheetId="36" r:id="rId2"/>
    <sheet name="Sight Loss" sheetId="20" r:id="rId3"/>
    <sheet name="Sight Tests" sheetId="12" r:id="rId4"/>
    <sheet name="EHEW" sheetId="49" r:id="rId5"/>
    <sheet name="Vouchers &amp; Repairs" sheetId="48" r:id="rId6"/>
    <sheet name="Optometry Practices" sheetId="21" r:id="rId7"/>
    <sheet name="Referrals" sheetId="22" r:id="rId8"/>
    <sheet name="LVS" sheetId="23" r:id="rId9"/>
    <sheet name="DESW" sheetId="29" r:id="rId10"/>
    <sheet name="Ophthalmic Practitioners" sheetId="40" r:id="rId11"/>
    <sheet name="NHS Workforce" sheetId="46" r:id="rId12"/>
    <sheet name="Disability Registers" sheetId="41" r:id="rId13"/>
    <sheet name="Hearing Aid Waiting Times" sheetId="43" r:id="rId14"/>
    <sheet name="Ophthalmology Waiting Times" sheetId="47" r:id="rId15"/>
    <sheet name="Hospital Admissions" sheetId="42" r:id="rId16"/>
    <sheet name="Summary" sheetId="34" r:id="rId17"/>
    <sheet name="Comparisons" sheetId="50" r:id="rId18"/>
    <sheet name="Notes" sheetId="28" r:id="rId19"/>
    <sheet name="All data" sheetId="37" state="hidden" r:id="rId20"/>
    <sheet name="Lookup data" sheetId="38" state="hidden" r:id="rId21"/>
    <sheet name="Button control data" sheetId="33" state="hidden" r:id="rId22"/>
    <sheet name="Comparison data" sheetId="51" state="hidden" r:id="rId23"/>
  </sheets>
  <externalReferences>
    <externalReference r:id="rId24"/>
    <externalReference r:id="rId25"/>
    <externalReference r:id="rId26"/>
    <externalReference r:id="rId27"/>
    <externalReference r:id="rId28"/>
    <externalReference r:id="rId29"/>
    <externalReference r:id="rId30"/>
  </externalReferences>
  <definedNames>
    <definedName name="Chart1">'Button control data'!$B$109:$C$130</definedName>
    <definedName name="Chart14a">'Button control data'!$M$107:$R$125</definedName>
    <definedName name="Chart14b">'Button control data'!$M$129:$R$147</definedName>
    <definedName name="Chart14c">'Button control data'!$M$151:$R$169</definedName>
    <definedName name="Chart14d">'Button control data'!$M$173:$R$191</definedName>
    <definedName name="Chart15a">'Comparison data'!$B$24:$H$38</definedName>
    <definedName name="Chart15b">'Comparison data'!$B$40:$H$54</definedName>
    <definedName name="Chart15c">'Comparison data'!$B$56:$H$70</definedName>
    <definedName name="Chart15d">'Comparison data'!$B$72:$H$86</definedName>
    <definedName name="Chart15e">'Comparison data'!$B$88:$H$102</definedName>
    <definedName name="Chart15f">'Comparison data'!$B$104:$H$118</definedName>
    <definedName name="Chart15g">'Comparison data'!$B$120:$H$134</definedName>
    <definedName name="Chart15h">'Comparison data'!$B$136:$H$150</definedName>
    <definedName name="Chart15i">'Comparison data'!$B$152:$H$166</definedName>
    <definedName name="Chart15j">'Comparison data'!$B$168:$H$182</definedName>
    <definedName name="Chart15k">'Comparison data'!$B$184:$H$198</definedName>
    <definedName name="Chart15select">CHOOSE('Comparison data'!$A$22,Chart15a,Chart15b,Chart15c,Chart15d,Chart15e,Chart15f,Chart15g,Chart15h,Chart15i,Chart15j,Chart15k)</definedName>
    <definedName name="Chart2">'Button control data'!$B$131:$C$152</definedName>
    <definedName name="Chart3">'Button control data'!$B$153:$C$174</definedName>
    <definedName name="Chart4">'Button control data'!$B$175:$C$196</definedName>
    <definedName name="LHBorder">[1]lookups!$A$2:$B$25</definedName>
    <definedName name="LVS">'Button control data'!$C$33:$J$36</definedName>
    <definedName name="_xlnm.Print_Area" localSheetId="17">Comparisons!$A$1:$N$29</definedName>
    <definedName name="_xlnm.Print_Area" localSheetId="9">DESW!$A$1:$K$27</definedName>
    <definedName name="_xlnm.Print_Area" localSheetId="12">'Disability Registers'!$A$1:$K$27</definedName>
    <definedName name="_xlnm.Print_Area" localSheetId="4">EHEW!$A$1:$K$26</definedName>
    <definedName name="_xlnm.Print_Area" localSheetId="0">Home!$A$1:$K$25</definedName>
    <definedName name="_xlnm.Print_Area" localSheetId="8">LVS!$A$1:$K$26</definedName>
    <definedName name="_xlnm.Print_Area" localSheetId="11">'NHS Workforce'!$A$1:$K$27</definedName>
    <definedName name="_xlnm.Print_Area" localSheetId="18">Notes!$A$1:$K$26</definedName>
    <definedName name="_xlnm.Print_Area" localSheetId="10">'Ophthalmic Practitioners'!$A$1:$K$27</definedName>
    <definedName name="_xlnm.Print_Area" localSheetId="6">'Optometry Practices'!$A$1:$K$27</definedName>
    <definedName name="_xlnm.Print_Area" localSheetId="7">Referrals!$A$1:$K$26</definedName>
    <definedName name="_xlnm.Print_Area" localSheetId="1">'Select Health Board'!$A$1:$K$27</definedName>
    <definedName name="_xlnm.Print_Area" localSheetId="2">'Sight Loss'!$A$1:$K$25</definedName>
    <definedName name="_xlnm.Print_Area" localSheetId="3">'Sight Tests'!$A$1:$K$26</definedName>
    <definedName name="_xlnm.Print_Area" localSheetId="16">Summary!$A$1:$N$29</definedName>
    <definedName name="_xlnm.Print_Area" localSheetId="5">'Vouchers &amp; Repairs'!$A$1:$K$26</definedName>
    <definedName name="Reasonlookup">'[2]Reason lookup'!$A$1:$D$50</definedName>
    <definedName name="SecondSelect">CHOOSE('Button control data'!$G$138,Chart1,Chart2,Chart3,Chart4)</definedName>
    <definedName name="Select14">CHOOSE('Button control data'!$Y$135,Chart14a,Chart14b,Chart14c,Chart14d)</definedName>
    <definedName name="sightLoss">'Button control data'!$C$2:$Q$6</definedName>
    <definedName name="sightTest">'Button control data'!$C$12:$S$17</definedName>
    <definedName name="Table1">[3]Template!$C$1:$D$50</definedName>
    <definedName name="Table2">[4]Template!$C$1:$D$50</definedName>
    <definedName name="temp" localSheetId="17">#REF!</definedName>
    <definedName name="temp" localSheetId="12">#REF!</definedName>
    <definedName name="temp" localSheetId="4">#REF!</definedName>
    <definedName name="temp" localSheetId="11">#REF!</definedName>
    <definedName name="temp" localSheetId="10">#REF!</definedName>
    <definedName name="temp" localSheetId="14">#REF!</definedName>
    <definedName name="temp" localSheetId="1">#REF!</definedName>
    <definedName name="temp" localSheetId="16">#REF!</definedName>
    <definedName name="temp" localSheetId="5">#REF!</definedName>
    <definedName name="temp">#REF!</definedName>
    <definedName name="UALkup" localSheetId="17">#REF!</definedName>
    <definedName name="UALkup" localSheetId="12">#REF!</definedName>
    <definedName name="UALkup" localSheetId="4">#REF!</definedName>
    <definedName name="UALkup" localSheetId="11">#REF!</definedName>
    <definedName name="UALkup" localSheetId="10">#REF!</definedName>
    <definedName name="UALkup" localSheetId="14">#REF!</definedName>
    <definedName name="UALkup" localSheetId="1">#REF!</definedName>
    <definedName name="UALkup" localSheetId="16">#REF!</definedName>
    <definedName name="UALkup" localSheetId="5">#REF!</definedName>
    <definedName name="UALkup">#REF!</definedName>
    <definedName name="Viv" localSheetId="17">'[5]Table 5c'!#REF!</definedName>
    <definedName name="Viv" localSheetId="12">'[5]Table 5c'!#REF!</definedName>
    <definedName name="Viv" localSheetId="4">'[5]Table 5c'!#REF!</definedName>
    <definedName name="Viv" localSheetId="11">'[5]Table 5c'!#REF!</definedName>
    <definedName name="Viv" localSheetId="10">'[5]Table 5c'!#REF!</definedName>
    <definedName name="Viv" localSheetId="14">'[5]Table 5c'!#REF!</definedName>
    <definedName name="Viv" localSheetId="1">'[5]Table 5c'!#REF!</definedName>
    <definedName name="Viv" localSheetId="16">'[5]Table 5c'!#REF!</definedName>
    <definedName name="Viv" localSheetId="5">'[5]Table 5c'!#REF!</definedName>
    <definedName name="Viv">'[5]Table 5c'!#REF!</definedName>
    <definedName name="wrn.REPORT." hidden="1">{#N/A,#N/A,FALSE,"INTRO(report)";#N/A,#N/A,FALSE,"HA charts (summary)";#N/A,#N/A,FALSE,"UA charts Cat A (summary) B&amp;W";#N/A,#N/A,FALSE,"UA charts Cat B and Ur(sum) B&amp;W"}</definedName>
    <definedName name="year">[6]Details!$A$2</definedName>
  </definedNames>
  <calcPr calcId="145621"/>
</workbook>
</file>

<file path=xl/calcChain.xml><?xml version="1.0" encoding="utf-8"?>
<calcChain xmlns="http://schemas.openxmlformats.org/spreadsheetml/2006/main">
  <c r="C36" i="37" l="1"/>
  <c r="D36" i="37"/>
  <c r="E36" i="37"/>
  <c r="F36" i="37"/>
  <c r="G36" i="37"/>
  <c r="H36" i="37"/>
  <c r="I36" i="37"/>
  <c r="C37" i="37"/>
  <c r="D37" i="37"/>
  <c r="E37" i="37"/>
  <c r="F37" i="37"/>
  <c r="G37" i="37"/>
  <c r="H37" i="37"/>
  <c r="I37" i="37"/>
  <c r="C38" i="37"/>
  <c r="D38" i="37"/>
  <c r="E38" i="37"/>
  <c r="F38" i="37"/>
  <c r="G38" i="37"/>
  <c r="H38" i="37"/>
  <c r="I38" i="37"/>
  <c r="C39" i="37"/>
  <c r="D39" i="37"/>
  <c r="E39" i="37"/>
  <c r="F39" i="37"/>
  <c r="G39" i="37"/>
  <c r="H39" i="37"/>
  <c r="I39" i="37"/>
  <c r="C40" i="37"/>
  <c r="D40" i="37"/>
  <c r="E40" i="37"/>
  <c r="F40" i="37"/>
  <c r="G40" i="37"/>
  <c r="H40" i="37"/>
  <c r="I40" i="37"/>
  <c r="C41" i="37"/>
  <c r="D41" i="37"/>
  <c r="E41" i="37"/>
  <c r="F41" i="37"/>
  <c r="G41" i="37"/>
  <c r="H41" i="37"/>
  <c r="I41" i="37"/>
  <c r="C42" i="37"/>
  <c r="D42" i="37"/>
  <c r="E42" i="37"/>
  <c r="F42" i="37"/>
  <c r="G42" i="37"/>
  <c r="H42" i="37"/>
  <c r="I42" i="37"/>
  <c r="C43" i="37"/>
  <c r="D43" i="37"/>
  <c r="E43" i="37"/>
  <c r="F43" i="37"/>
  <c r="G43" i="37"/>
  <c r="H43" i="37"/>
  <c r="I43" i="37"/>
  <c r="B37" i="37"/>
  <c r="B38" i="37"/>
  <c r="B39" i="37"/>
  <c r="B40" i="37"/>
  <c r="B41" i="37"/>
  <c r="B42" i="37"/>
  <c r="B43" i="37"/>
  <c r="B36" i="37"/>
  <c r="O186" i="51" l="1"/>
  <c r="O187" i="51"/>
  <c r="O188" i="51"/>
  <c r="O189" i="51"/>
  <c r="O190" i="51"/>
  <c r="O191" i="51"/>
  <c r="O192" i="51"/>
  <c r="O185" i="51"/>
  <c r="P170" i="51"/>
  <c r="P171" i="51"/>
  <c r="P172" i="51"/>
  <c r="P173" i="51"/>
  <c r="P174" i="51"/>
  <c r="P175" i="51"/>
  <c r="P176" i="51"/>
  <c r="P169" i="51"/>
  <c r="N38" i="37" l="1"/>
  <c r="N39" i="37"/>
  <c r="N40" i="37"/>
  <c r="N41" i="37"/>
  <c r="N42" i="37"/>
  <c r="N37" i="37"/>
  <c r="Q84" i="33" l="1"/>
  <c r="G91" i="38"/>
  <c r="L88" i="33" s="1"/>
  <c r="P98" i="37"/>
  <c r="N10" i="51" s="1"/>
  <c r="A8" i="42" l="1"/>
  <c r="A9" i="42" s="1"/>
  <c r="I22" i="51" l="1"/>
  <c r="I21" i="51"/>
  <c r="I20" i="51"/>
  <c r="I19" i="51"/>
  <c r="I18" i="51"/>
  <c r="I17" i="51"/>
  <c r="I16" i="51"/>
  <c r="I15" i="51"/>
  <c r="I14" i="51"/>
  <c r="I13" i="51"/>
  <c r="I12" i="51"/>
  <c r="I23" i="51" l="1"/>
  <c r="B26" i="50" s="1"/>
  <c r="U4" i="37" l="1"/>
  <c r="U5" i="37"/>
  <c r="U6" i="37"/>
  <c r="U7" i="37"/>
  <c r="U8" i="37"/>
  <c r="U9" i="37"/>
  <c r="U10" i="37"/>
  <c r="U3" i="37"/>
  <c r="T4" i="37"/>
  <c r="T5" i="37"/>
  <c r="T6" i="37"/>
  <c r="T7" i="37"/>
  <c r="T8" i="37"/>
  <c r="T9" i="37"/>
  <c r="T10" i="37"/>
  <c r="T3" i="37"/>
  <c r="S4" i="37"/>
  <c r="S5" i="37"/>
  <c r="S6" i="37"/>
  <c r="S7" i="37"/>
  <c r="S8" i="37"/>
  <c r="S9" i="37"/>
  <c r="S10" i="37"/>
  <c r="S3" i="37"/>
  <c r="R4" i="37"/>
  <c r="R5" i="37"/>
  <c r="R6" i="37"/>
  <c r="R7" i="37"/>
  <c r="R8" i="37"/>
  <c r="R9" i="37"/>
  <c r="R10" i="37"/>
  <c r="R3" i="37"/>
  <c r="Q4" i="37"/>
  <c r="Q5" i="37"/>
  <c r="Q6" i="37"/>
  <c r="Q7" i="37"/>
  <c r="Q8" i="37"/>
  <c r="Q9" i="37"/>
  <c r="Q10" i="37"/>
  <c r="Q3" i="37"/>
  <c r="P4" i="37"/>
  <c r="P5" i="37"/>
  <c r="P6" i="37"/>
  <c r="P7" i="37"/>
  <c r="P8" i="37"/>
  <c r="P9" i="37"/>
  <c r="P10" i="37"/>
  <c r="P3" i="37"/>
  <c r="O4" i="37"/>
  <c r="O5" i="37"/>
  <c r="O6" i="37"/>
  <c r="O7" i="37"/>
  <c r="O8" i="37"/>
  <c r="O9" i="37"/>
  <c r="O10" i="37"/>
  <c r="O3" i="37"/>
  <c r="N4" i="37"/>
  <c r="N5" i="37"/>
  <c r="N6" i="37"/>
  <c r="N7" i="37"/>
  <c r="N8" i="37"/>
  <c r="N9" i="37"/>
  <c r="N10" i="37"/>
  <c r="N3" i="37"/>
  <c r="B102" i="33" l="1"/>
  <c r="B92" i="33" l="1"/>
  <c r="G138" i="33"/>
  <c r="B68" i="33" s="1"/>
  <c r="CU15" i="37"/>
  <c r="A8" i="49" l="1"/>
  <c r="A9" i="49" s="1"/>
  <c r="BP14" i="37"/>
  <c r="BQ14" i="37"/>
  <c r="BR14" i="37"/>
  <c r="BS14" i="37"/>
  <c r="BT14" i="37"/>
  <c r="BU14" i="37"/>
  <c r="BV14" i="37"/>
  <c r="BW14" i="37"/>
  <c r="BX14" i="37"/>
  <c r="BY14" i="37"/>
  <c r="BZ14" i="37"/>
  <c r="CA14" i="37"/>
  <c r="CB14" i="37"/>
  <c r="CC14" i="37"/>
  <c r="CD14" i="37"/>
  <c r="CE14" i="37"/>
  <c r="CF14" i="37"/>
  <c r="CG14" i="37"/>
  <c r="CH14" i="37"/>
  <c r="CI14" i="37"/>
  <c r="CJ14" i="37"/>
  <c r="CK14" i="37"/>
  <c r="CL14" i="37"/>
  <c r="BP15" i="37"/>
  <c r="BQ15" i="37"/>
  <c r="BR15" i="37"/>
  <c r="BS15" i="37"/>
  <c r="BT15" i="37"/>
  <c r="BU15" i="37"/>
  <c r="BV15" i="37"/>
  <c r="BW15" i="37"/>
  <c r="BX15" i="37"/>
  <c r="BY15" i="37"/>
  <c r="BZ15" i="37"/>
  <c r="CA15" i="37"/>
  <c r="CB15" i="37"/>
  <c r="CC15" i="37"/>
  <c r="CD15" i="37"/>
  <c r="CE15" i="37"/>
  <c r="CF15" i="37"/>
  <c r="CG15" i="37"/>
  <c r="CH15" i="37"/>
  <c r="CI15" i="37"/>
  <c r="CJ15" i="37"/>
  <c r="CK15" i="37"/>
  <c r="CL15" i="37"/>
  <c r="BP16" i="37"/>
  <c r="BQ16" i="37"/>
  <c r="BR16" i="37"/>
  <c r="BS16" i="37"/>
  <c r="BT16" i="37"/>
  <c r="BU16" i="37"/>
  <c r="BV16" i="37"/>
  <c r="BW16" i="37"/>
  <c r="BX16" i="37"/>
  <c r="BY16" i="37"/>
  <c r="BZ16" i="37"/>
  <c r="CA16" i="37"/>
  <c r="CB16" i="37"/>
  <c r="CC16" i="37"/>
  <c r="CD16" i="37"/>
  <c r="CE16" i="37"/>
  <c r="CF16" i="37"/>
  <c r="CG16" i="37"/>
  <c r="CH16" i="37"/>
  <c r="CI16" i="37"/>
  <c r="CJ16" i="37"/>
  <c r="CK16" i="37"/>
  <c r="CL16" i="37"/>
  <c r="BP17" i="37"/>
  <c r="BQ17" i="37"/>
  <c r="BR17" i="37"/>
  <c r="BS17" i="37"/>
  <c r="BT17" i="37"/>
  <c r="BU17" i="37"/>
  <c r="BV17" i="37"/>
  <c r="BW17" i="37"/>
  <c r="BX17" i="37"/>
  <c r="BY17" i="37"/>
  <c r="BZ17" i="37"/>
  <c r="CA17" i="37"/>
  <c r="CB17" i="37"/>
  <c r="CC17" i="37"/>
  <c r="CD17" i="37"/>
  <c r="CE17" i="37"/>
  <c r="CF17" i="37"/>
  <c r="CG17" i="37"/>
  <c r="CH17" i="37"/>
  <c r="CI17" i="37"/>
  <c r="CJ17" i="37"/>
  <c r="CK17" i="37"/>
  <c r="CL17" i="37"/>
  <c r="BP18" i="37"/>
  <c r="BQ18" i="37"/>
  <c r="BR18" i="37"/>
  <c r="BS18" i="37"/>
  <c r="BT18" i="37"/>
  <c r="BU18" i="37"/>
  <c r="BV18" i="37"/>
  <c r="BW18" i="37"/>
  <c r="BX18" i="37"/>
  <c r="BY18" i="37"/>
  <c r="BZ18" i="37"/>
  <c r="CA18" i="37"/>
  <c r="CB18" i="37"/>
  <c r="CC18" i="37"/>
  <c r="CD18" i="37"/>
  <c r="CE18" i="37"/>
  <c r="CF18" i="37"/>
  <c r="CG18" i="37"/>
  <c r="CH18" i="37"/>
  <c r="CI18" i="37"/>
  <c r="CJ18" i="37"/>
  <c r="CK18" i="37"/>
  <c r="CL18" i="37"/>
  <c r="BP19" i="37"/>
  <c r="BQ19" i="37"/>
  <c r="BR19" i="37"/>
  <c r="BS19" i="37"/>
  <c r="BT19" i="37"/>
  <c r="BU19" i="37"/>
  <c r="BV19" i="37"/>
  <c r="BW19" i="37"/>
  <c r="BX19" i="37"/>
  <c r="BY19" i="37"/>
  <c r="BZ19" i="37"/>
  <c r="CA19" i="37"/>
  <c r="CB19" i="37"/>
  <c r="CC19" i="37"/>
  <c r="CD19" i="37"/>
  <c r="CE19" i="37"/>
  <c r="CF19" i="37"/>
  <c r="CG19" i="37"/>
  <c r="CH19" i="37"/>
  <c r="CI19" i="37"/>
  <c r="CJ19" i="37"/>
  <c r="CK19" i="37"/>
  <c r="CL19" i="37"/>
  <c r="BP20" i="37"/>
  <c r="BQ20" i="37"/>
  <c r="BR20" i="37"/>
  <c r="BS20" i="37"/>
  <c r="BT20" i="37"/>
  <c r="BU20" i="37"/>
  <c r="BV20" i="37"/>
  <c r="BW20" i="37"/>
  <c r="BX20" i="37"/>
  <c r="BY20" i="37"/>
  <c r="BZ20" i="37"/>
  <c r="CA20" i="37"/>
  <c r="CB20" i="37"/>
  <c r="CC20" i="37"/>
  <c r="CD20" i="37"/>
  <c r="CE20" i="37"/>
  <c r="CF20" i="37"/>
  <c r="CG20" i="37"/>
  <c r="CH20" i="37"/>
  <c r="CI20" i="37"/>
  <c r="CJ20" i="37"/>
  <c r="CK20" i="37"/>
  <c r="CL20" i="37"/>
  <c r="BP21" i="37"/>
  <c r="BQ21" i="37"/>
  <c r="BR21" i="37"/>
  <c r="BS21" i="37"/>
  <c r="BT21" i="37"/>
  <c r="BU21" i="37"/>
  <c r="BV21" i="37"/>
  <c r="BW21" i="37"/>
  <c r="BX21" i="37"/>
  <c r="BY21" i="37"/>
  <c r="BZ21" i="37"/>
  <c r="CA21" i="37"/>
  <c r="CB21" i="37"/>
  <c r="CC21" i="37"/>
  <c r="CD21" i="37"/>
  <c r="CE21" i="37"/>
  <c r="CF21" i="37"/>
  <c r="CG21" i="37"/>
  <c r="CH21" i="37"/>
  <c r="CI21" i="37"/>
  <c r="CJ21" i="37"/>
  <c r="CK21" i="37"/>
  <c r="CL21" i="37"/>
  <c r="BO15" i="37"/>
  <c r="BO16" i="37"/>
  <c r="BO17" i="37"/>
  <c r="BO18" i="37"/>
  <c r="BO19" i="37"/>
  <c r="BO20" i="37"/>
  <c r="BO21" i="37"/>
  <c r="BO14" i="37"/>
  <c r="CO14" i="37" l="1"/>
  <c r="CO16" i="37"/>
  <c r="CO20" i="37"/>
  <c r="CO17" i="37"/>
  <c r="CO19" i="37"/>
  <c r="CO15" i="37"/>
  <c r="CO18" i="37"/>
  <c r="CT21" i="37"/>
  <c r="CO21" i="37"/>
  <c r="CQ19" i="37"/>
  <c r="CP19" i="37"/>
  <c r="CT18" i="37"/>
  <c r="CQ15" i="37"/>
  <c r="CP15" i="37"/>
  <c r="CT14" i="37"/>
  <c r="CQ20" i="37"/>
  <c r="CP20" i="37"/>
  <c r="CT19" i="37"/>
  <c r="CQ16" i="37"/>
  <c r="CP16" i="37"/>
  <c r="CT15" i="37"/>
  <c r="CQ21" i="37"/>
  <c r="CP21" i="37"/>
  <c r="CT20" i="37"/>
  <c r="CQ17" i="37"/>
  <c r="CP17" i="37"/>
  <c r="CT16" i="37"/>
  <c r="CQ18" i="37"/>
  <c r="CP18" i="37"/>
  <c r="CT17" i="37"/>
  <c r="CQ14" i="37"/>
  <c r="CP14" i="37"/>
  <c r="A8" i="48"/>
  <c r="A9" i="48" s="1"/>
  <c r="R28" i="33"/>
  <c r="R27" i="33"/>
  <c r="R25" i="33"/>
  <c r="R30" i="33" s="1"/>
  <c r="A26" i="48" s="1"/>
  <c r="R24" i="33"/>
  <c r="Q30" i="33"/>
  <c r="G24" i="48" s="1"/>
  <c r="P30" i="33"/>
  <c r="G23" i="48" s="1"/>
  <c r="O30" i="33"/>
  <c r="G22" i="48" s="1"/>
  <c r="N30" i="33"/>
  <c r="G21" i="48" s="1"/>
  <c r="L30" i="33"/>
  <c r="G16" i="48" s="1"/>
  <c r="AV21" i="37"/>
  <c r="AU21" i="37"/>
  <c r="AS21" i="37"/>
  <c r="AR21" i="37"/>
  <c r="AP21" i="37"/>
  <c r="AO21" i="37"/>
  <c r="AM21" i="37"/>
  <c r="AV20" i="37"/>
  <c r="AU20" i="37"/>
  <c r="AS20" i="37"/>
  <c r="AR20" i="37"/>
  <c r="AP20" i="37"/>
  <c r="AO20" i="37"/>
  <c r="AM20" i="37"/>
  <c r="AV19" i="37"/>
  <c r="AU19" i="37"/>
  <c r="AS19" i="37"/>
  <c r="AR19" i="37"/>
  <c r="AP19" i="37"/>
  <c r="AO19" i="37"/>
  <c r="AM19" i="37"/>
  <c r="AV18" i="37"/>
  <c r="AU18" i="37"/>
  <c r="AS18" i="37"/>
  <c r="AR18" i="37"/>
  <c r="AP18" i="37"/>
  <c r="AO18" i="37"/>
  <c r="AM18" i="37"/>
  <c r="AV17" i="37"/>
  <c r="AU17" i="37"/>
  <c r="AS17" i="37"/>
  <c r="AR17" i="37"/>
  <c r="AP17" i="37"/>
  <c r="AO17" i="37"/>
  <c r="AM17" i="37"/>
  <c r="AV16" i="37"/>
  <c r="AU16" i="37"/>
  <c r="AS16" i="37"/>
  <c r="AR16" i="37"/>
  <c r="AP16" i="37"/>
  <c r="AO16" i="37"/>
  <c r="AM16" i="37"/>
  <c r="AV15" i="37"/>
  <c r="AU15" i="37"/>
  <c r="AS15" i="37"/>
  <c r="AR15" i="37"/>
  <c r="AP15" i="37"/>
  <c r="AO15" i="37"/>
  <c r="AM15" i="37"/>
  <c r="AV14" i="37"/>
  <c r="AU14" i="37"/>
  <c r="AS14" i="37"/>
  <c r="AR14" i="37"/>
  <c r="AP14" i="37"/>
  <c r="AO14" i="37"/>
  <c r="AM14" i="37"/>
  <c r="AJ14" i="37"/>
  <c r="AL14" i="37"/>
  <c r="AJ15" i="37"/>
  <c r="AL15" i="37"/>
  <c r="AJ16" i="37"/>
  <c r="AL16" i="37"/>
  <c r="AJ17" i="37"/>
  <c r="AL17" i="37"/>
  <c r="AJ18" i="37"/>
  <c r="AL18" i="37"/>
  <c r="AJ19" i="37"/>
  <c r="AL19" i="37"/>
  <c r="AJ20" i="37"/>
  <c r="AL20" i="37"/>
  <c r="AJ21" i="37"/>
  <c r="AL21" i="37"/>
  <c r="AI15" i="37"/>
  <c r="AI16" i="37"/>
  <c r="AI17" i="37"/>
  <c r="AI18" i="37"/>
  <c r="AI19" i="37"/>
  <c r="AI20" i="37"/>
  <c r="AI21" i="37"/>
  <c r="AI14" i="37"/>
  <c r="CR16" i="37" l="1"/>
  <c r="CR20" i="37"/>
  <c r="CR17" i="37"/>
  <c r="CR19" i="37"/>
  <c r="CR18" i="37"/>
  <c r="CR15" i="37"/>
  <c r="CR14" i="37"/>
  <c r="CR21" i="37"/>
  <c r="P84" i="33"/>
  <c r="K103" i="33" l="1"/>
  <c r="D103" i="33"/>
  <c r="K98" i="33"/>
  <c r="K97" i="33"/>
  <c r="I90" i="33"/>
  <c r="H90" i="33"/>
  <c r="G90" i="33"/>
  <c r="F90" i="33"/>
  <c r="E90" i="33"/>
  <c r="B87" i="33"/>
  <c r="B86" i="33"/>
  <c r="B85" i="33"/>
  <c r="K76" i="33"/>
  <c r="H22" i="41" s="1"/>
  <c r="J76" i="33"/>
  <c r="H21" i="41" s="1"/>
  <c r="D76" i="33"/>
  <c r="B70" i="33"/>
  <c r="D78" i="33" s="1"/>
  <c r="B69" i="33"/>
  <c r="D77" i="33" s="1"/>
  <c r="D59" i="33"/>
  <c r="B51" i="33"/>
  <c r="K49" i="33"/>
  <c r="H23" i="40" s="1"/>
  <c r="D49" i="33"/>
  <c r="B46" i="33"/>
  <c r="D50" i="33" s="1"/>
  <c r="D38" i="33"/>
  <c r="J20" i="33"/>
  <c r="R19" i="33"/>
  <c r="Q19" i="33"/>
  <c r="G24" i="49" s="1"/>
  <c r="P19" i="33"/>
  <c r="N19" i="33"/>
  <c r="L19" i="33"/>
  <c r="B1" i="38"/>
  <c r="D12" i="4" s="1"/>
  <c r="BA98" i="37"/>
  <c r="AV98" i="37"/>
  <c r="R10" i="51" s="1"/>
  <c r="AQ98" i="37"/>
  <c r="Q10" i="51" s="1"/>
  <c r="AL98" i="37"/>
  <c r="AG98" i="37"/>
  <c r="AB98" i="37"/>
  <c r="BA97" i="37"/>
  <c r="AV97" i="37"/>
  <c r="R9" i="51" s="1"/>
  <c r="AQ97" i="37"/>
  <c r="AL97" i="37"/>
  <c r="AG97" i="37"/>
  <c r="AB97" i="37"/>
  <c r="BA96" i="37"/>
  <c r="AV96" i="37"/>
  <c r="R8" i="51" s="1"/>
  <c r="AQ96" i="37"/>
  <c r="Q8" i="51" s="1"/>
  <c r="AL96" i="37"/>
  <c r="AG96" i="37"/>
  <c r="AB96" i="37"/>
  <c r="BA95" i="37"/>
  <c r="S7" i="51" s="1"/>
  <c r="AV95" i="37"/>
  <c r="R7" i="51" s="1"/>
  <c r="AQ95" i="37"/>
  <c r="AL95" i="37"/>
  <c r="AG95" i="37"/>
  <c r="AB95" i="37"/>
  <c r="BA94" i="37"/>
  <c r="AV94" i="37"/>
  <c r="R6" i="51" s="1"/>
  <c r="AQ94" i="37"/>
  <c r="Q6" i="51" s="1"/>
  <c r="AL94" i="37"/>
  <c r="AG94" i="37"/>
  <c r="AB94" i="37"/>
  <c r="BA93" i="37"/>
  <c r="AV93" i="37"/>
  <c r="R5" i="51" s="1"/>
  <c r="AQ93" i="37"/>
  <c r="AL93" i="37"/>
  <c r="AG93" i="37"/>
  <c r="AB93" i="37"/>
  <c r="BA92" i="37"/>
  <c r="S4" i="51" s="1"/>
  <c r="AV92" i="37"/>
  <c r="R4" i="51" s="1"/>
  <c r="AQ92" i="37"/>
  <c r="AL92" i="37"/>
  <c r="AG92" i="37"/>
  <c r="AB92" i="37"/>
  <c r="BA91" i="37"/>
  <c r="AV91" i="37"/>
  <c r="R3" i="51" s="1"/>
  <c r="AQ91" i="37"/>
  <c r="AL91" i="37"/>
  <c r="AG91" i="37"/>
  <c r="AB91" i="37"/>
  <c r="L65" i="37"/>
  <c r="K65" i="37"/>
  <c r="I65" i="37"/>
  <c r="H65" i="37"/>
  <c r="F65" i="37"/>
  <c r="E65" i="37"/>
  <c r="C65" i="37"/>
  <c r="B65" i="37"/>
  <c r="L64" i="37"/>
  <c r="K64" i="37"/>
  <c r="I64" i="37"/>
  <c r="H64" i="37"/>
  <c r="F64" i="37"/>
  <c r="E64" i="37"/>
  <c r="C64" i="37"/>
  <c r="B64" i="37"/>
  <c r="L63" i="37"/>
  <c r="K63" i="37"/>
  <c r="I63" i="37"/>
  <c r="H63" i="37"/>
  <c r="F63" i="37"/>
  <c r="E63" i="37"/>
  <c r="C63" i="37"/>
  <c r="B63" i="37"/>
  <c r="L62" i="37"/>
  <c r="K62" i="37"/>
  <c r="I62" i="37"/>
  <c r="H62" i="37"/>
  <c r="F62" i="37"/>
  <c r="E62" i="37"/>
  <c r="C62" i="37"/>
  <c r="B62" i="37"/>
  <c r="L61" i="37"/>
  <c r="K61" i="37"/>
  <c r="I61" i="37"/>
  <c r="H61" i="37"/>
  <c r="F61" i="37"/>
  <c r="E61" i="37"/>
  <c r="C61" i="37"/>
  <c r="B61" i="37"/>
  <c r="L60" i="37"/>
  <c r="K60" i="37"/>
  <c r="I60" i="37"/>
  <c r="H60" i="37"/>
  <c r="F60" i="37"/>
  <c r="E60" i="37"/>
  <c r="C60" i="37"/>
  <c r="B60" i="37"/>
  <c r="L59" i="37"/>
  <c r="K59" i="37"/>
  <c r="I59" i="37"/>
  <c r="H59" i="37"/>
  <c r="F59" i="37"/>
  <c r="E59" i="37"/>
  <c r="C59" i="37"/>
  <c r="B59" i="37"/>
  <c r="L58" i="37"/>
  <c r="K58" i="37"/>
  <c r="I58" i="37"/>
  <c r="H58" i="37"/>
  <c r="F58" i="37"/>
  <c r="E58" i="37"/>
  <c r="C58" i="37"/>
  <c r="B58" i="37"/>
  <c r="O54" i="37"/>
  <c r="N54" i="37"/>
  <c r="M54" i="37"/>
  <c r="L54" i="37"/>
  <c r="J54" i="37"/>
  <c r="I54" i="37"/>
  <c r="H54" i="37"/>
  <c r="G54" i="37"/>
  <c r="E54" i="37"/>
  <c r="D54" i="37"/>
  <c r="C54" i="37"/>
  <c r="B54" i="37"/>
  <c r="O53" i="37"/>
  <c r="N53" i="37"/>
  <c r="M53" i="37"/>
  <c r="L53" i="37"/>
  <c r="J53" i="37"/>
  <c r="I53" i="37"/>
  <c r="H53" i="37"/>
  <c r="G53" i="37"/>
  <c r="E53" i="37"/>
  <c r="D53" i="37"/>
  <c r="C53" i="37"/>
  <c r="B53" i="37"/>
  <c r="O52" i="37"/>
  <c r="N52" i="37"/>
  <c r="M52" i="37"/>
  <c r="L52" i="37"/>
  <c r="J52" i="37"/>
  <c r="I52" i="37"/>
  <c r="H52" i="37"/>
  <c r="G52" i="37"/>
  <c r="E52" i="37"/>
  <c r="D52" i="37"/>
  <c r="C52" i="37"/>
  <c r="B52" i="37"/>
  <c r="O51" i="37"/>
  <c r="N51" i="37"/>
  <c r="M51" i="37"/>
  <c r="L51" i="37"/>
  <c r="J51" i="37"/>
  <c r="I51" i="37"/>
  <c r="H51" i="37"/>
  <c r="G51" i="37"/>
  <c r="E51" i="37"/>
  <c r="D51" i="37"/>
  <c r="C51" i="37"/>
  <c r="B51" i="37"/>
  <c r="O50" i="37"/>
  <c r="N50" i="37"/>
  <c r="M50" i="37"/>
  <c r="L50" i="37"/>
  <c r="J50" i="37"/>
  <c r="I50" i="37"/>
  <c r="H50" i="37"/>
  <c r="G50" i="37"/>
  <c r="E50" i="37"/>
  <c r="D50" i="37"/>
  <c r="C50" i="37"/>
  <c r="B50" i="37"/>
  <c r="O49" i="37"/>
  <c r="N49" i="37"/>
  <c r="M49" i="37"/>
  <c r="L49" i="37"/>
  <c r="J49" i="37"/>
  <c r="I49" i="37"/>
  <c r="H49" i="37"/>
  <c r="G49" i="37"/>
  <c r="E49" i="37"/>
  <c r="D49" i="37"/>
  <c r="C49" i="37"/>
  <c r="B49" i="37"/>
  <c r="O48" i="37"/>
  <c r="N48" i="37"/>
  <c r="M48" i="37"/>
  <c r="L48" i="37"/>
  <c r="J48" i="37"/>
  <c r="I48" i="37"/>
  <c r="H48" i="37"/>
  <c r="G48" i="37"/>
  <c r="E48" i="37"/>
  <c r="D48" i="37"/>
  <c r="C48" i="37"/>
  <c r="B48" i="37"/>
  <c r="O47" i="37"/>
  <c r="N47" i="37"/>
  <c r="M47" i="37"/>
  <c r="L47" i="37"/>
  <c r="J47" i="37"/>
  <c r="I47" i="37"/>
  <c r="H47" i="37"/>
  <c r="G47" i="37"/>
  <c r="E47" i="37"/>
  <c r="D47" i="37"/>
  <c r="C47" i="37"/>
  <c r="B47" i="37"/>
  <c r="L32" i="37"/>
  <c r="K32" i="37"/>
  <c r="I32" i="37"/>
  <c r="H32" i="37"/>
  <c r="F32" i="37"/>
  <c r="E32" i="37"/>
  <c r="C32" i="37"/>
  <c r="B32" i="37"/>
  <c r="L31" i="37"/>
  <c r="K31" i="37"/>
  <c r="I31" i="37"/>
  <c r="H31" i="37"/>
  <c r="F31" i="37"/>
  <c r="E31" i="37"/>
  <c r="C31" i="37"/>
  <c r="B31" i="37"/>
  <c r="L30" i="37"/>
  <c r="K30" i="37"/>
  <c r="I30" i="37"/>
  <c r="H30" i="37"/>
  <c r="F30" i="37"/>
  <c r="E30" i="37"/>
  <c r="C30" i="37"/>
  <c r="B30" i="37"/>
  <c r="L29" i="37"/>
  <c r="K29" i="37"/>
  <c r="I29" i="37"/>
  <c r="H29" i="37"/>
  <c r="F29" i="37"/>
  <c r="E29" i="37"/>
  <c r="C29" i="37"/>
  <c r="B29" i="37"/>
  <c r="L28" i="37"/>
  <c r="K28" i="37"/>
  <c r="I28" i="37"/>
  <c r="H28" i="37"/>
  <c r="F28" i="37"/>
  <c r="E28" i="37"/>
  <c r="C28" i="37"/>
  <c r="B28" i="37"/>
  <c r="L27" i="37"/>
  <c r="K27" i="37"/>
  <c r="I27" i="37"/>
  <c r="H27" i="37"/>
  <c r="F27" i="37"/>
  <c r="E27" i="37"/>
  <c r="C27" i="37"/>
  <c r="B27" i="37"/>
  <c r="L26" i="37"/>
  <c r="K26" i="37"/>
  <c r="I26" i="37"/>
  <c r="H26" i="37"/>
  <c r="F26" i="37"/>
  <c r="E26" i="37"/>
  <c r="C26" i="37"/>
  <c r="B26" i="37"/>
  <c r="L25" i="37"/>
  <c r="K25" i="37"/>
  <c r="I25" i="37"/>
  <c r="H25" i="37"/>
  <c r="F25" i="37"/>
  <c r="E25" i="37"/>
  <c r="C25" i="37"/>
  <c r="B25" i="37"/>
  <c r="O21" i="37"/>
  <c r="N21" i="37"/>
  <c r="L21" i="37"/>
  <c r="K21" i="37"/>
  <c r="I21" i="37"/>
  <c r="H21" i="37"/>
  <c r="F21" i="37"/>
  <c r="E21" i="37"/>
  <c r="C21" i="37"/>
  <c r="B21" i="37"/>
  <c r="O20" i="37"/>
  <c r="N20" i="37"/>
  <c r="L20" i="37"/>
  <c r="K20" i="37"/>
  <c r="I20" i="37"/>
  <c r="H20" i="37"/>
  <c r="F20" i="37"/>
  <c r="E20" i="37"/>
  <c r="C20" i="37"/>
  <c r="B20" i="37"/>
  <c r="O19" i="37"/>
  <c r="N19" i="37"/>
  <c r="L19" i="37"/>
  <c r="K19" i="37"/>
  <c r="I19" i="37"/>
  <c r="H19" i="37"/>
  <c r="F19" i="37"/>
  <c r="E19" i="37"/>
  <c r="C19" i="37"/>
  <c r="B19" i="37"/>
  <c r="O18" i="37"/>
  <c r="N18" i="37"/>
  <c r="L18" i="37"/>
  <c r="K18" i="37"/>
  <c r="I18" i="37"/>
  <c r="H18" i="37"/>
  <c r="F18" i="37"/>
  <c r="E18" i="37"/>
  <c r="C18" i="37"/>
  <c r="B18" i="37"/>
  <c r="O17" i="37"/>
  <c r="N17" i="37"/>
  <c r="L17" i="37"/>
  <c r="K17" i="37"/>
  <c r="I17" i="37"/>
  <c r="H17" i="37"/>
  <c r="F17" i="37"/>
  <c r="E17" i="37"/>
  <c r="C17" i="37"/>
  <c r="B17" i="37"/>
  <c r="O16" i="37"/>
  <c r="N16" i="37"/>
  <c r="L16" i="37"/>
  <c r="K16" i="37"/>
  <c r="I16" i="37"/>
  <c r="H16" i="37"/>
  <c r="F16" i="37"/>
  <c r="E16" i="37"/>
  <c r="C16" i="37"/>
  <c r="B16" i="37"/>
  <c r="O15" i="37"/>
  <c r="N15" i="37"/>
  <c r="L15" i="37"/>
  <c r="K15" i="37"/>
  <c r="I15" i="37"/>
  <c r="H15" i="37"/>
  <c r="F15" i="37"/>
  <c r="E15" i="37"/>
  <c r="C15" i="37"/>
  <c r="B15" i="37"/>
  <c r="O14" i="37"/>
  <c r="N14" i="37"/>
  <c r="L14" i="37"/>
  <c r="K14" i="37"/>
  <c r="I14" i="37"/>
  <c r="H14" i="37"/>
  <c r="F14" i="37"/>
  <c r="E14" i="37"/>
  <c r="C14" i="37"/>
  <c r="B14" i="37"/>
  <c r="L10" i="37"/>
  <c r="K10" i="37"/>
  <c r="I10" i="37"/>
  <c r="H10" i="37"/>
  <c r="F10" i="37"/>
  <c r="E10" i="37"/>
  <c r="C10" i="37"/>
  <c r="B10" i="37"/>
  <c r="L9" i="37"/>
  <c r="K9" i="37"/>
  <c r="I9" i="37"/>
  <c r="H9" i="37"/>
  <c r="F9" i="37"/>
  <c r="E9" i="37"/>
  <c r="C9" i="37"/>
  <c r="B9" i="37"/>
  <c r="L8" i="37"/>
  <c r="K8" i="37"/>
  <c r="I8" i="37"/>
  <c r="H8" i="37"/>
  <c r="F8" i="37"/>
  <c r="E8" i="37"/>
  <c r="C8" i="37"/>
  <c r="B8" i="37"/>
  <c r="L7" i="37"/>
  <c r="K7" i="37"/>
  <c r="I7" i="37"/>
  <c r="H7" i="37"/>
  <c r="F7" i="37"/>
  <c r="E7" i="37"/>
  <c r="C7" i="37"/>
  <c r="B7" i="37"/>
  <c r="L6" i="37"/>
  <c r="K6" i="37"/>
  <c r="I6" i="37"/>
  <c r="H6" i="37"/>
  <c r="F6" i="37"/>
  <c r="E6" i="37"/>
  <c r="C6" i="37"/>
  <c r="B6" i="37"/>
  <c r="L5" i="37"/>
  <c r="K5" i="37"/>
  <c r="I5" i="37"/>
  <c r="H5" i="37"/>
  <c r="F5" i="37"/>
  <c r="E5" i="37"/>
  <c r="C5" i="37"/>
  <c r="B5" i="37"/>
  <c r="L4" i="37"/>
  <c r="K4" i="37"/>
  <c r="I4" i="37"/>
  <c r="H4" i="37"/>
  <c r="F4" i="37"/>
  <c r="E4" i="37"/>
  <c r="C4" i="37"/>
  <c r="B4" i="37"/>
  <c r="L3" i="37"/>
  <c r="K3" i="37"/>
  <c r="I3" i="37"/>
  <c r="H3" i="37"/>
  <c r="F3" i="37"/>
  <c r="E3" i="37"/>
  <c r="C3" i="37"/>
  <c r="B3" i="37"/>
  <c r="A7" i="34"/>
  <c r="A8" i="34" s="1"/>
  <c r="A8" i="47"/>
  <c r="A9" i="47" s="1"/>
  <c r="A8" i="43"/>
  <c r="A9" i="43" s="1"/>
  <c r="A8" i="41"/>
  <c r="A9" i="41" s="1"/>
  <c r="A8" i="46"/>
  <c r="A9" i="46" s="1"/>
  <c r="A8" i="40"/>
  <c r="A9" i="40" s="1"/>
  <c r="A8" i="29"/>
  <c r="A9" i="29" s="1"/>
  <c r="A8" i="23"/>
  <c r="A9" i="23" s="1"/>
  <c r="A7" i="22"/>
  <c r="A8" i="22" s="1"/>
  <c r="A8" i="21"/>
  <c r="A9" i="21" s="1"/>
  <c r="A8" i="12"/>
  <c r="A9" i="12" s="1"/>
  <c r="A8" i="20"/>
  <c r="A9" i="20" s="1"/>
  <c r="A25" i="42" l="1"/>
  <c r="F40" i="38"/>
  <c r="F42" i="38"/>
  <c r="H15" i="22" s="1"/>
  <c r="BL91" i="37"/>
  <c r="Q3" i="51"/>
  <c r="BL93" i="37"/>
  <c r="Q5" i="51"/>
  <c r="BM94" i="37"/>
  <c r="S6" i="51"/>
  <c r="T6" i="51" s="1"/>
  <c r="BL95" i="37"/>
  <c r="BN95" i="37" s="1"/>
  <c r="Q7" i="51"/>
  <c r="T7" i="51" s="1"/>
  <c r="BM96" i="37"/>
  <c r="S8" i="51"/>
  <c r="T8" i="51" s="1"/>
  <c r="BL97" i="37"/>
  <c r="Q9" i="51"/>
  <c r="BM98" i="37"/>
  <c r="S10" i="51"/>
  <c r="T10" i="51" s="1"/>
  <c r="BM91" i="37"/>
  <c r="S3" i="51"/>
  <c r="BL92" i="37"/>
  <c r="BN92" i="37" s="1"/>
  <c r="Q4" i="51"/>
  <c r="T4" i="51" s="1"/>
  <c r="BM93" i="37"/>
  <c r="BN93" i="37" s="1"/>
  <c r="S5" i="51"/>
  <c r="BM97" i="37"/>
  <c r="S9" i="51"/>
  <c r="BF92" i="37"/>
  <c r="BE92" i="37"/>
  <c r="BF94" i="37"/>
  <c r="BE94" i="37"/>
  <c r="BF96" i="37"/>
  <c r="BE96" i="37"/>
  <c r="BF98" i="37"/>
  <c r="BE98" i="37"/>
  <c r="BF91" i="37"/>
  <c r="BE91" i="37"/>
  <c r="BF93" i="37"/>
  <c r="BE93" i="37"/>
  <c r="BE95" i="37"/>
  <c r="BF95" i="37"/>
  <c r="BF97" i="37"/>
  <c r="BE97" i="37"/>
  <c r="BL94" i="37"/>
  <c r="BL96" i="37"/>
  <c r="BL98" i="37"/>
  <c r="N93" i="33"/>
  <c r="H21" i="47" s="1"/>
  <c r="M93" i="33"/>
  <c r="H20" i="47" s="1"/>
  <c r="L93" i="33"/>
  <c r="H18" i="47" s="1"/>
  <c r="P93" i="33"/>
  <c r="H23" i="47" s="1"/>
  <c r="O93" i="33"/>
  <c r="H22" i="47" s="1"/>
  <c r="Q93" i="33"/>
  <c r="H24" i="47" s="1"/>
  <c r="F72" i="38"/>
  <c r="I63" i="33" s="1"/>
  <c r="K30" i="38"/>
  <c r="B21" i="49" s="1"/>
  <c r="J40" i="33"/>
  <c r="K50" i="33" s="1"/>
  <c r="H21" i="40" s="1"/>
  <c r="B13" i="38"/>
  <c r="G14" i="33" s="1"/>
  <c r="B15" i="38"/>
  <c r="G16" i="33" s="1"/>
  <c r="B5" i="38"/>
  <c r="G3" i="33" s="1"/>
  <c r="B7" i="38"/>
  <c r="G5" i="33" s="1"/>
  <c r="B34" i="38"/>
  <c r="B36" i="38"/>
  <c r="B46" i="38"/>
  <c r="E34" i="33" s="1"/>
  <c r="B47" i="38"/>
  <c r="E35" i="33" s="1"/>
  <c r="B48" i="38"/>
  <c r="E36" i="33" s="1"/>
  <c r="B52" i="38"/>
  <c r="B54" i="38"/>
  <c r="K130" i="38"/>
  <c r="B25" i="34" s="1"/>
  <c r="G130" i="38"/>
  <c r="F20" i="34" s="1"/>
  <c r="C130" i="38"/>
  <c r="B15" i="34" s="1"/>
  <c r="B130" i="38"/>
  <c r="B10" i="34" s="1"/>
  <c r="M130" i="38"/>
  <c r="J20" i="34" s="1"/>
  <c r="I130" i="38"/>
  <c r="J15" i="34" s="1"/>
  <c r="E130" i="38"/>
  <c r="F10" i="34" s="1"/>
  <c r="J130" i="38"/>
  <c r="J25" i="34" s="1"/>
  <c r="F130" i="38"/>
  <c r="F15" i="34" s="1"/>
  <c r="L130" i="38"/>
  <c r="F25" i="34" s="1"/>
  <c r="H130" i="38"/>
  <c r="J10" i="34" s="1"/>
  <c r="D130" i="38"/>
  <c r="B20" i="34" s="1"/>
  <c r="K28" i="38"/>
  <c r="B11" i="49" s="1"/>
  <c r="J30" i="38"/>
  <c r="F30" i="38"/>
  <c r="J29" i="38"/>
  <c r="F29" i="38"/>
  <c r="J28" i="38"/>
  <c r="F28" i="38"/>
  <c r="G23" i="38"/>
  <c r="M27" i="33" s="1"/>
  <c r="H30" i="38"/>
  <c r="C29" i="38"/>
  <c r="C28" i="38"/>
  <c r="G30" i="38"/>
  <c r="B29" i="38"/>
  <c r="G28" i="38"/>
  <c r="I30" i="38"/>
  <c r="D30" i="38"/>
  <c r="I29" i="38"/>
  <c r="D29" i="38"/>
  <c r="I28" i="38"/>
  <c r="D28" i="38"/>
  <c r="C30" i="38"/>
  <c r="H29" i="38"/>
  <c r="H28" i="38"/>
  <c r="B30" i="38"/>
  <c r="G29" i="38"/>
  <c r="B28" i="38"/>
  <c r="G105" i="38"/>
  <c r="J100" i="33" s="1"/>
  <c r="G21" i="38"/>
  <c r="M25" i="33" s="1"/>
  <c r="G20" i="38"/>
  <c r="M24" i="33" s="1"/>
  <c r="F21" i="38"/>
  <c r="J25" i="33" s="1"/>
  <c r="E22" i="38"/>
  <c r="D26" i="33" s="1"/>
  <c r="A22" i="38"/>
  <c r="B26" i="33" s="1"/>
  <c r="C23" i="38"/>
  <c r="H27" i="33" s="1"/>
  <c r="B22" i="38"/>
  <c r="G26" i="33" s="1"/>
  <c r="G22" i="38"/>
  <c r="M26" i="33" s="1"/>
  <c r="F24" i="38"/>
  <c r="J28" i="33" s="1"/>
  <c r="F20" i="38"/>
  <c r="J24" i="33" s="1"/>
  <c r="E21" i="38"/>
  <c r="D25" i="33" s="1"/>
  <c r="A21" i="38"/>
  <c r="B25" i="33" s="1"/>
  <c r="C24" i="38"/>
  <c r="H28" i="33" s="1"/>
  <c r="B23" i="38"/>
  <c r="G27" i="33" s="1"/>
  <c r="C20" i="38"/>
  <c r="H24" i="33" s="1"/>
  <c r="F23" i="38"/>
  <c r="J27" i="33" s="1"/>
  <c r="E24" i="38"/>
  <c r="D28" i="33" s="1"/>
  <c r="A24" i="38"/>
  <c r="B28" i="33" s="1"/>
  <c r="A20" i="38"/>
  <c r="B24" i="33" s="1"/>
  <c r="B24" i="38"/>
  <c r="G28" i="33" s="1"/>
  <c r="C21" i="38"/>
  <c r="H25" i="33" s="1"/>
  <c r="B20" i="38"/>
  <c r="G24" i="33" s="1"/>
  <c r="G24" i="38"/>
  <c r="M28" i="33" s="1"/>
  <c r="F22" i="38"/>
  <c r="J26" i="33" s="1"/>
  <c r="E23" i="38"/>
  <c r="D27" i="33" s="1"/>
  <c r="A23" i="38"/>
  <c r="B27" i="33" s="1"/>
  <c r="E20" i="38"/>
  <c r="D24" i="33" s="1"/>
  <c r="C22" i="38"/>
  <c r="H26" i="33" s="1"/>
  <c r="B21" i="38"/>
  <c r="G25" i="33" s="1"/>
  <c r="G16" i="38"/>
  <c r="O17" i="33" s="1"/>
  <c r="O19" i="33" s="1"/>
  <c r="G24" i="12"/>
  <c r="G23" i="12"/>
  <c r="G16" i="12"/>
  <c r="A26" i="12"/>
  <c r="G21" i="12"/>
  <c r="B6" i="38"/>
  <c r="G4" i="33" s="1"/>
  <c r="B8" i="38"/>
  <c r="G6" i="33" s="1"/>
  <c r="B12" i="38"/>
  <c r="G13" i="33" s="1"/>
  <c r="B14" i="38"/>
  <c r="G15" i="33" s="1"/>
  <c r="B16" i="38"/>
  <c r="G17" i="33" s="1"/>
  <c r="B35" i="38"/>
  <c r="B37" i="38"/>
  <c r="D46" i="38"/>
  <c r="G34" i="33" s="1"/>
  <c r="G38" i="33" s="1"/>
  <c r="D47" i="38"/>
  <c r="G35" i="33" s="1"/>
  <c r="D48" i="38"/>
  <c r="G36" i="33" s="1"/>
  <c r="B53" i="38"/>
  <c r="A7" i="38"/>
  <c r="B5" i="33" s="1"/>
  <c r="F14" i="38"/>
  <c r="J15" i="33" s="1"/>
  <c r="G48" i="38"/>
  <c r="J36" i="33" s="1"/>
  <c r="C6" i="38"/>
  <c r="H4" i="33" s="1"/>
  <c r="C8" i="38"/>
  <c r="H6" i="33" s="1"/>
  <c r="C12" i="38"/>
  <c r="H13" i="33" s="1"/>
  <c r="C14" i="38"/>
  <c r="H15" i="33" s="1"/>
  <c r="C16" i="38"/>
  <c r="H17" i="33" s="1"/>
  <c r="C35" i="38"/>
  <c r="C37" i="38"/>
  <c r="E46" i="38"/>
  <c r="H34" i="33" s="1"/>
  <c r="E47" i="38"/>
  <c r="H35" i="33" s="1"/>
  <c r="E48" i="38"/>
  <c r="H36" i="33" s="1"/>
  <c r="C53" i="38"/>
  <c r="C55" i="38"/>
  <c r="F98" i="38"/>
  <c r="I88" i="33" s="1"/>
  <c r="E8" i="38"/>
  <c r="D6" i="33" s="1"/>
  <c r="F15" i="38"/>
  <c r="J16" i="33" s="1"/>
  <c r="H64" i="38"/>
  <c r="J55" i="33" s="1"/>
  <c r="F12" i="38"/>
  <c r="J13" i="33" s="1"/>
  <c r="F16" i="38"/>
  <c r="J17" i="33" s="1"/>
  <c r="G85" i="38"/>
  <c r="B16" i="43" s="1"/>
  <c r="C5" i="38"/>
  <c r="H3" i="33" s="1"/>
  <c r="C7" i="38"/>
  <c r="H5" i="33" s="1"/>
  <c r="C13" i="38"/>
  <c r="H14" i="33" s="1"/>
  <c r="C15" i="38"/>
  <c r="H16" i="33" s="1"/>
  <c r="C34" i="38"/>
  <c r="C36" i="38"/>
  <c r="C46" i="38"/>
  <c r="F34" i="33" s="1"/>
  <c r="C47" i="38"/>
  <c r="F35" i="33" s="1"/>
  <c r="C48" i="38"/>
  <c r="F36" i="33" s="1"/>
  <c r="C52" i="38"/>
  <c r="C54" i="38"/>
  <c r="F5" i="38"/>
  <c r="J3" i="33" s="1"/>
  <c r="F13" i="38"/>
  <c r="J14" i="33" s="1"/>
  <c r="F41" i="38"/>
  <c r="H9" i="22" s="1"/>
  <c r="G106" i="38"/>
  <c r="J101" i="33" s="1"/>
  <c r="B55" i="38"/>
  <c r="F92" i="38"/>
  <c r="I82" i="33" s="1"/>
  <c r="E5" i="38"/>
  <c r="D3" i="33" s="1"/>
  <c r="F6" i="38"/>
  <c r="J4" i="33" s="1"/>
  <c r="A8" i="38"/>
  <c r="B6" i="33" s="1"/>
  <c r="E12" i="38"/>
  <c r="D13" i="33" s="1"/>
  <c r="E13" i="38"/>
  <c r="D14" i="33" s="1"/>
  <c r="E14" i="38"/>
  <c r="D15" i="33" s="1"/>
  <c r="E15" i="38"/>
  <c r="D16" i="33" s="1"/>
  <c r="E16" i="38"/>
  <c r="D17" i="33" s="1"/>
  <c r="F36" i="38"/>
  <c r="B24" i="21" s="1"/>
  <c r="G47" i="38"/>
  <c r="J35" i="33" s="1"/>
  <c r="H62" i="38"/>
  <c r="L45" i="33" s="1"/>
  <c r="G92" i="38"/>
  <c r="J82" i="33" s="1"/>
  <c r="G86" i="38"/>
  <c r="B23" i="43" s="1"/>
  <c r="G96" i="38"/>
  <c r="J86" i="33" s="1"/>
  <c r="A6" i="38"/>
  <c r="B4" i="33" s="1"/>
  <c r="E7" i="38"/>
  <c r="D5" i="33" s="1"/>
  <c r="F8" i="38"/>
  <c r="J6" i="33" s="1"/>
  <c r="G12" i="38"/>
  <c r="M13" i="33" s="1"/>
  <c r="G13" i="38"/>
  <c r="M14" i="33" s="1"/>
  <c r="G14" i="38"/>
  <c r="M15" i="33" s="1"/>
  <c r="G15" i="38"/>
  <c r="M16" i="33" s="1"/>
  <c r="E55" i="38"/>
  <c r="F22" i="29" s="1"/>
  <c r="H65" i="38"/>
  <c r="J56" i="33" s="1"/>
  <c r="G102" i="38"/>
  <c r="J97" i="33" s="1"/>
  <c r="A5" i="38"/>
  <c r="B3" i="33" s="1"/>
  <c r="E6" i="38"/>
  <c r="D4" i="33" s="1"/>
  <c r="F7" i="38"/>
  <c r="J5" i="33" s="1"/>
  <c r="A12" i="38"/>
  <c r="B13" i="33" s="1"/>
  <c r="A13" i="38"/>
  <c r="B14" i="33" s="1"/>
  <c r="A14" i="38"/>
  <c r="B15" i="33" s="1"/>
  <c r="A15" i="38"/>
  <c r="B16" i="33" s="1"/>
  <c r="A16" i="38"/>
  <c r="B17" i="33" s="1"/>
  <c r="F34" i="38"/>
  <c r="B22" i="21" s="1"/>
  <c r="G46" i="38"/>
  <c r="J34" i="33" s="1"/>
  <c r="J38" i="33" s="1"/>
  <c r="B12" i="23" s="1"/>
  <c r="H66" i="38"/>
  <c r="J57" i="33" s="1"/>
  <c r="G103" i="38"/>
  <c r="J98" i="33" s="1"/>
  <c r="K93" i="33"/>
  <c r="H15" i="47" s="1"/>
  <c r="B69" i="37"/>
  <c r="C69" i="37"/>
  <c r="D69" i="37"/>
  <c r="E69" i="37"/>
  <c r="F69" i="37"/>
  <c r="G69" i="37"/>
  <c r="H69" i="37"/>
  <c r="I69" i="37"/>
  <c r="J69" i="37"/>
  <c r="K69" i="37"/>
  <c r="L69" i="37"/>
  <c r="M69" i="37"/>
  <c r="N69" i="37"/>
  <c r="O69" i="37"/>
  <c r="P69" i="37"/>
  <c r="Q69" i="37"/>
  <c r="R69" i="37"/>
  <c r="S69" i="37"/>
  <c r="T69" i="37"/>
  <c r="U69" i="37"/>
  <c r="V69" i="37"/>
  <c r="W69" i="37"/>
  <c r="X69" i="37"/>
  <c r="Y69" i="37"/>
  <c r="Z69" i="37"/>
  <c r="AA69" i="37"/>
  <c r="AB69" i="37"/>
  <c r="AC69" i="37"/>
  <c r="AD69" i="37"/>
  <c r="AE69" i="37"/>
  <c r="AF69" i="37"/>
  <c r="AG69" i="37"/>
  <c r="AH69" i="37"/>
  <c r="AI69" i="37"/>
  <c r="AJ69" i="37"/>
  <c r="B70" i="37"/>
  <c r="C70" i="37"/>
  <c r="D70" i="37"/>
  <c r="E70" i="37"/>
  <c r="F70" i="37"/>
  <c r="G70" i="37"/>
  <c r="H70" i="37"/>
  <c r="I70" i="37"/>
  <c r="J70" i="37"/>
  <c r="K70" i="37"/>
  <c r="L70" i="37"/>
  <c r="M70" i="37"/>
  <c r="N70" i="37"/>
  <c r="O70" i="37"/>
  <c r="P70" i="37"/>
  <c r="Q70" i="37"/>
  <c r="R70" i="37"/>
  <c r="S70" i="37"/>
  <c r="T70" i="37"/>
  <c r="U70" i="37"/>
  <c r="V70" i="37"/>
  <c r="W70" i="37"/>
  <c r="X70" i="37"/>
  <c r="Y70" i="37"/>
  <c r="Z70" i="37"/>
  <c r="AA70" i="37"/>
  <c r="AB70" i="37"/>
  <c r="AC70" i="37"/>
  <c r="AD70" i="37"/>
  <c r="AE70" i="37"/>
  <c r="AF70" i="37"/>
  <c r="AG70" i="37"/>
  <c r="AH70" i="37"/>
  <c r="AI70" i="37"/>
  <c r="AJ70" i="37"/>
  <c r="B71" i="37"/>
  <c r="C71" i="37"/>
  <c r="D71" i="37"/>
  <c r="E71" i="37"/>
  <c r="F71" i="37"/>
  <c r="G71" i="37"/>
  <c r="H71" i="37"/>
  <c r="I71" i="37"/>
  <c r="J71" i="37"/>
  <c r="K71" i="37"/>
  <c r="L71" i="37"/>
  <c r="M71" i="37"/>
  <c r="N71" i="37"/>
  <c r="O71" i="37"/>
  <c r="P71" i="37"/>
  <c r="Q71" i="37"/>
  <c r="R71" i="37"/>
  <c r="S71" i="37"/>
  <c r="T71" i="37"/>
  <c r="U71" i="37"/>
  <c r="V71" i="37"/>
  <c r="W71" i="37"/>
  <c r="X71" i="37"/>
  <c r="Y71" i="37"/>
  <c r="Z71" i="37"/>
  <c r="AA71" i="37"/>
  <c r="AB71" i="37"/>
  <c r="AC71" i="37"/>
  <c r="AD71" i="37"/>
  <c r="AE71" i="37"/>
  <c r="AF71" i="37"/>
  <c r="AG71" i="37"/>
  <c r="AH71" i="37"/>
  <c r="AI71" i="37"/>
  <c r="AJ71" i="37"/>
  <c r="H59" i="38" s="1"/>
  <c r="L42" i="33" s="1"/>
  <c r="B72" i="37"/>
  <c r="C72" i="37"/>
  <c r="D72" i="37"/>
  <c r="E72" i="37"/>
  <c r="F72" i="37"/>
  <c r="G72" i="37"/>
  <c r="H72" i="37"/>
  <c r="I72" i="37"/>
  <c r="J72" i="37"/>
  <c r="K72" i="37"/>
  <c r="L72" i="37"/>
  <c r="M72" i="37"/>
  <c r="N72" i="37"/>
  <c r="O72" i="37"/>
  <c r="P72" i="37"/>
  <c r="Q72" i="37"/>
  <c r="R72" i="37"/>
  <c r="S72" i="37"/>
  <c r="T72" i="37"/>
  <c r="U72" i="37"/>
  <c r="V72" i="37"/>
  <c r="W72" i="37"/>
  <c r="X72" i="37"/>
  <c r="Y72" i="37"/>
  <c r="Z72" i="37"/>
  <c r="AA72" i="37"/>
  <c r="AB72" i="37"/>
  <c r="AC72" i="37"/>
  <c r="AD72" i="37"/>
  <c r="AE72" i="37"/>
  <c r="AF72" i="37"/>
  <c r="AG72" i="37"/>
  <c r="AH72" i="37"/>
  <c r="AI72" i="37"/>
  <c r="AJ72" i="37"/>
  <c r="B73" i="37"/>
  <c r="C73" i="37"/>
  <c r="D73" i="37"/>
  <c r="E73" i="37"/>
  <c r="F73" i="37"/>
  <c r="G73" i="37"/>
  <c r="H73" i="37"/>
  <c r="I73" i="37"/>
  <c r="J73" i="37"/>
  <c r="K73" i="37"/>
  <c r="L73" i="37"/>
  <c r="M73" i="37"/>
  <c r="N73" i="37"/>
  <c r="O73" i="37"/>
  <c r="P73" i="37"/>
  <c r="Q73" i="37"/>
  <c r="R73" i="37"/>
  <c r="S73" i="37"/>
  <c r="T73" i="37"/>
  <c r="U73" i="37"/>
  <c r="V73" i="37"/>
  <c r="W73" i="37"/>
  <c r="X73" i="37"/>
  <c r="Y73" i="37"/>
  <c r="Z73" i="37"/>
  <c r="AA73" i="37"/>
  <c r="AB73" i="37"/>
  <c r="AC73" i="37"/>
  <c r="AD73" i="37"/>
  <c r="AE73" i="37"/>
  <c r="AF73" i="37"/>
  <c r="AG73" i="37"/>
  <c r="AH73" i="37"/>
  <c r="AI73" i="37"/>
  <c r="AJ73" i="37"/>
  <c r="B74" i="37"/>
  <c r="C74" i="37"/>
  <c r="D74" i="37"/>
  <c r="E74" i="37"/>
  <c r="F74" i="37"/>
  <c r="G74" i="37"/>
  <c r="H74" i="37"/>
  <c r="I74" i="37"/>
  <c r="J74" i="37"/>
  <c r="K74" i="37"/>
  <c r="L74" i="37"/>
  <c r="M74" i="37"/>
  <c r="N74" i="37"/>
  <c r="O74" i="37"/>
  <c r="P74" i="37"/>
  <c r="Q74" i="37"/>
  <c r="R74" i="37"/>
  <c r="S74" i="37"/>
  <c r="T74" i="37"/>
  <c r="U74" i="37"/>
  <c r="V74" i="37"/>
  <c r="W74" i="37"/>
  <c r="X74" i="37"/>
  <c r="Y74" i="37"/>
  <c r="Z74" i="37"/>
  <c r="AA74" i="37"/>
  <c r="AB74" i="37"/>
  <c r="AC74" i="37"/>
  <c r="AD74" i="37"/>
  <c r="AE74" i="37"/>
  <c r="AF74" i="37"/>
  <c r="AG74" i="37"/>
  <c r="AH74" i="37"/>
  <c r="AI74" i="37"/>
  <c r="AJ74" i="37"/>
  <c r="B75" i="37"/>
  <c r="C75" i="37"/>
  <c r="D75" i="37"/>
  <c r="E75" i="37"/>
  <c r="F75" i="37"/>
  <c r="G75" i="37"/>
  <c r="H75" i="37"/>
  <c r="I75" i="37"/>
  <c r="J75" i="37"/>
  <c r="K75" i="37"/>
  <c r="L75" i="37"/>
  <c r="M75" i="37"/>
  <c r="N75" i="37"/>
  <c r="O75" i="37"/>
  <c r="P75" i="37"/>
  <c r="Q75" i="37"/>
  <c r="R75" i="37"/>
  <c r="S75" i="37"/>
  <c r="T75" i="37"/>
  <c r="U75" i="37"/>
  <c r="V75" i="37"/>
  <c r="W75" i="37"/>
  <c r="X75" i="37"/>
  <c r="Y75" i="37"/>
  <c r="Z75" i="37"/>
  <c r="AA75" i="37"/>
  <c r="AB75" i="37"/>
  <c r="AC75" i="37"/>
  <c r="AD75" i="37"/>
  <c r="AE75" i="37"/>
  <c r="AF75" i="37"/>
  <c r="AG75" i="37"/>
  <c r="AH75" i="37"/>
  <c r="AI75" i="37"/>
  <c r="AJ75" i="37"/>
  <c r="B76" i="37"/>
  <c r="C76" i="37"/>
  <c r="D76" i="37"/>
  <c r="E76" i="37"/>
  <c r="F76" i="37"/>
  <c r="G76" i="37"/>
  <c r="H76" i="37"/>
  <c r="I76" i="37"/>
  <c r="J76" i="37"/>
  <c r="K76" i="37"/>
  <c r="L76" i="37"/>
  <c r="M76" i="37"/>
  <c r="N76" i="37"/>
  <c r="O76" i="37"/>
  <c r="P76" i="37"/>
  <c r="Q76" i="37"/>
  <c r="R76" i="37"/>
  <c r="S76" i="37"/>
  <c r="T76" i="37"/>
  <c r="U76" i="37"/>
  <c r="V76" i="37"/>
  <c r="W76" i="37"/>
  <c r="X76" i="37"/>
  <c r="Y76" i="37"/>
  <c r="Z76" i="37"/>
  <c r="AA76" i="37"/>
  <c r="AB76" i="37"/>
  <c r="AC76" i="37"/>
  <c r="AD76" i="37"/>
  <c r="AE76" i="37"/>
  <c r="AF76" i="37"/>
  <c r="AG76" i="37"/>
  <c r="AH76" i="37"/>
  <c r="AI76" i="37"/>
  <c r="AJ76" i="37"/>
  <c r="F66" i="38" s="1"/>
  <c r="I56" i="33" s="1"/>
  <c r="K80" i="37"/>
  <c r="L80" i="37"/>
  <c r="M80" i="37"/>
  <c r="N80" i="37"/>
  <c r="O80" i="37"/>
  <c r="P80" i="37"/>
  <c r="Q80" i="37"/>
  <c r="R80" i="37"/>
  <c r="S80" i="37"/>
  <c r="T80" i="37"/>
  <c r="U80" i="37"/>
  <c r="V80" i="37"/>
  <c r="W80" i="37"/>
  <c r="X80" i="37"/>
  <c r="Y80" i="37"/>
  <c r="Z80" i="37"/>
  <c r="AA80" i="37"/>
  <c r="AB80" i="37"/>
  <c r="AC80" i="37"/>
  <c r="AD80" i="37"/>
  <c r="AE80" i="37"/>
  <c r="K81" i="37"/>
  <c r="L81" i="37"/>
  <c r="M81" i="37"/>
  <c r="N81" i="37"/>
  <c r="O81" i="37"/>
  <c r="P81" i="37"/>
  <c r="Q81" i="37"/>
  <c r="R81" i="37"/>
  <c r="S81" i="37"/>
  <c r="T81" i="37"/>
  <c r="U81" i="37"/>
  <c r="V81" i="37"/>
  <c r="W81" i="37"/>
  <c r="X81" i="37"/>
  <c r="Y81" i="37"/>
  <c r="Z81" i="37"/>
  <c r="AA81" i="37"/>
  <c r="AB81" i="37"/>
  <c r="AC81" i="37"/>
  <c r="AD81" i="37"/>
  <c r="AE81" i="37"/>
  <c r="K82" i="37"/>
  <c r="L82" i="37"/>
  <c r="M82" i="37"/>
  <c r="N82" i="37"/>
  <c r="O82" i="37"/>
  <c r="P82" i="37"/>
  <c r="Q82" i="37"/>
  <c r="R82" i="37"/>
  <c r="S82" i="37"/>
  <c r="T82" i="37"/>
  <c r="U82" i="37"/>
  <c r="V82" i="37"/>
  <c r="W82" i="37"/>
  <c r="X82" i="37"/>
  <c r="Y82" i="37"/>
  <c r="Z82" i="37"/>
  <c r="AA82" i="37"/>
  <c r="AB82" i="37"/>
  <c r="AC82" i="37"/>
  <c r="AD82" i="37"/>
  <c r="AE82" i="37"/>
  <c r="K83" i="37"/>
  <c r="L83" i="37"/>
  <c r="M83" i="37"/>
  <c r="N83" i="37"/>
  <c r="O83" i="37"/>
  <c r="P83" i="37"/>
  <c r="Q83" i="37"/>
  <c r="R83" i="37"/>
  <c r="S83" i="37"/>
  <c r="T83" i="37"/>
  <c r="U83" i="37"/>
  <c r="V83" i="37"/>
  <c r="W83" i="37"/>
  <c r="X83" i="37"/>
  <c r="Y83" i="37"/>
  <c r="Z83" i="37"/>
  <c r="AA83" i="37"/>
  <c r="AB83" i="37"/>
  <c r="AC83" i="37"/>
  <c r="AD83" i="37"/>
  <c r="AE83" i="37"/>
  <c r="K84" i="37"/>
  <c r="L84" i="37"/>
  <c r="M84" i="37"/>
  <c r="N84" i="37"/>
  <c r="O84" i="37"/>
  <c r="P84" i="37"/>
  <c r="Q84" i="37"/>
  <c r="R84" i="37"/>
  <c r="S84" i="37"/>
  <c r="T84" i="37"/>
  <c r="U84" i="37"/>
  <c r="V84" i="37"/>
  <c r="W84" i="37"/>
  <c r="X84" i="37"/>
  <c r="Y84" i="37"/>
  <c r="Z84" i="37"/>
  <c r="AA84" i="37"/>
  <c r="AB84" i="37"/>
  <c r="AC84" i="37"/>
  <c r="AD84" i="37"/>
  <c r="AE84" i="37"/>
  <c r="K85" i="37"/>
  <c r="L85" i="37"/>
  <c r="M85" i="37"/>
  <c r="N85" i="37"/>
  <c r="O85" i="37"/>
  <c r="P85" i="37"/>
  <c r="Q85" i="37"/>
  <c r="R85" i="37"/>
  <c r="S85" i="37"/>
  <c r="T85" i="37"/>
  <c r="U85" i="37"/>
  <c r="V85" i="37"/>
  <c r="W85" i="37"/>
  <c r="X85" i="37"/>
  <c r="Y85" i="37"/>
  <c r="Z85" i="37"/>
  <c r="AA85" i="37"/>
  <c r="AB85" i="37"/>
  <c r="AC85" i="37"/>
  <c r="AD85" i="37"/>
  <c r="AE85" i="37"/>
  <c r="K86" i="37"/>
  <c r="L86" i="37"/>
  <c r="M86" i="37"/>
  <c r="N86" i="37"/>
  <c r="O86" i="37"/>
  <c r="P86" i="37"/>
  <c r="Q86" i="37"/>
  <c r="R86" i="37"/>
  <c r="S86" i="37"/>
  <c r="T86" i="37"/>
  <c r="U86" i="37"/>
  <c r="V86" i="37"/>
  <c r="W86" i="37"/>
  <c r="X86" i="37"/>
  <c r="Y86" i="37"/>
  <c r="Z86" i="37"/>
  <c r="AA86" i="37"/>
  <c r="AB86" i="37"/>
  <c r="AC86" i="37"/>
  <c r="AD86" i="37"/>
  <c r="AE86" i="37"/>
  <c r="K87" i="37"/>
  <c r="L87" i="37"/>
  <c r="M87" i="37"/>
  <c r="N87" i="37"/>
  <c r="O87" i="37"/>
  <c r="P87" i="37"/>
  <c r="Q87" i="37"/>
  <c r="R87" i="37"/>
  <c r="S87" i="37"/>
  <c r="T87" i="37"/>
  <c r="U87" i="37"/>
  <c r="V87" i="37"/>
  <c r="W87" i="37"/>
  <c r="X87" i="37"/>
  <c r="Y87" i="37"/>
  <c r="Z87" i="37"/>
  <c r="AA87" i="37"/>
  <c r="AB87" i="37"/>
  <c r="AC87" i="37"/>
  <c r="AD87" i="37"/>
  <c r="AE87" i="37"/>
  <c r="B91" i="37"/>
  <c r="C91" i="37"/>
  <c r="D91" i="37"/>
  <c r="E91" i="37"/>
  <c r="F91" i="37"/>
  <c r="L3" i="51" s="1"/>
  <c r="G91" i="37"/>
  <c r="H91" i="37"/>
  <c r="I91" i="37"/>
  <c r="J91" i="37"/>
  <c r="K91" i="37"/>
  <c r="M3" i="51" s="1"/>
  <c r="L91" i="37"/>
  <c r="M91" i="37"/>
  <c r="N91" i="37"/>
  <c r="O91" i="37"/>
  <c r="P91" i="37"/>
  <c r="N3" i="51" s="1"/>
  <c r="Q91" i="37"/>
  <c r="R91" i="37"/>
  <c r="S91" i="37"/>
  <c r="T91" i="37"/>
  <c r="U91" i="37"/>
  <c r="O3" i="51" s="1"/>
  <c r="X91" i="37"/>
  <c r="Y91" i="37"/>
  <c r="Z91" i="37"/>
  <c r="AA91" i="37"/>
  <c r="AC91" i="37"/>
  <c r="AD91" i="37"/>
  <c r="AE91" i="37"/>
  <c r="AF91" i="37"/>
  <c r="AH91" i="37"/>
  <c r="AI91" i="37"/>
  <c r="AJ91" i="37"/>
  <c r="AK91" i="37"/>
  <c r="AM91" i="37"/>
  <c r="AN91" i="37"/>
  <c r="AO91" i="37"/>
  <c r="AP91" i="37"/>
  <c r="AR91" i="37"/>
  <c r="AS91" i="37"/>
  <c r="AT91" i="37"/>
  <c r="AU91" i="37"/>
  <c r="AW91" i="37"/>
  <c r="AX91" i="37"/>
  <c r="AY91" i="37"/>
  <c r="AZ91" i="37"/>
  <c r="B92" i="37"/>
  <c r="C92" i="37"/>
  <c r="D92" i="37"/>
  <c r="E92" i="37"/>
  <c r="F92" i="37"/>
  <c r="L4" i="51" s="1"/>
  <c r="G92" i="37"/>
  <c r="H92" i="37"/>
  <c r="I92" i="37"/>
  <c r="J92" i="37"/>
  <c r="K92" i="37"/>
  <c r="M4" i="51" s="1"/>
  <c r="L92" i="37"/>
  <c r="M92" i="37"/>
  <c r="N92" i="37"/>
  <c r="O92" i="37"/>
  <c r="P92" i="37"/>
  <c r="N4" i="51" s="1"/>
  <c r="Q92" i="37"/>
  <c r="R92" i="37"/>
  <c r="S92" i="37"/>
  <c r="T92" i="37"/>
  <c r="U92" i="37"/>
  <c r="O4" i="51" s="1"/>
  <c r="X92" i="37"/>
  <c r="Y92" i="37"/>
  <c r="Z92" i="37"/>
  <c r="AA92" i="37"/>
  <c r="AC92" i="37"/>
  <c r="AD92" i="37"/>
  <c r="AE92" i="37"/>
  <c r="AF92" i="37"/>
  <c r="AH92" i="37"/>
  <c r="AI92" i="37"/>
  <c r="AJ92" i="37"/>
  <c r="AK92" i="37"/>
  <c r="AM92" i="37"/>
  <c r="AN92" i="37"/>
  <c r="AO92" i="37"/>
  <c r="AP92" i="37"/>
  <c r="AR92" i="37"/>
  <c r="AS92" i="37"/>
  <c r="AT92" i="37"/>
  <c r="AU92" i="37"/>
  <c r="AW92" i="37"/>
  <c r="AX92" i="37"/>
  <c r="AY92" i="37"/>
  <c r="AZ92" i="37"/>
  <c r="B93" i="37"/>
  <c r="C93" i="37"/>
  <c r="D93" i="37"/>
  <c r="E93" i="37"/>
  <c r="F93" i="37"/>
  <c r="L5" i="51" s="1"/>
  <c r="G93" i="37"/>
  <c r="H93" i="37"/>
  <c r="I93" i="37"/>
  <c r="J93" i="37"/>
  <c r="K93" i="37"/>
  <c r="M5" i="51" s="1"/>
  <c r="L93" i="37"/>
  <c r="M93" i="37"/>
  <c r="N93" i="37"/>
  <c r="O93" i="37"/>
  <c r="P93" i="37"/>
  <c r="Q93" i="37"/>
  <c r="R93" i="37"/>
  <c r="S93" i="37"/>
  <c r="T93" i="37"/>
  <c r="U93" i="37"/>
  <c r="O5" i="51" s="1"/>
  <c r="X93" i="37"/>
  <c r="Y93" i="37"/>
  <c r="Z93" i="37"/>
  <c r="AA93" i="37"/>
  <c r="AC93" i="37"/>
  <c r="AD93" i="37"/>
  <c r="AE93" i="37"/>
  <c r="AF93" i="37"/>
  <c r="F93" i="38" s="1"/>
  <c r="I83" i="33" s="1"/>
  <c r="AH93" i="37"/>
  <c r="AI93" i="37"/>
  <c r="AJ93" i="37"/>
  <c r="AK93" i="37"/>
  <c r="F94" i="38" s="1"/>
  <c r="I84" i="33" s="1"/>
  <c r="AM93" i="37"/>
  <c r="AN93" i="37"/>
  <c r="AO93" i="37"/>
  <c r="AP93" i="37"/>
  <c r="F96" i="38" s="1"/>
  <c r="I86" i="33" s="1"/>
  <c r="AR93" i="37"/>
  <c r="AS93" i="37"/>
  <c r="AT93" i="37"/>
  <c r="AU93" i="37"/>
  <c r="F97" i="38" s="1"/>
  <c r="I87" i="33" s="1"/>
  <c r="AW93" i="37"/>
  <c r="AX93" i="37"/>
  <c r="AY93" i="37"/>
  <c r="AZ93" i="37"/>
  <c r="B94" i="37"/>
  <c r="C94" i="37"/>
  <c r="D94" i="37"/>
  <c r="E94" i="37"/>
  <c r="F94" i="37"/>
  <c r="L6" i="51" s="1"/>
  <c r="G94" i="37"/>
  <c r="H94" i="37"/>
  <c r="I94" i="37"/>
  <c r="J94" i="37"/>
  <c r="K94" i="37"/>
  <c r="M6" i="51" s="1"/>
  <c r="L94" i="37"/>
  <c r="M94" i="37"/>
  <c r="N94" i="37"/>
  <c r="O94" i="37"/>
  <c r="P94" i="37"/>
  <c r="N6" i="51" s="1"/>
  <c r="Q94" i="37"/>
  <c r="R94" i="37"/>
  <c r="S94" i="37"/>
  <c r="T94" i="37"/>
  <c r="U94" i="37"/>
  <c r="O6" i="51" s="1"/>
  <c r="X94" i="37"/>
  <c r="Y94" i="37"/>
  <c r="Z94" i="37"/>
  <c r="AA94" i="37"/>
  <c r="AC94" i="37"/>
  <c r="AD94" i="37"/>
  <c r="AE94" i="37"/>
  <c r="AF94" i="37"/>
  <c r="AH94" i="37"/>
  <c r="AI94" i="37"/>
  <c r="AJ94" i="37"/>
  <c r="AK94" i="37"/>
  <c r="AM94" i="37"/>
  <c r="AN94" i="37"/>
  <c r="AO94" i="37"/>
  <c r="AP94" i="37"/>
  <c r="AR94" i="37"/>
  <c r="AS94" i="37"/>
  <c r="AT94" i="37"/>
  <c r="AU94" i="37"/>
  <c r="AW94" i="37"/>
  <c r="AX94" i="37"/>
  <c r="AY94" i="37"/>
  <c r="AZ94" i="37"/>
  <c r="B95" i="37"/>
  <c r="C95" i="37"/>
  <c r="D95" i="37"/>
  <c r="E95" i="37"/>
  <c r="F95" i="37"/>
  <c r="L7" i="51" s="1"/>
  <c r="G95" i="37"/>
  <c r="H95" i="37"/>
  <c r="I95" i="37"/>
  <c r="J95" i="37"/>
  <c r="K95" i="37"/>
  <c r="M7" i="51" s="1"/>
  <c r="L95" i="37"/>
  <c r="M95" i="37"/>
  <c r="N95" i="37"/>
  <c r="O95" i="37"/>
  <c r="P95" i="37"/>
  <c r="N7" i="51" s="1"/>
  <c r="Q95" i="37"/>
  <c r="R95" i="37"/>
  <c r="S95" i="37"/>
  <c r="T95" i="37"/>
  <c r="U95" i="37"/>
  <c r="O7" i="51" s="1"/>
  <c r="X95" i="37"/>
  <c r="Y95" i="37"/>
  <c r="Z95" i="37"/>
  <c r="AA95" i="37"/>
  <c r="AC95" i="37"/>
  <c r="AD95" i="37"/>
  <c r="AE95" i="37"/>
  <c r="AF95" i="37"/>
  <c r="AH95" i="37"/>
  <c r="AI95" i="37"/>
  <c r="AJ95" i="37"/>
  <c r="AK95" i="37"/>
  <c r="AM95" i="37"/>
  <c r="AN95" i="37"/>
  <c r="AO95" i="37"/>
  <c r="AP95" i="37"/>
  <c r="AR95" i="37"/>
  <c r="AS95" i="37"/>
  <c r="AT95" i="37"/>
  <c r="AU95" i="37"/>
  <c r="AW95" i="37"/>
  <c r="AX95" i="37"/>
  <c r="AY95" i="37"/>
  <c r="AZ95" i="37"/>
  <c r="B96" i="37"/>
  <c r="C96" i="37"/>
  <c r="D96" i="37"/>
  <c r="E96" i="37"/>
  <c r="F96" i="37"/>
  <c r="L8" i="51" s="1"/>
  <c r="G96" i="37"/>
  <c r="H96" i="37"/>
  <c r="I96" i="37"/>
  <c r="J96" i="37"/>
  <c r="K96" i="37"/>
  <c r="M8" i="51" s="1"/>
  <c r="L96" i="37"/>
  <c r="M96" i="37"/>
  <c r="N96" i="37"/>
  <c r="O96" i="37"/>
  <c r="P96" i="37"/>
  <c r="N8" i="51" s="1"/>
  <c r="Q96" i="37"/>
  <c r="R96" i="37"/>
  <c r="S96" i="37"/>
  <c r="T96" i="37"/>
  <c r="U96" i="37"/>
  <c r="O8" i="51" s="1"/>
  <c r="X96" i="37"/>
  <c r="Y96" i="37"/>
  <c r="Z96" i="37"/>
  <c r="AA96" i="37"/>
  <c r="AC96" i="37"/>
  <c r="AD96" i="37"/>
  <c r="AE96" i="37"/>
  <c r="AF96" i="37"/>
  <c r="AH96" i="37"/>
  <c r="AI96" i="37"/>
  <c r="AJ96" i="37"/>
  <c r="AK96" i="37"/>
  <c r="AM96" i="37"/>
  <c r="AN96" i="37"/>
  <c r="AO96" i="37"/>
  <c r="AP96" i="37"/>
  <c r="AR96" i="37"/>
  <c r="AS96" i="37"/>
  <c r="AT96" i="37"/>
  <c r="AU96" i="37"/>
  <c r="AW96" i="37"/>
  <c r="AX96" i="37"/>
  <c r="AY96" i="37"/>
  <c r="AZ96" i="37"/>
  <c r="B97" i="37"/>
  <c r="C97" i="37"/>
  <c r="D97" i="37"/>
  <c r="E97" i="37"/>
  <c r="F97" i="37"/>
  <c r="L9" i="51" s="1"/>
  <c r="G97" i="37"/>
  <c r="H97" i="37"/>
  <c r="I97" i="37"/>
  <c r="J97" i="37"/>
  <c r="K97" i="37"/>
  <c r="M9" i="51" s="1"/>
  <c r="L97" i="37"/>
  <c r="M97" i="37"/>
  <c r="N97" i="37"/>
  <c r="O97" i="37"/>
  <c r="P97" i="37"/>
  <c r="N9" i="51" s="1"/>
  <c r="Q97" i="37"/>
  <c r="R97" i="37"/>
  <c r="S97" i="37"/>
  <c r="T97" i="37"/>
  <c r="U97" i="37"/>
  <c r="O9" i="51" s="1"/>
  <c r="X97" i="37"/>
  <c r="Y97" i="37"/>
  <c r="Z97" i="37"/>
  <c r="AA97" i="37"/>
  <c r="AC97" i="37"/>
  <c r="AD97" i="37"/>
  <c r="AE97" i="37"/>
  <c r="AF97" i="37"/>
  <c r="AH97" i="37"/>
  <c r="AI97" i="37"/>
  <c r="AJ97" i="37"/>
  <c r="AK97" i="37"/>
  <c r="AM97" i="37"/>
  <c r="AN97" i="37"/>
  <c r="AO97" i="37"/>
  <c r="AP97" i="37"/>
  <c r="AR97" i="37"/>
  <c r="AS97" i="37"/>
  <c r="AT97" i="37"/>
  <c r="AU97" i="37"/>
  <c r="AW97" i="37"/>
  <c r="AX97" i="37"/>
  <c r="AY97" i="37"/>
  <c r="AZ97" i="37"/>
  <c r="B98" i="37"/>
  <c r="B85" i="38" s="1"/>
  <c r="C98" i="37"/>
  <c r="C85" i="38" s="1"/>
  <c r="D98" i="37"/>
  <c r="D85" i="38" s="1"/>
  <c r="E98" i="37"/>
  <c r="E85" i="38" s="1"/>
  <c r="F98" i="37"/>
  <c r="G98" i="37"/>
  <c r="B86" i="38" s="1"/>
  <c r="H98" i="37"/>
  <c r="C86" i="38" s="1"/>
  <c r="I98" i="37"/>
  <c r="D86" i="38" s="1"/>
  <c r="J98" i="37"/>
  <c r="E86" i="38" s="1"/>
  <c r="K98" i="37"/>
  <c r="L98" i="37"/>
  <c r="B87" i="38" s="1"/>
  <c r="M98" i="37"/>
  <c r="C87" i="38" s="1"/>
  <c r="N98" i="37"/>
  <c r="D87" i="38" s="1"/>
  <c r="O98" i="37"/>
  <c r="E87" i="38" s="1"/>
  <c r="F87" i="38"/>
  <c r="Q98" i="37"/>
  <c r="B88" i="38" s="1"/>
  <c r="R98" i="37"/>
  <c r="C88" i="38" s="1"/>
  <c r="S98" i="37"/>
  <c r="D88" i="38" s="1"/>
  <c r="T98" i="37"/>
  <c r="E88" i="38" s="1"/>
  <c r="U98" i="37"/>
  <c r="X98" i="37"/>
  <c r="Y98" i="37"/>
  <c r="C92" i="38" s="1"/>
  <c r="F82" i="33" s="1"/>
  <c r="Z98" i="37"/>
  <c r="D92" i="38" s="1"/>
  <c r="G82" i="33" s="1"/>
  <c r="AA98" i="37"/>
  <c r="E92" i="38" s="1"/>
  <c r="H82" i="33" s="1"/>
  <c r="AC98" i="37"/>
  <c r="B93" i="38" s="1"/>
  <c r="E83" i="33" s="1"/>
  <c r="AD98" i="37"/>
  <c r="C93" i="38" s="1"/>
  <c r="F83" i="33" s="1"/>
  <c r="AE98" i="37"/>
  <c r="D93" i="38" s="1"/>
  <c r="G83" i="33" s="1"/>
  <c r="AF98" i="37"/>
  <c r="AH98" i="37"/>
  <c r="B94" i="38" s="1"/>
  <c r="E84" i="33" s="1"/>
  <c r="AI98" i="37"/>
  <c r="C94" i="38" s="1"/>
  <c r="F84" i="33" s="1"/>
  <c r="AJ98" i="37"/>
  <c r="D94" i="38" s="1"/>
  <c r="G84" i="33" s="1"/>
  <c r="AK98" i="37"/>
  <c r="AM98" i="37"/>
  <c r="B96" i="38" s="1"/>
  <c r="E86" i="33" s="1"/>
  <c r="AN98" i="37"/>
  <c r="C96" i="38" s="1"/>
  <c r="F86" i="33" s="1"/>
  <c r="AO98" i="37"/>
  <c r="D96" i="38" s="1"/>
  <c r="G86" i="33" s="1"/>
  <c r="AP98" i="37"/>
  <c r="AR98" i="37"/>
  <c r="B97" i="38" s="1"/>
  <c r="E87" i="33" s="1"/>
  <c r="AS98" i="37"/>
  <c r="C97" i="38" s="1"/>
  <c r="F87" i="33" s="1"/>
  <c r="AT98" i="37"/>
  <c r="D97" i="38" s="1"/>
  <c r="G87" i="33" s="1"/>
  <c r="AU98" i="37"/>
  <c r="AW98" i="37"/>
  <c r="B98" i="38" s="1"/>
  <c r="E88" i="33" s="1"/>
  <c r="AX98" i="37"/>
  <c r="C98" i="38" s="1"/>
  <c r="F88" i="33" s="1"/>
  <c r="AY98" i="37"/>
  <c r="D98" i="38" s="1"/>
  <c r="G88" i="33" s="1"/>
  <c r="AZ98" i="37"/>
  <c r="B102" i="37"/>
  <c r="C102" i="37"/>
  <c r="D102" i="37"/>
  <c r="E102" i="37"/>
  <c r="F102" i="37"/>
  <c r="G102" i="37"/>
  <c r="H102" i="37"/>
  <c r="I102" i="37"/>
  <c r="J102" i="37"/>
  <c r="K102" i="37"/>
  <c r="L102" i="37"/>
  <c r="M102" i="37"/>
  <c r="N102" i="37"/>
  <c r="O102" i="37"/>
  <c r="P102" i="37"/>
  <c r="B103" i="37"/>
  <c r="C103" i="37"/>
  <c r="D103" i="37"/>
  <c r="E103" i="37"/>
  <c r="F103" i="37"/>
  <c r="G103" i="37"/>
  <c r="H103" i="37"/>
  <c r="I103" i="37"/>
  <c r="J103" i="37"/>
  <c r="K103" i="37"/>
  <c r="L103" i="37"/>
  <c r="M103" i="37"/>
  <c r="N103" i="37"/>
  <c r="O103" i="37"/>
  <c r="P103" i="37"/>
  <c r="B104" i="37"/>
  <c r="C104" i="37"/>
  <c r="D104" i="37"/>
  <c r="E104" i="37"/>
  <c r="F104" i="37"/>
  <c r="G104" i="37"/>
  <c r="H104" i="37"/>
  <c r="I104" i="37"/>
  <c r="J104" i="37"/>
  <c r="K104" i="37"/>
  <c r="L104" i="37"/>
  <c r="M104" i="37"/>
  <c r="N104" i="37"/>
  <c r="O104" i="37"/>
  <c r="P104" i="37"/>
  <c r="B105" i="37"/>
  <c r="C105" i="37"/>
  <c r="D105" i="37"/>
  <c r="E105" i="37"/>
  <c r="F105" i="37"/>
  <c r="G105" i="37"/>
  <c r="H105" i="37"/>
  <c r="I105" i="37"/>
  <c r="J105" i="37"/>
  <c r="K105" i="37"/>
  <c r="L105" i="37"/>
  <c r="M105" i="37"/>
  <c r="N105" i="37"/>
  <c r="O105" i="37"/>
  <c r="P105" i="37"/>
  <c r="B106" i="37"/>
  <c r="C106" i="37"/>
  <c r="D106" i="37"/>
  <c r="E106" i="37"/>
  <c r="F106" i="37"/>
  <c r="G106" i="37"/>
  <c r="H106" i="37"/>
  <c r="I106" i="37"/>
  <c r="J106" i="37"/>
  <c r="K106" i="37"/>
  <c r="L106" i="37"/>
  <c r="M106" i="37"/>
  <c r="N106" i="37"/>
  <c r="O106" i="37"/>
  <c r="P106" i="37"/>
  <c r="B107" i="37"/>
  <c r="C107" i="37"/>
  <c r="D107" i="37"/>
  <c r="E107" i="37"/>
  <c r="F107" i="37"/>
  <c r="G107" i="37"/>
  <c r="H107" i="37"/>
  <c r="I107" i="37"/>
  <c r="J107" i="37"/>
  <c r="K107" i="37"/>
  <c r="L107" i="37"/>
  <c r="M107" i="37"/>
  <c r="N107" i="37"/>
  <c r="O107" i="37"/>
  <c r="P107" i="37"/>
  <c r="B108" i="37"/>
  <c r="C108" i="37"/>
  <c r="D108" i="37"/>
  <c r="E108" i="37"/>
  <c r="F108" i="37"/>
  <c r="G108" i="37"/>
  <c r="H108" i="37"/>
  <c r="I108" i="37"/>
  <c r="J108" i="37"/>
  <c r="K108" i="37"/>
  <c r="L108" i="37"/>
  <c r="M108" i="37"/>
  <c r="N108" i="37"/>
  <c r="O108" i="37"/>
  <c r="P108" i="37"/>
  <c r="B109" i="37"/>
  <c r="C109" i="37"/>
  <c r="D109" i="37"/>
  <c r="E109" i="37"/>
  <c r="F109" i="37"/>
  <c r="G109" i="37"/>
  <c r="H109" i="37"/>
  <c r="I109" i="37"/>
  <c r="J109" i="37"/>
  <c r="K109" i="37"/>
  <c r="L109" i="37"/>
  <c r="M109" i="37"/>
  <c r="N109" i="37"/>
  <c r="O109" i="37"/>
  <c r="P109" i="37"/>
  <c r="J4" i="37"/>
  <c r="M5" i="37"/>
  <c r="J6" i="37"/>
  <c r="G7" i="37"/>
  <c r="J8" i="37"/>
  <c r="M9" i="37"/>
  <c r="G3" i="37"/>
  <c r="J3" i="37"/>
  <c r="M3" i="37"/>
  <c r="G4" i="37"/>
  <c r="M4" i="37"/>
  <c r="G5" i="37"/>
  <c r="J5" i="37"/>
  <c r="G6" i="37"/>
  <c r="M6" i="37"/>
  <c r="J7" i="37"/>
  <c r="M7" i="37"/>
  <c r="G8" i="37"/>
  <c r="M8" i="37"/>
  <c r="G9" i="37"/>
  <c r="J9" i="37"/>
  <c r="G10" i="37"/>
  <c r="D4" i="37"/>
  <c r="B4" i="51" s="1"/>
  <c r="D6" i="37"/>
  <c r="B6" i="51" s="1"/>
  <c r="D7" i="37"/>
  <c r="B7" i="51" s="1"/>
  <c r="D8" i="37"/>
  <c r="B8" i="51" s="1"/>
  <c r="D9" i="37"/>
  <c r="B9" i="51" s="1"/>
  <c r="D10" i="37"/>
  <c r="B10" i="51" s="1"/>
  <c r="D5" i="37"/>
  <c r="B5" i="51" s="1"/>
  <c r="F47" i="37"/>
  <c r="F49" i="37"/>
  <c r="F51" i="37"/>
  <c r="F53" i="37"/>
  <c r="K47" i="37"/>
  <c r="F3" i="51" s="1"/>
  <c r="P47" i="37"/>
  <c r="K49" i="37"/>
  <c r="F5" i="51" s="1"/>
  <c r="P49" i="37"/>
  <c r="K51" i="37"/>
  <c r="F7" i="51" s="1"/>
  <c r="P51" i="37"/>
  <c r="K53" i="37"/>
  <c r="F9" i="51" s="1"/>
  <c r="P53" i="37"/>
  <c r="D58" i="37"/>
  <c r="D59" i="37"/>
  <c r="D60" i="37"/>
  <c r="D61" i="37"/>
  <c r="D62" i="37"/>
  <c r="D63" i="37"/>
  <c r="D64" i="37"/>
  <c r="D65" i="37"/>
  <c r="G58" i="37"/>
  <c r="G59" i="37"/>
  <c r="G60" i="37"/>
  <c r="G61" i="37"/>
  <c r="G62" i="37"/>
  <c r="G63" i="37"/>
  <c r="G64" i="37"/>
  <c r="G65" i="37"/>
  <c r="P15" i="37"/>
  <c r="D4" i="51" s="1"/>
  <c r="P19" i="37"/>
  <c r="D8" i="51" s="1"/>
  <c r="M19" i="33" l="1"/>
  <c r="G19" i="12" s="1"/>
  <c r="BN97" i="37"/>
  <c r="BN94" i="37"/>
  <c r="BG98" i="37"/>
  <c r="BN96" i="37"/>
  <c r="BG94" i="37"/>
  <c r="BG91" i="37"/>
  <c r="BN91" i="37"/>
  <c r="BN98" i="37"/>
  <c r="F85" i="38"/>
  <c r="L10" i="51"/>
  <c r="P9" i="51"/>
  <c r="P8" i="51"/>
  <c r="P7" i="51"/>
  <c r="P6" i="51"/>
  <c r="P4" i="51"/>
  <c r="P3" i="51"/>
  <c r="T9" i="51"/>
  <c r="T5" i="51"/>
  <c r="F88" i="38"/>
  <c r="G87" i="38" s="1"/>
  <c r="O10" i="51"/>
  <c r="W89" i="37"/>
  <c r="N5" i="51"/>
  <c r="P5" i="51" s="1"/>
  <c r="T3" i="51"/>
  <c r="F86" i="38"/>
  <c r="M10" i="51"/>
  <c r="BG97" i="37"/>
  <c r="BG93" i="37"/>
  <c r="B92" i="38"/>
  <c r="E82" i="33" s="1"/>
  <c r="BI98" i="37"/>
  <c r="BH98" i="37"/>
  <c r="BI97" i="37"/>
  <c r="BH97" i="37"/>
  <c r="BI96" i="37"/>
  <c r="BH96" i="37"/>
  <c r="BH95" i="37"/>
  <c r="BI95" i="37"/>
  <c r="BI94" i="37"/>
  <c r="BH94" i="37"/>
  <c r="BI93" i="37"/>
  <c r="BH93" i="37"/>
  <c r="BI92" i="37"/>
  <c r="BH92" i="37"/>
  <c r="BI91" i="37"/>
  <c r="BH91" i="37"/>
  <c r="BG95" i="37"/>
  <c r="BG96" i="37"/>
  <c r="BG92" i="37"/>
  <c r="D30" i="33"/>
  <c r="H30" i="33"/>
  <c r="M30" i="33"/>
  <c r="G19" i="48" s="1"/>
  <c r="J30" i="33"/>
  <c r="B22" i="48" s="1"/>
  <c r="H4" i="51"/>
  <c r="H10" i="51"/>
  <c r="H6" i="51"/>
  <c r="I76" i="33"/>
  <c r="H18" i="41" s="1"/>
  <c r="H7" i="51"/>
  <c r="H3" i="51"/>
  <c r="H8" i="51"/>
  <c r="H9" i="51"/>
  <c r="H5" i="51"/>
  <c r="F38" i="33"/>
  <c r="E38" i="33"/>
  <c r="H38" i="33"/>
  <c r="D19" i="33"/>
  <c r="L49" i="33"/>
  <c r="B26" i="40" s="1"/>
  <c r="B66" i="38"/>
  <c r="E56" i="33" s="1"/>
  <c r="D9" i="33"/>
  <c r="J59" i="33"/>
  <c r="B12" i="46" s="1"/>
  <c r="B77" i="38"/>
  <c r="E70" i="33" s="1"/>
  <c r="D73" i="38"/>
  <c r="G66" i="33" s="1"/>
  <c r="C81" i="38"/>
  <c r="F74" i="33" s="1"/>
  <c r="B80" i="38"/>
  <c r="E73" i="33" s="1"/>
  <c r="D79" i="38"/>
  <c r="G72" i="33" s="1"/>
  <c r="D66" i="38"/>
  <c r="G56" i="33" s="1"/>
  <c r="E65" i="38"/>
  <c r="H57" i="33" s="1"/>
  <c r="G8" i="33"/>
  <c r="D6" i="38"/>
  <c r="I4" i="33" s="1"/>
  <c r="D53" i="38"/>
  <c r="D52" i="38"/>
  <c r="D76" i="38"/>
  <c r="G69" i="33" s="1"/>
  <c r="C73" i="38"/>
  <c r="F66" i="33" s="1"/>
  <c r="B81" i="38"/>
  <c r="E74" i="33" s="1"/>
  <c r="D74" i="38"/>
  <c r="G67" i="33" s="1"/>
  <c r="C79" i="38"/>
  <c r="F72" i="33" s="1"/>
  <c r="C66" i="38"/>
  <c r="F56" i="33" s="1"/>
  <c r="D65" i="38"/>
  <c r="G57" i="33" s="1"/>
  <c r="E64" i="38"/>
  <c r="H55" i="33" s="1"/>
  <c r="H59" i="33" s="1"/>
  <c r="F63" i="38"/>
  <c r="B63" i="38"/>
  <c r="E46" i="33" s="1"/>
  <c r="C62" i="38"/>
  <c r="F45" i="33" s="1"/>
  <c r="D60" i="38"/>
  <c r="G42" i="33" s="1"/>
  <c r="E59" i="38"/>
  <c r="H43" i="33" s="1"/>
  <c r="E104" i="38"/>
  <c r="H99" i="33" s="1"/>
  <c r="H104" i="33" s="1"/>
  <c r="F103" i="38"/>
  <c r="I98" i="33" s="1"/>
  <c r="B103" i="38"/>
  <c r="E98" i="33" s="1"/>
  <c r="C102" i="38"/>
  <c r="F97" i="33" s="1"/>
  <c r="C77" i="38"/>
  <c r="F70" i="33" s="1"/>
  <c r="B76" i="38"/>
  <c r="E69" i="33" s="1"/>
  <c r="D81" i="38"/>
  <c r="G74" i="33" s="1"/>
  <c r="C80" i="38"/>
  <c r="F73" i="33" s="1"/>
  <c r="B74" i="38"/>
  <c r="E67" i="33" s="1"/>
  <c r="E66" i="38"/>
  <c r="H56" i="33" s="1"/>
  <c r="F65" i="38"/>
  <c r="I57" i="33" s="1"/>
  <c r="B65" i="38"/>
  <c r="E57" i="33" s="1"/>
  <c r="C64" i="38"/>
  <c r="F55" i="33" s="1"/>
  <c r="D63" i="38"/>
  <c r="G46" i="33" s="1"/>
  <c r="E62" i="38"/>
  <c r="H45" i="33" s="1"/>
  <c r="F60" i="38"/>
  <c r="I42" i="33" s="1"/>
  <c r="B60" i="38"/>
  <c r="E42" i="33" s="1"/>
  <c r="C59" i="38"/>
  <c r="F43" i="33" s="1"/>
  <c r="I93" i="33"/>
  <c r="B102" i="38"/>
  <c r="E97" i="33" s="1"/>
  <c r="C104" i="38"/>
  <c r="F99" i="33" s="1"/>
  <c r="F104" i="33" s="1"/>
  <c r="E102" i="38"/>
  <c r="H97" i="33" s="1"/>
  <c r="F104" i="38"/>
  <c r="I99" i="33" s="1"/>
  <c r="I104" i="33" s="1"/>
  <c r="B104" i="38"/>
  <c r="E99" i="33" s="1"/>
  <c r="E104" i="33" s="1"/>
  <c r="C103" i="38"/>
  <c r="F98" i="33" s="1"/>
  <c r="D102" i="38"/>
  <c r="G97" i="33" s="1"/>
  <c r="E98" i="38"/>
  <c r="H88" i="33" s="1"/>
  <c r="E97" i="38"/>
  <c r="H87" i="33" s="1"/>
  <c r="E96" i="38"/>
  <c r="H86" i="33" s="1"/>
  <c r="H91" i="33" s="1"/>
  <c r="E94" i="38"/>
  <c r="H84" i="33" s="1"/>
  <c r="E93" i="38"/>
  <c r="H83" i="33" s="1"/>
  <c r="D77" i="38"/>
  <c r="G70" i="33" s="1"/>
  <c r="C76" i="38"/>
  <c r="F69" i="33" s="1"/>
  <c r="B73" i="38"/>
  <c r="E66" i="33" s="1"/>
  <c r="D80" i="38"/>
  <c r="G73" i="33" s="1"/>
  <c r="C74" i="38"/>
  <c r="F67" i="33" s="1"/>
  <c r="B79" i="38"/>
  <c r="E72" i="33" s="1"/>
  <c r="C65" i="38"/>
  <c r="F57" i="33" s="1"/>
  <c r="D64" i="38"/>
  <c r="G55" i="33" s="1"/>
  <c r="E63" i="38"/>
  <c r="H46" i="33" s="1"/>
  <c r="F62" i="38"/>
  <c r="I45" i="33" s="1"/>
  <c r="B62" i="38"/>
  <c r="E45" i="33" s="1"/>
  <c r="C60" i="38"/>
  <c r="F42" i="33" s="1"/>
  <c r="D59" i="38"/>
  <c r="G43" i="33" s="1"/>
  <c r="E103" i="38"/>
  <c r="H98" i="33" s="1"/>
  <c r="F64" i="38"/>
  <c r="I55" i="33" s="1"/>
  <c r="B64" i="38"/>
  <c r="E55" i="33" s="1"/>
  <c r="C63" i="38"/>
  <c r="F46" i="33" s="1"/>
  <c r="D62" i="38"/>
  <c r="G45" i="33" s="1"/>
  <c r="E60" i="38"/>
  <c r="H42" i="33" s="1"/>
  <c r="F59" i="38"/>
  <c r="I43" i="33" s="1"/>
  <c r="B59" i="38"/>
  <c r="D104" i="38"/>
  <c r="G99" i="33" s="1"/>
  <c r="G104" i="33" s="1"/>
  <c r="F102" i="38"/>
  <c r="I97" i="33" s="1"/>
  <c r="D103" i="38"/>
  <c r="G98" i="33" s="1"/>
  <c r="G30" i="33"/>
  <c r="E30" i="38"/>
  <c r="E29" i="38"/>
  <c r="E28" i="38"/>
  <c r="I66" i="33"/>
  <c r="I69" i="33" s="1"/>
  <c r="I72" i="33" s="1"/>
  <c r="G22" i="12"/>
  <c r="H19" i="33"/>
  <c r="G19" i="33"/>
  <c r="J19" i="33"/>
  <c r="G93" i="33"/>
  <c r="G92" i="33"/>
  <c r="G91" i="33"/>
  <c r="F93" i="33"/>
  <c r="F92" i="33"/>
  <c r="F91" i="33"/>
  <c r="J91" i="33"/>
  <c r="B26" i="47" s="1"/>
  <c r="I92" i="33"/>
  <c r="E93" i="33"/>
  <c r="E92" i="33"/>
  <c r="E91" i="33"/>
  <c r="I91" i="33"/>
  <c r="J8" i="33"/>
  <c r="A11" i="20" s="1"/>
  <c r="D8" i="33"/>
  <c r="H8" i="33"/>
  <c r="J103" i="33"/>
  <c r="J88" i="33"/>
  <c r="J84" i="33"/>
  <c r="P54" i="37"/>
  <c r="F48" i="38" s="1"/>
  <c r="I36" i="33" s="1"/>
  <c r="J37" i="33" s="1"/>
  <c r="P21" i="37"/>
  <c r="D10" i="51" s="1"/>
  <c r="P17" i="37"/>
  <c r="D6" i="51" s="1"/>
  <c r="P52" i="37"/>
  <c r="F48" i="37"/>
  <c r="K48" i="37"/>
  <c r="F4" i="51" s="1"/>
  <c r="J64" i="37"/>
  <c r="M64" i="37"/>
  <c r="G9" i="51" s="1"/>
  <c r="J60" i="37"/>
  <c r="M60" i="37"/>
  <c r="G5" i="51" s="1"/>
  <c r="P50" i="37"/>
  <c r="M10" i="37"/>
  <c r="D8" i="38" s="1"/>
  <c r="I6" i="33" s="1"/>
  <c r="J10" i="37"/>
  <c r="D7" i="38" s="1"/>
  <c r="I5" i="33" s="1"/>
  <c r="P20" i="37"/>
  <c r="D9" i="51" s="1"/>
  <c r="P16" i="37"/>
  <c r="D5" i="51" s="1"/>
  <c r="J63" i="37"/>
  <c r="M63" i="37"/>
  <c r="G8" i="51" s="1"/>
  <c r="J59" i="37"/>
  <c r="M59" i="37"/>
  <c r="G4" i="51" s="1"/>
  <c r="P48" i="37"/>
  <c r="J62" i="37"/>
  <c r="M62" i="37"/>
  <c r="G7" i="51" s="1"/>
  <c r="J58" i="37"/>
  <c r="M58" i="37"/>
  <c r="G3" i="51" s="1"/>
  <c r="D3" i="37"/>
  <c r="P18" i="37"/>
  <c r="D7" i="51" s="1"/>
  <c r="P14" i="37"/>
  <c r="D3" i="51" s="1"/>
  <c r="J65" i="37"/>
  <c r="M65" i="37"/>
  <c r="G10" i="51" s="1"/>
  <c r="J61" i="37"/>
  <c r="M61" i="37"/>
  <c r="G6" i="51" s="1"/>
  <c r="I87" i="37"/>
  <c r="E87" i="37"/>
  <c r="G86" i="37"/>
  <c r="C86" i="37"/>
  <c r="I85" i="37"/>
  <c r="E85" i="37"/>
  <c r="G84" i="37"/>
  <c r="C84" i="37"/>
  <c r="I83" i="37"/>
  <c r="E83" i="37"/>
  <c r="G82" i="37"/>
  <c r="C82" i="37"/>
  <c r="I81" i="37"/>
  <c r="E81" i="37"/>
  <c r="G80" i="37"/>
  <c r="C80" i="37"/>
  <c r="H87" i="37"/>
  <c r="D87" i="37"/>
  <c r="J86" i="37"/>
  <c r="F86" i="37"/>
  <c r="B86" i="37"/>
  <c r="H85" i="37"/>
  <c r="D85" i="37"/>
  <c r="J84" i="37"/>
  <c r="F84" i="37"/>
  <c r="B84" i="37"/>
  <c r="H83" i="37"/>
  <c r="D83" i="37"/>
  <c r="J82" i="37"/>
  <c r="F82" i="37"/>
  <c r="B82" i="37"/>
  <c r="H81" i="37"/>
  <c r="D81" i="37"/>
  <c r="J80" i="37"/>
  <c r="F80" i="37"/>
  <c r="B80" i="37"/>
  <c r="G87" i="37"/>
  <c r="C87" i="37"/>
  <c r="I86" i="37"/>
  <c r="E86" i="37"/>
  <c r="G85" i="37"/>
  <c r="C85" i="37"/>
  <c r="I84" i="37"/>
  <c r="E84" i="37"/>
  <c r="G83" i="37"/>
  <c r="C83" i="37"/>
  <c r="I82" i="37"/>
  <c r="E82" i="37"/>
  <c r="G81" i="37"/>
  <c r="C81" i="37"/>
  <c r="I80" i="37"/>
  <c r="E80" i="37"/>
  <c r="J87" i="37"/>
  <c r="F87" i="37"/>
  <c r="B87" i="37"/>
  <c r="H86" i="37"/>
  <c r="D86" i="37"/>
  <c r="J85" i="37"/>
  <c r="F85" i="37"/>
  <c r="B85" i="37"/>
  <c r="H84" i="37"/>
  <c r="D84" i="37"/>
  <c r="J83" i="37"/>
  <c r="F83" i="37"/>
  <c r="B83" i="37"/>
  <c r="H82" i="37"/>
  <c r="D82" i="37"/>
  <c r="J81" i="37"/>
  <c r="F81" i="37"/>
  <c r="B81" i="37"/>
  <c r="H80" i="37"/>
  <c r="D80" i="37"/>
  <c r="E59" i="33" l="1"/>
  <c r="G59" i="33"/>
  <c r="F59" i="33"/>
  <c r="I59" i="33"/>
  <c r="B11" i="42"/>
  <c r="BJ92" i="37"/>
  <c r="BJ94" i="37"/>
  <c r="BJ96" i="37"/>
  <c r="P10" i="51"/>
  <c r="BJ95" i="37"/>
  <c r="BJ98" i="37"/>
  <c r="BJ91" i="37"/>
  <c r="BJ93" i="37"/>
  <c r="BJ97" i="37"/>
  <c r="H92" i="33"/>
  <c r="H93" i="33"/>
  <c r="D5" i="38"/>
  <c r="I3" i="33" s="1"/>
  <c r="I8" i="33" s="1"/>
  <c r="B3" i="51"/>
  <c r="AG80" i="37"/>
  <c r="I3" i="51" s="1"/>
  <c r="I103" i="33"/>
  <c r="G103" i="33"/>
  <c r="F103" i="33"/>
  <c r="H103" i="33"/>
  <c r="E103" i="33"/>
  <c r="F49" i="33"/>
  <c r="G50" i="33"/>
  <c r="H49" i="33"/>
  <c r="E49" i="33"/>
  <c r="H50" i="33"/>
  <c r="G49" i="33"/>
  <c r="F50" i="33"/>
  <c r="C61" i="38"/>
  <c r="F44" i="33" s="1"/>
  <c r="F47" i="33" s="1"/>
  <c r="B61" i="38"/>
  <c r="E44" i="33" s="1"/>
  <c r="E47" i="33" s="1"/>
  <c r="E43" i="33"/>
  <c r="E50" i="33" s="1"/>
  <c r="E61" i="38"/>
  <c r="H44" i="33" s="1"/>
  <c r="H47" i="33" s="1"/>
  <c r="D55" i="38"/>
  <c r="B10" i="29" s="1"/>
  <c r="G63" i="38"/>
  <c r="D71" i="38"/>
  <c r="D78" i="38" s="1"/>
  <c r="G71" i="33" s="1"/>
  <c r="I46" i="33"/>
  <c r="J46" i="33" s="1"/>
  <c r="E81" i="38"/>
  <c r="H72" i="33" s="1"/>
  <c r="AG83" i="37"/>
  <c r="I6" i="51" s="1"/>
  <c r="D72" i="38"/>
  <c r="G65" i="33" s="1"/>
  <c r="G78" i="33" s="1"/>
  <c r="C70" i="38"/>
  <c r="F63" i="33" s="1"/>
  <c r="F76" i="33" s="1"/>
  <c r="D16" i="38"/>
  <c r="I17" i="33" s="1"/>
  <c r="K17" i="33" s="1"/>
  <c r="D70" i="38"/>
  <c r="D75" i="38" s="1"/>
  <c r="G68" i="33" s="1"/>
  <c r="F61" i="38"/>
  <c r="I44" i="33" s="1"/>
  <c r="I47" i="33" s="1"/>
  <c r="AG84" i="37"/>
  <c r="I7" i="51" s="1"/>
  <c r="AG85" i="37"/>
  <c r="I8" i="51" s="1"/>
  <c r="D61" i="38"/>
  <c r="G44" i="33" s="1"/>
  <c r="G47" i="33" s="1"/>
  <c r="B72" i="38"/>
  <c r="E65" i="33" s="1"/>
  <c r="E78" i="33" s="1"/>
  <c r="C72" i="38"/>
  <c r="F65" i="33" s="1"/>
  <c r="F78" i="33" s="1"/>
  <c r="B70" i="38"/>
  <c r="E63" i="33" s="1"/>
  <c r="E76" i="33" s="1"/>
  <c r="AG87" i="37"/>
  <c r="I10" i="51" s="1"/>
  <c r="AG81" i="37"/>
  <c r="I4" i="51" s="1"/>
  <c r="C71" i="38"/>
  <c r="F64" i="33" s="1"/>
  <c r="F77" i="33" s="1"/>
  <c r="AG82" i="37"/>
  <c r="I5" i="51" s="1"/>
  <c r="B71" i="38"/>
  <c r="E64" i="33" s="1"/>
  <c r="E77" i="33" s="1"/>
  <c r="AG86" i="37"/>
  <c r="I9" i="51" s="1"/>
  <c r="D54" i="38"/>
  <c r="B22" i="12"/>
  <c r="J93" i="33"/>
  <c r="H12" i="47" s="1"/>
  <c r="I49" i="33"/>
  <c r="F50" i="37"/>
  <c r="K50" i="37"/>
  <c r="F6" i="51" s="1"/>
  <c r="F52" i="37"/>
  <c r="K52" i="37"/>
  <c r="F8" i="51" s="1"/>
  <c r="I50" i="33" l="1"/>
  <c r="J42" i="33"/>
  <c r="J43" i="33"/>
  <c r="J50" i="33" s="1"/>
  <c r="G64" i="33"/>
  <c r="G77" i="33" s="1"/>
  <c r="G63" i="33"/>
  <c r="G76" i="33" s="1"/>
  <c r="G59" i="38"/>
  <c r="J45" i="33"/>
  <c r="G62" i="38"/>
  <c r="C78" i="38"/>
  <c r="F71" i="33" s="1"/>
  <c r="C75" i="38"/>
  <c r="F68" i="33" s="1"/>
  <c r="E72" i="38"/>
  <c r="H63" i="33" s="1"/>
  <c r="H76" i="33" s="1"/>
  <c r="H11" i="41" s="1"/>
  <c r="B78" i="38"/>
  <c r="E71" i="33" s="1"/>
  <c r="B75" i="38"/>
  <c r="E68" i="33" s="1"/>
  <c r="G60" i="38"/>
  <c r="F54" i="37"/>
  <c r="F46" i="38" s="1"/>
  <c r="I34" i="33" s="1"/>
  <c r="K54" i="37"/>
  <c r="F47" i="38" l="1"/>
  <c r="I35" i="33" s="1"/>
  <c r="I37" i="33" s="1"/>
  <c r="F10" i="51"/>
  <c r="J49" i="33"/>
  <c r="H12" i="40" s="1"/>
  <c r="H66" i="33"/>
  <c r="H69" i="33"/>
  <c r="H37" i="33"/>
  <c r="I38" i="33"/>
  <c r="B41" i="38" l="1"/>
  <c r="C41" i="38"/>
  <c r="D41" i="38"/>
  <c r="B42" i="38"/>
  <c r="C42" i="38"/>
  <c r="D42" i="38"/>
  <c r="L43" i="37" l="1"/>
  <c r="M42" i="37"/>
  <c r="M41" i="37"/>
  <c r="M40" i="37"/>
  <c r="M39" i="37"/>
  <c r="M38" i="37"/>
  <c r="M37" i="37"/>
  <c r="M36" i="37"/>
  <c r="E3" i="51"/>
  <c r="L36" i="37"/>
  <c r="E9" i="51"/>
  <c r="L42" i="37"/>
  <c r="E7" i="51"/>
  <c r="L40" i="37"/>
  <c r="E6" i="51"/>
  <c r="L39" i="37"/>
  <c r="E5" i="51"/>
  <c r="L38" i="37"/>
  <c r="E4" i="51"/>
  <c r="L37" i="37"/>
  <c r="E42" i="38"/>
  <c r="M43" i="37"/>
  <c r="E8" i="51"/>
  <c r="L41" i="37"/>
  <c r="E10" i="51"/>
  <c r="E41" i="38"/>
  <c r="Q102" i="37"/>
  <c r="R102" i="37"/>
  <c r="S102" i="37"/>
  <c r="T102" i="37"/>
  <c r="U102" i="37"/>
  <c r="V102" i="37"/>
  <c r="W102" i="37"/>
  <c r="X102" i="37"/>
  <c r="Y102" i="37"/>
  <c r="Z102" i="37"/>
  <c r="Q103" i="37"/>
  <c r="R103" i="37"/>
  <c r="S103" i="37"/>
  <c r="T103" i="37"/>
  <c r="U103" i="37"/>
  <c r="V103" i="37"/>
  <c r="W103" i="37"/>
  <c r="X103" i="37"/>
  <c r="Y103" i="37"/>
  <c r="Z103" i="37"/>
  <c r="Q104" i="37"/>
  <c r="R104" i="37"/>
  <c r="S104" i="37"/>
  <c r="T104" i="37"/>
  <c r="U104" i="37"/>
  <c r="V104" i="37"/>
  <c r="W104" i="37"/>
  <c r="X104" i="37"/>
  <c r="Y104" i="37"/>
  <c r="Z104" i="37"/>
  <c r="Q105" i="37"/>
  <c r="R105" i="37"/>
  <c r="S105" i="37"/>
  <c r="T105" i="37"/>
  <c r="U105" i="37"/>
  <c r="V105" i="37"/>
  <c r="W105" i="37"/>
  <c r="X105" i="37"/>
  <c r="Y105" i="37"/>
  <c r="Z105" i="37"/>
  <c r="Q106" i="37"/>
  <c r="R106" i="37"/>
  <c r="S106" i="37"/>
  <c r="T106" i="37"/>
  <c r="U106" i="37"/>
  <c r="V106" i="37"/>
  <c r="W106" i="37"/>
  <c r="X106" i="37"/>
  <c r="Y106" i="37"/>
  <c r="Z106" i="37"/>
  <c r="Q107" i="37"/>
  <c r="R107" i="37"/>
  <c r="S107" i="37"/>
  <c r="T107" i="37"/>
  <c r="U107" i="37"/>
  <c r="V107" i="37"/>
  <c r="W107" i="37"/>
  <c r="X107" i="37"/>
  <c r="Y107" i="37"/>
  <c r="Z107" i="37"/>
  <c r="Q108" i="37"/>
  <c r="R108" i="37"/>
  <c r="S108" i="37"/>
  <c r="T108" i="37"/>
  <c r="U108" i="37"/>
  <c r="V108" i="37"/>
  <c r="W108" i="37"/>
  <c r="X108" i="37"/>
  <c r="Y108" i="37"/>
  <c r="Z108" i="37"/>
  <c r="Q109" i="37"/>
  <c r="B105" i="38" s="1"/>
  <c r="E100" i="33" s="1"/>
  <c r="R109" i="37"/>
  <c r="S109" i="37"/>
  <c r="T109" i="37"/>
  <c r="E105" i="38" s="1"/>
  <c r="H100" i="33" s="1"/>
  <c r="U109" i="37"/>
  <c r="F105" i="38" s="1"/>
  <c r="I100" i="33" s="1"/>
  <c r="V109" i="37"/>
  <c r="W109" i="37"/>
  <c r="C106" i="38" s="1"/>
  <c r="F101" i="33" s="1"/>
  <c r="X109" i="37"/>
  <c r="D106" i="38" s="1"/>
  <c r="G101" i="33" s="1"/>
  <c r="Y109" i="37"/>
  <c r="E106" i="38" s="1"/>
  <c r="H101" i="33" s="1"/>
  <c r="Z109" i="37"/>
  <c r="J25" i="37"/>
  <c r="K3" i="51" s="1"/>
  <c r="M25" i="37"/>
  <c r="J26" i="37"/>
  <c r="K4" i="51" s="1"/>
  <c r="D29" i="37"/>
  <c r="J7" i="51" s="1"/>
  <c r="J29" i="37"/>
  <c r="K7" i="51" s="1"/>
  <c r="M29" i="37"/>
  <c r="J30" i="37"/>
  <c r="K8" i="51" s="1"/>
  <c r="M30" i="37"/>
  <c r="J28" i="37"/>
  <c r="K6" i="51" s="1"/>
  <c r="M28" i="37"/>
  <c r="D28" i="37"/>
  <c r="J6" i="51" s="1"/>
  <c r="J31" i="37"/>
  <c r="K9" i="51" s="1"/>
  <c r="M31" i="37"/>
  <c r="J27" i="37"/>
  <c r="K5" i="51" s="1"/>
  <c r="J32" i="37"/>
  <c r="M32" i="37"/>
  <c r="D105" i="38" l="1"/>
  <c r="G100" i="33" s="1"/>
  <c r="F106" i="38"/>
  <c r="I101" i="33" s="1"/>
  <c r="B106" i="38"/>
  <c r="E101" i="33" s="1"/>
  <c r="C105" i="38"/>
  <c r="F100" i="33" s="1"/>
  <c r="D37" i="38"/>
  <c r="G28" i="37"/>
  <c r="G29" i="37"/>
  <c r="G25" i="37"/>
  <c r="D25" i="37"/>
  <c r="J3" i="51" s="1"/>
  <c r="G30" i="37"/>
  <c r="D30" i="37"/>
  <c r="J8" i="51" s="1"/>
  <c r="G31" i="37"/>
  <c r="D31" i="37"/>
  <c r="J9" i="51" s="1"/>
  <c r="G26" i="37"/>
  <c r="D26" i="37"/>
  <c r="J4" i="51" s="1"/>
  <c r="K10" i="51"/>
  <c r="D36" i="38"/>
  <c r="M27" i="37"/>
  <c r="G27" i="37"/>
  <c r="D27" i="37"/>
  <c r="J5" i="51" s="1"/>
  <c r="M26" i="37"/>
  <c r="G32" i="37" l="1"/>
  <c r="D35" i="38" s="1"/>
  <c r="D32" i="37"/>
  <c r="J10" i="51" l="1"/>
  <c r="D34" i="38"/>
  <c r="AQ16" i="37" l="1"/>
  <c r="AQ20" i="37"/>
  <c r="AW15" i="37"/>
  <c r="AQ15" i="37"/>
  <c r="AT19" i="37"/>
  <c r="AW19" i="37"/>
  <c r="AN15" i="37"/>
  <c r="AQ19" i="37"/>
  <c r="AQ17" i="37"/>
  <c r="AQ18" i="37"/>
  <c r="AQ14" i="37"/>
  <c r="AW14" i="37"/>
  <c r="G14" i="37"/>
  <c r="AW18" i="37"/>
  <c r="AN18" i="37"/>
  <c r="M18" i="37"/>
  <c r="M14" i="37"/>
  <c r="AT17" i="37"/>
  <c r="AW17" i="37"/>
  <c r="AN17" i="37"/>
  <c r="AT18" i="37"/>
  <c r="AT14" i="37"/>
  <c r="AN14" i="37"/>
  <c r="G18" i="37"/>
  <c r="AW20" i="37"/>
  <c r="AW16" i="37"/>
  <c r="AN20" i="37"/>
  <c r="AN16" i="37"/>
  <c r="G16" i="37"/>
  <c r="AT15" i="37"/>
  <c r="AK16" i="37"/>
  <c r="M15" i="37"/>
  <c r="AK15" i="37"/>
  <c r="M17" i="37"/>
  <c r="AW21" i="37"/>
  <c r="M19" i="37"/>
  <c r="AK19" i="37"/>
  <c r="M16" i="37"/>
  <c r="AN21" i="37"/>
  <c r="D21" i="38" s="1"/>
  <c r="I25" i="33" s="1"/>
  <c r="K25" i="33" s="1"/>
  <c r="J17" i="37"/>
  <c r="AT16" i="37"/>
  <c r="D16" i="37"/>
  <c r="C5" i="51" s="1"/>
  <c r="J19" i="37"/>
  <c r="G21" i="37"/>
  <c r="D13" i="38" s="1"/>
  <c r="I14" i="33" s="1"/>
  <c r="K14" i="33" s="1"/>
  <c r="AK20" i="37"/>
  <c r="D18" i="37"/>
  <c r="C7" i="51" s="1"/>
  <c r="AK18" i="37"/>
  <c r="J18" i="37"/>
  <c r="D19" i="37"/>
  <c r="C8" i="51" s="1"/>
  <c r="AT21" i="37"/>
  <c r="D23" i="38" s="1"/>
  <c r="I27" i="33" s="1"/>
  <c r="K27" i="33" s="1"/>
  <c r="AK21" i="37"/>
  <c r="D20" i="38" s="1"/>
  <c r="I24" i="33" s="1"/>
  <c r="J14" i="37"/>
  <c r="M20" i="37"/>
  <c r="G19" i="37"/>
  <c r="AK14" i="37"/>
  <c r="G17" i="37"/>
  <c r="AK17" i="37"/>
  <c r="G15" i="37"/>
  <c r="D14" i="37"/>
  <c r="C3" i="51" s="1"/>
  <c r="M21" i="37"/>
  <c r="D15" i="38" s="1"/>
  <c r="I16" i="33" s="1"/>
  <c r="K16" i="33" s="1"/>
  <c r="AT20" i="37"/>
  <c r="G20" i="37"/>
  <c r="D21" i="37"/>
  <c r="D17" i="37"/>
  <c r="C6" i="51" s="1"/>
  <c r="D20" i="37"/>
  <c r="C9" i="51" s="1"/>
  <c r="D24" i="38" l="1"/>
  <c r="I28" i="33" s="1"/>
  <c r="K28" i="33" s="1"/>
  <c r="D15" i="37"/>
  <c r="C4" i="51" s="1"/>
  <c r="J21" i="37"/>
  <c r="D14" i="38" s="1"/>
  <c r="I15" i="33" s="1"/>
  <c r="K15" i="33" s="1"/>
  <c r="K19" i="33" s="1"/>
  <c r="G11" i="12" s="1"/>
  <c r="D12" i="38"/>
  <c r="I13" i="33" s="1"/>
  <c r="K13" i="33" s="1"/>
  <c r="C10" i="51"/>
  <c r="I30" i="33"/>
  <c r="K24" i="33"/>
  <c r="K30" i="33" s="1"/>
  <c r="G11" i="48" s="1"/>
  <c r="J20" i="37"/>
  <c r="J15" i="37"/>
  <c r="J16" i="37"/>
  <c r="AQ21" i="37"/>
  <c r="D22" i="38" s="1"/>
  <c r="I26" i="33" s="1"/>
  <c r="K26" i="33" s="1"/>
  <c r="AN19" i="37"/>
  <c r="I19" i="33" l="1"/>
</calcChain>
</file>

<file path=xl/sharedStrings.xml><?xml version="1.0" encoding="utf-8"?>
<sst xmlns="http://schemas.openxmlformats.org/spreadsheetml/2006/main" count="1573" uniqueCount="913">
  <si>
    <t>Reduced sight loss</t>
  </si>
  <si>
    <t>New CVIs per 100,000 Welsh residents with AMD aged 65+</t>
  </si>
  <si>
    <t>New CVIs per 100,000 Welsh residents with diabetic eye disease aged 12+</t>
  </si>
  <si>
    <t>2015-16</t>
  </si>
  <si>
    <t>2014-15</t>
  </si>
  <si>
    <t>2013-14</t>
  </si>
  <si>
    <t>2012-13</t>
  </si>
  <si>
    <t>More people have regular sight tests</t>
  </si>
  <si>
    <t>New CVIs per 100,000 Welsh residents (all ages)</t>
  </si>
  <si>
    <t>More optometry practices providing the full range of extended eye care services in the community</t>
  </si>
  <si>
    <t xml:space="preserve">People are seen within the primary and community setting, where it is clinically appropriate </t>
  </si>
  <si>
    <t>People receive appropriate access to on-going care and management of their eye condition</t>
  </si>
  <si>
    <t>Sight tests paid by NHS per 1,000 Welsh resident (all ages)</t>
  </si>
  <si>
    <t>Sight tests paid by NHS per 1,000 Welsh resident (60+)</t>
  </si>
  <si>
    <t>Sight tests paid by NHS in adults on income support per 1,000 Welsh residents (16-59)</t>
  </si>
  <si>
    <t>Number of people that have a new low vision assessment</t>
  </si>
  <si>
    <t>Number of new low vision assessments per 10,000 resident population (all ages)</t>
  </si>
  <si>
    <t>Number of new low vision assessments in people aged 60 years or over per 10,000 population aged 60 years or over</t>
  </si>
  <si>
    <t>Number of referrals from GPs to the hospital eye service</t>
  </si>
  <si>
    <t>Number of total referrals (from all sources including optometry) to the hospital eye service</t>
  </si>
  <si>
    <t>Optometry Practices</t>
  </si>
  <si>
    <t>OUT OF</t>
  </si>
  <si>
    <t>1,000 WELSH</t>
  </si>
  <si>
    <t>A SIGHT TEST PAID BY THE</t>
  </si>
  <si>
    <t xml:space="preserve"> HAD A SIGHT TEST</t>
  </si>
  <si>
    <t xml:space="preserve">RESIDENTS OVER </t>
  </si>
  <si>
    <t>Percentage of optometry practices that were accredited</t>
  </si>
  <si>
    <t>Percentage of optometry practices that were not accredited</t>
  </si>
  <si>
    <t xml:space="preserve">A D U L T S  O N </t>
  </si>
  <si>
    <t>H A D  A  S I G H T  T E S T</t>
  </si>
  <si>
    <t xml:space="preserve">T H E  A G E  O F  6 0 </t>
  </si>
  <si>
    <t>R E S I D E N T S</t>
  </si>
  <si>
    <t>P A I D  B Y  T H E  N H S</t>
  </si>
  <si>
    <t>*The Low Vision Service Wales (LVSW) aims to help people with visual impairment to remain independent by providing low vision aids such as magnifiers, and by appropriate education, referral, and rehabilitation training. Low Vision is a term used to describe a sight problem that cannot be corrected by glasses, contact lenses, or medical treatment.</t>
  </si>
  <si>
    <t>To view tables on ophthalmic statistics click the StatsWales icon on the left.</t>
  </si>
  <si>
    <t>Notes</t>
  </si>
  <si>
    <t>Sight Loss</t>
  </si>
  <si>
    <t>link.</t>
  </si>
  <si>
    <t>https://statswales.wales.gov.uk/Catalogue/Population-and-Migration/Population/Estimates/Local-Health-Boards/populationestimates-by-welshhealthboard-year</t>
  </si>
  <si>
    <t>http://gov.wales/topics/health/nhswales/plans/eye_plan/?lang=en</t>
  </si>
  <si>
    <t>A copy of the Welsh Government's 5 year plan to improve eye health in Wales can be found by clicking the link below.</t>
  </si>
  <si>
    <t>INDICATOR</t>
  </si>
  <si>
    <t>% of optometry practices were accredited to provide Eye Health Examinations Wales services</t>
  </si>
  <si>
    <t>% of optometry practices were accredited to provide Low Vision Service Wales services</t>
  </si>
  <si>
    <t>Sight Test</t>
  </si>
  <si>
    <t>footnote</t>
  </si>
  <si>
    <t>Low Vision Service</t>
  </si>
  <si>
    <t>People provided with Diabetic Retinopathy Screening Service</t>
  </si>
  <si>
    <t>Scheduled appointments</t>
  </si>
  <si>
    <t>Results reported</t>
  </si>
  <si>
    <t>Eligible Active Patients</t>
  </si>
  <si>
    <t>% of optometry practices not accredited to provide Eye Health Examinations Wales services</t>
  </si>
  <si>
    <t>% of optometry practices not accredited to provide Low Vision Service Wales services</t>
  </si>
  <si>
    <t>INCOME SUPPORT* HAD</t>
  </si>
  <si>
    <t xml:space="preserve">  </t>
  </si>
  <si>
    <t>of</t>
  </si>
  <si>
    <t xml:space="preserve"> scheduled</t>
  </si>
  <si>
    <t/>
  </si>
  <si>
    <t>Number of Examinations Carried Out</t>
  </si>
  <si>
    <t>EHEW</t>
  </si>
  <si>
    <t>WERE CARRIED</t>
  </si>
  <si>
    <t>H</t>
  </si>
  <si>
    <t>Chart 6: The percentage of scheduled DRSSW appointments whose results were reported</t>
  </si>
  <si>
    <t>DESW Appointments</t>
  </si>
  <si>
    <t>Summary</t>
  </si>
  <si>
    <t>If at any point you want to get back to this page click the home button as seen below.</t>
  </si>
  <si>
    <t>Chart 2c: Sight tests paid by NHS in adults on income support* per 1,000 Welsh residents (16-59)</t>
  </si>
  <si>
    <t>Please refer to the Notes page and to the statistical release (link below) for background information</t>
  </si>
  <si>
    <t>** The Eye Health Examination Wales (EHEW) scheme offers extended free eye examinations to groups of the population that are at greater risk of certain eye diseases and to those that may find losing their sight particularly disabling.</t>
  </si>
  <si>
    <t>Chart 2a: Sight tests paid by NHS per 1,000 Welsh residents (all ages)</t>
  </si>
  <si>
    <t>Chart 2b: Sight tests paid by NHS per 1,000 Welsh residents (60+)</t>
  </si>
  <si>
    <t>Sight tests paid by NHS per 1,000 Welsh residents (all ages)</t>
  </si>
  <si>
    <t>Sight tests paid by NHS per 1,000 Welsh residents (60+)</t>
  </si>
  <si>
    <t>EXAMS</t>
  </si>
  <si>
    <t>Note: The Eye Health Examination Wales (EHEW) scheme offers extended free eye examinations to groups of the population that are at greater risk of certain eye diseases and to those that may find losing their sight particularly disabling. The Low Vision Service Wales (LVSW) aims to help people with visual impairment to remain independent by providing low vision aids.</t>
  </si>
  <si>
    <t>*There is variation in recording practice across health boards and not all sources of referral codes are captured. Since October 2014 local health boards have been able to submit data against a larger number of referral sources, causing a rise in the number of non-GP referrals. Therefore the increase of total referrals between 2013-14 and 2014-15 may not be a true increase, but it may be an increase due to the expansion of the referral source codes used.</t>
  </si>
  <si>
    <t>Number of people that have a low vision assessment</t>
  </si>
  <si>
    <t>Number of low vision assessments per 10,000 resident population (all ages)</t>
  </si>
  <si>
    <t>Number of low vision assessments in people aged 60 years or over per 10,000 population aged 60 years or over</t>
  </si>
  <si>
    <t xml:space="preserve"> DESW appointments</t>
  </si>
  <si>
    <t>The release can be found on the research and statistics page of the Welsh Government website or by clicking here:</t>
  </si>
  <si>
    <t>2016-17</t>
  </si>
  <si>
    <t>Betsi Cadwaladr University</t>
  </si>
  <si>
    <t>Powys Teaching</t>
  </si>
  <si>
    <t>Hywel Dda University</t>
  </si>
  <si>
    <t>Cwm Taf University</t>
  </si>
  <si>
    <t>Aneurin Bevan University</t>
  </si>
  <si>
    <t>Cardiff &amp; Vale University</t>
  </si>
  <si>
    <t>Wales</t>
  </si>
  <si>
    <t>New CVIs per 100,000 Welsh residents with glaucoma aged 40+</t>
  </si>
  <si>
    <t>Chart 1c shows that the number of new CVIs with glaucoma per 100,000 Welsh residents aged 40 or older has increased by 1 since 2014-15, with there being 12 new CVIs per 100,000 Welsh residents aged 40 or older, during the 2015-16 financial year.</t>
  </si>
  <si>
    <t>Chart 1b shows that the number of new CVIs with age related macular degeneration (AMD) per 100,000 Betsi Cadwaladr residents of age 65 or over has increased by 15 since 2014-15, to reach 113 CVIs per 100,000 Betsi Cadwaladr residents of age 65 or over.</t>
  </si>
  <si>
    <t>Chart 1b shows that the number of new CVIs with age related macular degeneration (AMD) per 100,000 Welsh residents of age 65 or over has increased by 8 since 2014-15, to reach 121 CVIs per 100,000 Welsh residents of age 65 or over.</t>
  </si>
  <si>
    <t>Chart 1b shows that the number of new CVIs with age related macular degeneration (AMD) per 100,000 Powys residents of age 65 or over has increased by 39 since 2014-15, to reach 143 CVIs per 100,000 Powys residents of age 65 or over.</t>
  </si>
  <si>
    <t>Chart 1c shows that the number of new CVIs with glaucoma per 100,000 Betsi Cadwaladr residents aged 40 or older has increased by 2 since 2014-15, with there being 14 new CVIs per 100,000 Betsi Cadwaladr residents aged 40 or older, during the 2015-16 financial year.</t>
  </si>
  <si>
    <t>Chart 1c shows that the number of new CVIs with glaucoma per 100,000 Powys residents aged 40 or older has decreased by 1 since 2014-15, with there being 11 new CVIs per 100,000 Powys residents aged 40 or older, during the 2015-16 financial year.</t>
  </si>
  <si>
    <t>Chart 1c shows that the number of new CVIs with glaucoma per 100,000 Hywel Dda residents aged 40 or older has decreased by 1 since 2014-15, with there being 10 new CVIs per 100,000 Hywel Dda residents aged 40 or older, during the 2015-16 financial year.</t>
  </si>
  <si>
    <t>Chart 1c shows that the number of new CVIs with glaucoma per 100,000 ABM residents aged 40 or older has remained the same since 2014-15, with there being 11 new CVIs per 100,000 ABM residents aged 40 or older, during the 2015-16 financial year.</t>
  </si>
  <si>
    <t>Chart 1c shows that the number of new CVIs with glaucoma per 100,000 Cwm Taf residents aged 40 or older has increased by 5 since 2014-15, with there being 11 new CVIs per 100,000 Cwm Taf residents aged 40 or older, during the 2015-16 financial year.</t>
  </si>
  <si>
    <t>Chart 1c shows that the number of new CVIs with glaucoma per 100,000 Aneurin Bevan residents aged 40 or older has decreased by 3 since 2014-15, with there being 11 new CVIs per 100,000 Aneurin Bevan residents aged 40 or older, during the 2015-16 financial year.</t>
  </si>
  <si>
    <t>Chart 1c shows that the number of new CVIs with glaucoma per 100,000 Cardiff &amp; Vale residents aged 40 or older has increased by 2 since 2014-15, with there being 11 new CVIs per 100,000 Cardiff &amp; Vale residents aged 40 or older, during the 2015-16 financial year.</t>
  </si>
  <si>
    <t>Chart 1b shows that the number of new CVIs with age related macular degeneration (AMD) per 100,000 Cardiff &amp; Vale residents of age 65 or over has increased by 7 since 2014-15, to reach 107 CVIs per 100,000 Cardiff &amp; Vale residents of age 65 or over.</t>
  </si>
  <si>
    <t>Chart 1b shows that the number of new CVIs with age related macular degeneration (AMD) per 100,000 ABM residents of age 65 or over has increased by 21 since 2014-15, to reach 156 CVIs per 100,000 ABM residents of age 65 or over.</t>
  </si>
  <si>
    <t>Abertawe Bro Morgannwg (ABM) University</t>
  </si>
  <si>
    <t>1. A Certificate of Vision Impairment (CVI) contains information about the eye condition of a patient causing the sight impairment; it is sent to Moorfields Eye Hospital who collate and analyse the data for new registrations each year.</t>
  </si>
  <si>
    <t>Note:</t>
  </si>
  <si>
    <t>Chart 1d shows that the number of new CVIs with diabetic eye disease per 100,000 Betsi Cadwaladr residents aged 12 or older has increased by 2 since 2014-15, with there being 4 new CVIs per 100,000 Betsi Cadwaladr residents aged 12 or older, during the 2015-16 financial year.</t>
  </si>
  <si>
    <t>Chart 1d shows that the number of new CVIs with diabetic eye disease per 100,000 Hywel Dda residents aged 12 or older has increased by 1 since 2014-15, with there being 3 new CVIs per 100,000 Hywel Dda residents aged 12 or older, during the 2015-16 financial year.</t>
  </si>
  <si>
    <t>Chart 1d shows that the number of new CVIs with diabetic eye disease per 100,000 ABM residents aged 12 or older has increased by 1 since 2014-15, with there being 6 new CVIs per 100,000 ABM residents aged 12 or older, during the 2015-16 financial year.</t>
  </si>
  <si>
    <t>Chart 1d shows that the number of new CVIs with diabetic eye disease per 100,000 Aneurin Bevan residents aged 12 or older has decreased by 2 since 2014-15, with there being 3 new CVIs per 100,000 Aneurin Bevan residents aged 12 or older, during the 2015-16 financial year.</t>
  </si>
  <si>
    <t>Chart 1d shows that the number of new CVIs with diabetic eye disease per 100,000 Welsh residents aged 12 or older has increased by 1 since 2014-15, with there being 4 new CVIs per 100,000 Welsh residents aged 12 or older, during the 2015-16 financial year.</t>
  </si>
  <si>
    <t>Chart 1d shows that the number of new CVIs with diabetic eye disease per 100,000 Powys residents aged 12 or older has decreased by 2 since 2013-14, with there being 5 new CVIs per 100,000 Powys residents aged 12 or older, during the 2015-16 financial year. The value for 2014-15 is disclosive or not sufficiently robust for publication.</t>
  </si>
  <si>
    <t>Chart 1d shows that the number of new CVIs with diabetic eye disease per 100,000 Cardiff &amp; Vale residents aged 12 or older is 2 for the 2015-16 financial year. The values for 2013-14 and 2014-15 are disclosive or not sufficiently robust for publication.</t>
  </si>
  <si>
    <t>Analysis</t>
  </si>
  <si>
    <t>Sight Tests</t>
  </si>
  <si>
    <t>Drop down box options</t>
  </si>
  <si>
    <t>Chart titles</t>
  </si>
  <si>
    <t>Referrals</t>
  </si>
  <si>
    <t>LVS</t>
  </si>
  <si>
    <t>DESW</t>
  </si>
  <si>
    <t>Sight tests paid by NHS per 1,000 Betsi Cadwaladr residents (all ages)</t>
  </si>
  <si>
    <t>Sight tests paid by NHS per 1,000 Betsi Cadwaladr residents (60+)</t>
  </si>
  <si>
    <t>Sight tests paid by NHS in adults on income support per 1,000 Betsi Cadwaladr residents (16-59)</t>
  </si>
  <si>
    <t>Number of Eye Examinations Carried Out in Betsi Cadwaladr</t>
  </si>
  <si>
    <t>Sight tests paid by NHS per 1,000 Powys residents (all ages)</t>
  </si>
  <si>
    <t>Sight tests paid by NHS per 1,000 Powys residents (60+)</t>
  </si>
  <si>
    <t>Sight tests paid by NHS in adults on income support per 1,000 Powys residents (16-59)</t>
  </si>
  <si>
    <t>Number of Eye Examinations Carried Out in Powys</t>
  </si>
  <si>
    <t>Sight tests paid by NHS per 1,000 Hywel Dda residents (all ages)</t>
  </si>
  <si>
    <t>Sight tests paid by NHS per 1,000 Hywel Dda residents (60+)</t>
  </si>
  <si>
    <t>Sight tests paid by NHS in adults on income support per 1,000 Hywel Dda residents (16-59)</t>
  </si>
  <si>
    <t>Number of Eye Examinations Carried Out in Hywel Dda</t>
  </si>
  <si>
    <t>Sight tests paid by NHS per 1,000 ABM residents (all ages)</t>
  </si>
  <si>
    <t>Sight tests paid by NHS per 1,000 ABM residents (60+)</t>
  </si>
  <si>
    <t>Sight tests paid by NHS in adults on income support per 1,000 ABM residents (16-59)</t>
  </si>
  <si>
    <t>Number of Eye Examinations Carried Out in ABM</t>
  </si>
  <si>
    <t>Sight tests paid by NHS per 1,000 Cwm Taf residents (all ages)</t>
  </si>
  <si>
    <t>Sight tests paid by NHS per 1,000 Cwm Taf residents (60+)</t>
  </si>
  <si>
    <t>Sight tests paid by NHS in adults on income support per 1,000 Cwm Taf residents (16-59)</t>
  </si>
  <si>
    <t>Number of Eye Examinations Carried Out in Cwm Taf</t>
  </si>
  <si>
    <t>Sight tests paid by NHS per 1,000 Aneurin Bevan residents (all ages)</t>
  </si>
  <si>
    <t>Sight tests paid by NHS per 1,000 Aneurin Bevan residents (60+)</t>
  </si>
  <si>
    <t>Sight tests paid by NHS in adults on income support per 1,000 Aneurin Bevan residents (16-59)</t>
  </si>
  <si>
    <t>Number of Eye Examinations Carried Out in Aneurin Bevan</t>
  </si>
  <si>
    <t>Sight tests paid by NHS per 1,000 Cardiff &amp; Vale residents (all ages)</t>
  </si>
  <si>
    <t>Sight tests paid by NHS per 1,000 Cardiff &amp; Vale residents (60+)</t>
  </si>
  <si>
    <t>Sight tests paid by NHS in adults on income support per 1,000 Cardiff &amp; Vale residents (16-59)</t>
  </si>
  <si>
    <t>Number of Eye Examinations Carried Out in Cardiff &amp; Vale</t>
  </si>
  <si>
    <t>Number of Eye Examinations Carried Out in Wales</t>
  </si>
  <si>
    <t>Chart 2a: Sight tests paid by NHS per 1,000 Betsi Cadwaladr residents (all ages)</t>
  </si>
  <si>
    <t>Chart 2b: Sight tests paid by NHS per 1,000 Betsi Cadwaladr residents (60+)</t>
  </si>
  <si>
    <t>Chart 2c: Sight tests paid by NHS in adults on income support* per 1,000 Betsi Cadwaladr residents (16-59)</t>
  </si>
  <si>
    <t>Chart 2a: Sight tests paid by NHS per 1,000 Powys residents (all ages)</t>
  </si>
  <si>
    <t>Chart 2b: Sight tests paid by NHS per 1,000 Powys residents (60+)</t>
  </si>
  <si>
    <t>Chart 2c: Sight tests paid by NHS in adults on income support* per 1,000 Powys residents (16-59)</t>
  </si>
  <si>
    <t>Chart 2a: Sight tests paid by NHS per 1,000 Hywel Dda residents (all ages)</t>
  </si>
  <si>
    <t>Chart 2b: Sight tests paid by NHS per 1,000 Hywel Dda residents (60+)</t>
  </si>
  <si>
    <t>Chart 2c: Sight tests paid by NHS in adults on income support* per 1,000 Hywel Dda residents (16-59)</t>
  </si>
  <si>
    <t>Chart 2a: Sight tests paid by NHS per 1,000 ABM residents (all ages)</t>
  </si>
  <si>
    <t>Chart 2b: Sight tests paid by NHS per 1,000 ABM residents (60+)</t>
  </si>
  <si>
    <t>Chart 2c: Sight tests paid by NHS in adults on income support* per 1,000 ABM residents (16-59)</t>
  </si>
  <si>
    <t>Chart 2a: Sight tests paid by NHS per 1,000 Cwm Taf residents (all ages)</t>
  </si>
  <si>
    <t>Chart 2b: Sight tests paid by NHS per 1,000 Cwm Taf residents (60+)</t>
  </si>
  <si>
    <t>Chart 2c: Sight tests paid by NHS in adults on income support* per 1,000 Cwm Taf residents (16-59)</t>
  </si>
  <si>
    <t>Chart 2a: Sight tests paid by NHS per 1,000 Aneurin Bevan residents (all ages)</t>
  </si>
  <si>
    <t>Chart 2b: Sight tests paid by NHS per 1,000 Aneurin Bevan residents (60+)</t>
  </si>
  <si>
    <t>Chart 2c: Sight tests paid by NHS in adults on income support* per 1,000 Aneurin Bevan residents (16-59)</t>
  </si>
  <si>
    <t>Chart 2a: Sight tests paid by NHS per 1,000 Cardiff &amp; Vale residents (all ages)</t>
  </si>
  <si>
    <t>Chart 2b: Sight tests paid by NHS per 1,000 Cardiff &amp; Vale residents (60+)</t>
  </si>
  <si>
    <t>Chart 2c: Sight tests paid by NHS in adults on income support* per 1,000 Cardiff &amp; Vale residents (16-59)</t>
  </si>
  <si>
    <t>Other</t>
  </si>
  <si>
    <t xml:space="preserve"> IN 2016-17</t>
  </si>
  <si>
    <t>OUT IN BETSI CADWALADR</t>
  </si>
  <si>
    <t>OUT IN POWYS</t>
  </si>
  <si>
    <t>OUT IN HYWEL DDA</t>
  </si>
  <si>
    <t>OUT IN ABM</t>
  </si>
  <si>
    <t>OUT IN CWM TAF</t>
  </si>
  <si>
    <t>OUT IN ANEURIN BEVAN</t>
  </si>
  <si>
    <t>OUT IN CARDIFF &amp; VALE</t>
  </si>
  <si>
    <t>OUT IN WALES</t>
  </si>
  <si>
    <t>1,000 BETSI CADWALADR</t>
  </si>
  <si>
    <t>1,000 POWYS</t>
  </si>
  <si>
    <t>1,000 HYWEL DDA</t>
  </si>
  <si>
    <t>1,000 ABM</t>
  </si>
  <si>
    <t>1,000 CWM TAF</t>
  </si>
  <si>
    <t>1,000 ANEURIN BEVAN</t>
  </si>
  <si>
    <t>1,000 CARDIFF &amp; VALE</t>
  </si>
  <si>
    <t>IN 2016/17 FINANCIAL YEAR</t>
  </si>
  <si>
    <t>PAID BY THE NHS IN 2016/17</t>
  </si>
  <si>
    <t>NHS IN 2016/17 FINANCIAL YEAR</t>
  </si>
  <si>
    <t>ONS mid year estimates of population are used in this dashboard; for 2016-17 the 2015 mid year estimates have been used. These estimates are published on statsWales here:</t>
  </si>
  <si>
    <t>Workforce</t>
  </si>
  <si>
    <t>Male</t>
  </si>
  <si>
    <t>Female</t>
  </si>
  <si>
    <t>Optometrist</t>
  </si>
  <si>
    <t>Ophthalmic Medical Practitioner</t>
  </si>
  <si>
    <t>Total</t>
  </si>
  <si>
    <t>Disability Registers</t>
  </si>
  <si>
    <t>Sight impaired only</t>
  </si>
  <si>
    <t>Hearing impaired only</t>
  </si>
  <si>
    <t>Under 18</t>
  </si>
  <si>
    <t>18-64</t>
  </si>
  <si>
    <t>65 and over</t>
  </si>
  <si>
    <t>Hearing and sight impaired</t>
  </si>
  <si>
    <t>Hearing Aid Waiting Times</t>
  </si>
  <si>
    <t>≤8 weeks</t>
  </si>
  <si>
    <t>&gt;8 &amp; ≤14 weeks</t>
  </si>
  <si>
    <t>&gt;14 &amp; ≤24 weeks</t>
  </si>
  <si>
    <t>&gt;24 weeks</t>
  </si>
  <si>
    <t>Number of admissions (inpatients and day cases) by selected hearing related procedures</t>
  </si>
  <si>
    <t>Number of admissions by selected diagnoses relating to hearing loss</t>
  </si>
  <si>
    <t>Hospital Admissions</t>
  </si>
  <si>
    <t>Number of admissions for procedures relating to hearing loss in Wales by LHB</t>
  </si>
  <si>
    <t>Number of admissions for diagnosis's relating to hearing loss in Wales by LHB</t>
  </si>
  <si>
    <t>2011-12</t>
  </si>
  <si>
    <t>(invitations) had results</t>
  </si>
  <si>
    <t>reported in 2016-17</t>
  </si>
  <si>
    <t>The percentage of scheduled DESW appointments where results were reported increased by 3 percentage points between the 2015-16 and 2016-17 financial years for Wales.</t>
  </si>
  <si>
    <t>The percentage of scheduled DESW appointments where results were reported increased by 4 percentage points between the 2015-16 and 2016-17 financial years for Betsi Cadwaladr.</t>
  </si>
  <si>
    <t>The percentage of scheduled DESW appointments where results were reported decreased by 15 percentage points between the 2015-16 and 2016-17 financial years for Powys.</t>
  </si>
  <si>
    <t>The percentage of scheduled DESW appointments where results were reported increased by 1 percentage points between the 2015-16 and 2016-17 financial years for Hywel Dda.</t>
  </si>
  <si>
    <t>The percentage of scheduled DESW appointments where results were reported increased by 8 percentage points between the 2015-16 and 2016-17 financial years for ABM.</t>
  </si>
  <si>
    <t>The percentage of scheduled DESW appointments where results were reported increased by 2 percentage points between the 2015-16 and 2016-17 financial years for Cwm Taf.</t>
  </si>
  <si>
    <t>The percentage of scheduled DESW appointments where results were reported increased by 1 percentage points between the 2015-16 and 2016-17 financial years for Aneurin Bevan.</t>
  </si>
  <si>
    <t>The percentage of scheduled DESW appointments where results were reported increased by 6 percentage points between the 2015-16 and 2016-17 financial years for Cardiff &amp; Vale.</t>
  </si>
  <si>
    <t>people in</t>
  </si>
  <si>
    <t>are registered as</t>
  </si>
  <si>
    <t>sight impaired,</t>
  </si>
  <si>
    <t>hearing impaired or both</t>
  </si>
  <si>
    <t>Cardiff &amp; Vale</t>
  </si>
  <si>
    <t>Aneurin Bevan</t>
  </si>
  <si>
    <t>Betsi Cadwaladr</t>
  </si>
  <si>
    <t>Powys</t>
  </si>
  <si>
    <t>Hwyel Dda</t>
  </si>
  <si>
    <t>Cwm Taf</t>
  </si>
  <si>
    <t>Number of admissions (inpatients and day cases) due to selected hearing related procedures</t>
  </si>
  <si>
    <t>Number of admissions due to selected diagnoses relating to hearing loss</t>
  </si>
  <si>
    <t>Sight tests paid by NHS per 1,000 Welsh resident (&lt;16)</t>
  </si>
  <si>
    <t>Sight tests paid by NHS per 1,000 Betsi Cadwaladr residents (&lt;16)</t>
  </si>
  <si>
    <t>Chart 2e: Number of Examinations Carried Out** in Betsi Cadwaladr</t>
  </si>
  <si>
    <t>Chart 2e: Number of Examinations Carried Out** in Powys</t>
  </si>
  <si>
    <t>Chart 2e: Number of Examinations Carried Out** in Hywel Dda</t>
  </si>
  <si>
    <t>Chart 2e: Number of Examinations Carried Out** in ABM</t>
  </si>
  <si>
    <t>Chart 2e: Number of Examinations Carried Out** in Cwm Taf</t>
  </si>
  <si>
    <t>Chart 2e: Number of Examinations Carried Out** in Aneurin Bevan</t>
  </si>
  <si>
    <t>Chart 2e: Number of Examinations Carried Out** in Cardiff &amp; Vale</t>
  </si>
  <si>
    <t>Chart 2e: Number of Examinations Carried Out** in Wales</t>
  </si>
  <si>
    <t>Chart 2d: Sight tests paid by NHS per 1,000 Betsi Cadwaladr residents (&lt;16)</t>
  </si>
  <si>
    <t>Chart 2d: Sight tests paid by NHS per 1,000 Powys residents (&lt;16)</t>
  </si>
  <si>
    <t>Chart 2d: Sight tests paid by NHS per 1,000 Hywel Dda residents (&lt;16)</t>
  </si>
  <si>
    <t>Chart 2d: Sight tests paid by NHS per 1,000 ABM residents (&lt;16)</t>
  </si>
  <si>
    <t>Chart 2d: Sight tests paid by NHS per 1,000 Cwm Taf residents (&lt;16)</t>
  </si>
  <si>
    <t>Chart 2d: Sight tests paid by NHS per 1,000 Aneurin Bevan residents (&lt;16)</t>
  </si>
  <si>
    <t>Chart 2d: Sight tests paid by NHS per 1,000 Cardiff &amp; Vale residents (&lt;16)</t>
  </si>
  <si>
    <t>Chart 2d: Sight tests paid by NHS per 1,000 Welsh residents (&lt;16)</t>
  </si>
  <si>
    <t>RESIDENTS UNDER</t>
  </si>
  <si>
    <t xml:space="preserve">T H E  A G E  O F  1 6 </t>
  </si>
  <si>
    <t>Number of Hospital admissions for cataract procedures (1st and 2nd eye)</t>
  </si>
  <si>
    <t>Number of outpatient attendances (new) for ophthalmology</t>
  </si>
  <si>
    <t>Number of outpatient attendances (follow up) for ophthalmology</t>
  </si>
  <si>
    <t>Number of outpatient attendances (new and follow up) for ophthalmology</t>
  </si>
  <si>
    <t>Number of hospital admissions for cataract procedures (1st and 2nd eye)</t>
  </si>
  <si>
    <t>note</t>
  </si>
  <si>
    <t>Note: Selected hearing related procedures include clearance of external auditory canal, attachment of bone anchored hearing prosthesis, repair of ear drum, drainage of middle ear, reconstruction of ossicular chain, other operations on ossicle of ear, operations on Eustachian canal, operations on inner ear, operations on cochlea, hearing/balance assessments and other operations.</t>
  </si>
  <si>
    <t>Note: Selected diagnoses relating to hearing loss include conductive hearing loss, ototoxic hearing loss, congentital absence of (ear) auricle, macrotia, microtia, macrostomia, microstomia, mandibulofacial dysostosis, osteogenesis imperfecta, injury of acoustic nerve and otitic barotrauma.</t>
  </si>
  <si>
    <t>Sight impaired without hearing impairment</t>
  </si>
  <si>
    <t>Severely sight impaired with hearing impairment</t>
  </si>
  <si>
    <t>Severly sight impaired without hearing impairment</t>
  </si>
  <si>
    <t>Deaf without sight impairment</t>
  </si>
  <si>
    <t>Overview</t>
  </si>
  <si>
    <t>All sight impaired without hearing impairment</t>
  </si>
  <si>
    <t>Hard of hearing without sight impairment</t>
  </si>
  <si>
    <t>Hearing impairment without sight impairment</t>
  </si>
  <si>
    <t>Severly sight impaired with hearing impairment</t>
  </si>
  <si>
    <t>Sight impaired deaf</t>
  </si>
  <si>
    <t>Sight impaired hard of hearing</t>
  </si>
  <si>
    <t xml:space="preserve">Severely sight impaired without hearing impairment </t>
  </si>
  <si>
    <t xml:space="preserve">Sight impaired - Deaf </t>
  </si>
  <si>
    <t xml:space="preserve">Sight impaired - Hard of hearing </t>
  </si>
  <si>
    <t xml:space="preserve">Sight impaired - Other including sight impaired and physically disabled </t>
  </si>
  <si>
    <t xml:space="preserve">Without Visual Disability - Deaf </t>
  </si>
  <si>
    <t xml:space="preserve">Without Visual Disability - Hard of hearing </t>
  </si>
  <si>
    <t>sight impaired</t>
  </si>
  <si>
    <t>hearing impaired</t>
  </si>
  <si>
    <t>both hearing</t>
  </si>
  <si>
    <t>and sight impaired</t>
  </si>
  <si>
    <t>All hearing impairment without sight impairment</t>
  </si>
  <si>
    <t>without a sight impairment</t>
  </si>
  <si>
    <t>without a hearing impairment</t>
  </si>
  <si>
    <t>Deaf and sight impaired</t>
  </si>
  <si>
    <t>Hard of hearing and sight impaired</t>
  </si>
  <si>
    <t>More detail of sight impaired only</t>
  </si>
  <si>
    <t>More detail of hearing impairment only</t>
  </si>
  <si>
    <t>More detail of sight and hearing impairments</t>
  </si>
  <si>
    <t>Number of Ophthalmic Practitioners by gender</t>
  </si>
  <si>
    <t>Number of Ophthalmic Practitioners by type</t>
  </si>
  <si>
    <t xml:space="preserve">Ophthalmology doctors directly employed by the NHS </t>
  </si>
  <si>
    <t xml:space="preserve">Ophthalmology </t>
  </si>
  <si>
    <t xml:space="preserve">Audiovestibular Medicine </t>
  </si>
  <si>
    <t xml:space="preserve">Otolaryngology </t>
  </si>
  <si>
    <t>Workforce (Ophthalmic Practitioners)</t>
  </si>
  <si>
    <t>Workforce (directly employed by the NHS)</t>
  </si>
  <si>
    <t>Ophthalmic Practitioners</t>
  </si>
  <si>
    <t>Workforce in the area of Audiovestibular Medicine directly employed by the NHS</t>
  </si>
  <si>
    <t>Workforce in the area of Otolaryngology directly employed by the NHS</t>
  </si>
  <si>
    <t>opthalmic</t>
  </si>
  <si>
    <t>practitioners</t>
  </si>
  <si>
    <t>were</t>
  </si>
  <si>
    <t>female</t>
  </si>
  <si>
    <t>optometrists</t>
  </si>
  <si>
    <t>in 2016</t>
  </si>
  <si>
    <t>By gender analysis</t>
  </si>
  <si>
    <t>By type analysis</t>
  </si>
  <si>
    <t>Ophthamlology analysis</t>
  </si>
  <si>
    <t>Audiovestibular medicine analysis</t>
  </si>
  <si>
    <t>Otolaryngolory analysis</t>
  </si>
  <si>
    <t>The number of male ophthalmic practitioners in Betsi Cadwaladr in 2016 decreased from the figure in 2015 while the number of females increased. This lead to an overall decrease in the number of ophthalmic practitioners in Betsi Cadwaladr in 2016.</t>
  </si>
  <si>
    <t>The number of male ophthalmic practitioners in Cwm Taf in 2016 increased from the figure in 2015 while the number of females decreased. This lead to an overall decrease in the number of ophthalmic practitioners in Cwm Taf in 2016.</t>
  </si>
  <si>
    <t>The number of male ophthalmic practitioners in Wales in 2016 decreased from the figure in 2015 while the number of females increased. This lead to an overall increase in the number of ophthalmic practitioners in Wales in 2016.</t>
  </si>
  <si>
    <t>The number of male ophthalmic practitioners in Aneurin Bevan in 2016 remained the same as the figure in 2015 while the number of females increased. This lead to an overall increase in the number of ophthalmic practitioners in Aneurin Bevan in 2016.</t>
  </si>
  <si>
    <t>The number of optometrists in Betsi Cadwaladr in 2016 decreased from the figure in 2015 while the number of ophthalmic medical practitioners remained the same. This lead to an overall decrease in the number of ophthalmic practitioners in Betsi Cadwaladr in 2016.</t>
  </si>
  <si>
    <t>The number of optometrists in Cwm Taf in 2016 decreased from the figure in 2015 while the number of ophthalmic medical practitioners remained the same. This lead to an overall decrease in the number of ophthalmic practitioners in Cwm Taf in 2016.</t>
  </si>
  <si>
    <t>The number of optometrists in Aneurin Bevan in 2016 increased from the figure in 2015 while the number of ophthalmic medical practitioners remained at 0. This lead to an overall increase in the number of ophthalmic practitioners in Aneurin Bevan in 2016.</t>
  </si>
  <si>
    <t>The number of optometrists in Wales in 2016 increased from the figure in 2015 while the number of ophthalmic medical practitioners decreased. This lead to an overall increase in the number of ophthalmic practitioners in Wales in 2016.</t>
  </si>
  <si>
    <t>Welcome to the Sensory Health Dashboard, an interactive tool designed to aid users in interpreting statistics from this year's Sensory Health: Eye Care and Hearing Statistics release.</t>
  </si>
  <si>
    <t>To view the latest Sensory Health statistical release click here.</t>
  </si>
  <si>
    <t>This dashboard has been produced in alignment with the Sensory Health: Eye Care and Hearing Statistics, 2016-17</t>
  </si>
  <si>
    <t>Key quality information about the statistics can be found on page 52 onwards of the release.</t>
  </si>
  <si>
    <t>Ophthalmology Waiting Times</t>
  </si>
  <si>
    <t xml:space="preserve">Up to 26 weeks </t>
  </si>
  <si>
    <t xml:space="preserve">26 to 36 weeks </t>
  </si>
  <si>
    <t xml:space="preserve">Over 36 weeks </t>
  </si>
  <si>
    <t>Closed patient pathways</t>
  </si>
  <si>
    <t>Patient pathways</t>
  </si>
  <si>
    <t>Waiting Times</t>
  </si>
  <si>
    <t xml:space="preserve">Closed - Up to 26 weeks </t>
  </si>
  <si>
    <t xml:space="preserve">Closed - 26 to 36 weeks </t>
  </si>
  <si>
    <t xml:space="preserve">Closed - Over 36 weeks </t>
  </si>
  <si>
    <t>Closed patient pathways for ophthalmology, by grouped weeks wait and financial year</t>
  </si>
  <si>
    <t xml:space="preserve">Patient pathways for ophthalmology waiting to start treatment, by grouped weeks wait as at 31 March </t>
  </si>
  <si>
    <t>The target waiting time in Wales is 14 weeks and on 31 March for all 5 years no patient had been waiting longer than 14 weeks in Betsi Cadwaladr.</t>
  </si>
  <si>
    <t>The target waiting time in Wales is 14 weeks and on 31 March for all 5 years no patient had been waiting longer than 14 weeks in ABM.</t>
  </si>
  <si>
    <t>The target waiting time in Wales is 14 weeks and on 31 March for all years, apart from a couple in 2015 and 1 in 2016, no patient had been waiting longer than 14 weeks in Cwm Taf.</t>
  </si>
  <si>
    <t>were treated in</t>
  </si>
  <si>
    <t xml:space="preserve"> less than 26 weeks</t>
  </si>
  <si>
    <t xml:space="preserve"> ophthalmology</t>
  </si>
  <si>
    <t xml:space="preserve"> treatment</t>
  </si>
  <si>
    <t xml:space="preserve"> patients</t>
  </si>
  <si>
    <t xml:space="preserve"> waiting for</t>
  </si>
  <si>
    <t xml:space="preserve"> as at March 2017</t>
  </si>
  <si>
    <t xml:space="preserve"> in 2016-17</t>
  </si>
  <si>
    <t>Select Health board or Wales</t>
  </si>
  <si>
    <t>Key:</t>
  </si>
  <si>
    <t>Vouchers reimbursed per 1,000 Welsh resident (all ages)</t>
  </si>
  <si>
    <t>Vouchers reimbursed per 1,000 Welsh resident (&lt;16)</t>
  </si>
  <si>
    <t>Vouchers reimbursed in adults on income support per 1,000 Welsh residents (16-59)</t>
  </si>
  <si>
    <t>Claims for repairs or replacements per 1,000 Welsh resident (all ages)</t>
  </si>
  <si>
    <t>Claims for repairs or replacements per 1,000 Welsh resident (&lt;16)</t>
  </si>
  <si>
    <t>Vouchers reimbursed and claims for repairs</t>
  </si>
  <si>
    <t>Vouchers reimbursed per 1,000 Betsi Cadwaladr residents (all ages)</t>
  </si>
  <si>
    <t>Vouchers reimbursed per 1,000 Welsh residents (&lt;16)</t>
  </si>
  <si>
    <t>Vouchers reimbursed per 1,000 Welsh residents (all ages)</t>
  </si>
  <si>
    <t>Claims for repairs or replacements per 1,000 Welsh residents (all ages)</t>
  </si>
  <si>
    <t>Claims for repairs or replacements per 1,000 Welsh residents (&lt;16)</t>
  </si>
  <si>
    <t>Vouchers reimbursed per 1,000 Betsi Cadwaladr residents (&lt;16)</t>
  </si>
  <si>
    <t>Vouchers reimbursed in adults on income support per 1,000 Betsi Cadwaladr residents (16-59)</t>
  </si>
  <si>
    <t>Claims for repairs or replacements per 1,000 Betsi Cadwaladr residents (all ages)</t>
  </si>
  <si>
    <t>Claims for repairs or replacements per 1,000 Betsi Cadwaladr residents (&lt;16)</t>
  </si>
  <si>
    <t>Vouchers reimbursed per 1,000 Powys residents (all ages)</t>
  </si>
  <si>
    <t>Vouchers reimbursed per 1,000 Powys residents (&lt;16)</t>
  </si>
  <si>
    <t>Vouchers reimbursed in adults on income support per 1,000 Powys residents (16-59)</t>
  </si>
  <si>
    <t>Claims for repairs or replacements per 1,000 Powys residents (all ages)</t>
  </si>
  <si>
    <t>Claims for repairs or replacements per 1,000 Powys residents (&lt;16)</t>
  </si>
  <si>
    <t>Vouchers reimbursed per 1,000 Hywel Dda residents (all ages)</t>
  </si>
  <si>
    <t>Vouchers reimbursed per 1,000 Hywel Dda residents (&lt;16)</t>
  </si>
  <si>
    <t>Vouchers reimbursed in adults on income support per 1,000 Hywel Dda residents (16-59)</t>
  </si>
  <si>
    <t>Claims for repairs or replacements per 1,000 Hywel Dda residents (all ages)</t>
  </si>
  <si>
    <t>Claims for repairs or replacements per 1,000 Hywel Dda residents (&lt;16)</t>
  </si>
  <si>
    <t>Vouchers reimbursed per 1,000 ABM residents (all ages)</t>
  </si>
  <si>
    <t>Vouchers reimbursed per 1,000 ABM residents (&lt;16)</t>
  </si>
  <si>
    <t>Vouchers reimbursed in adults on income support per 1,000 ABM residents (16-59)</t>
  </si>
  <si>
    <t>Claims for repairs or replacements per 1,000 ABM residents (all ages)</t>
  </si>
  <si>
    <t>Claims for repairs or replacements per 1,000 ABM residents (&lt;16)</t>
  </si>
  <si>
    <t>Vouchers reimbursed per 1,000 Cwm Taf residents (all ages)</t>
  </si>
  <si>
    <t>Vouchers reimbursed per 1,000 Cwm Taf residents (&lt;16)</t>
  </si>
  <si>
    <t>Vouchers reimbursed in adults on income support per 1,000 Cwm Taf residents (16-59)</t>
  </si>
  <si>
    <t>Claims for repairs or replacements per 1,000 Cwm Taf residents (all ages)</t>
  </si>
  <si>
    <t>Claims for repairs or replacements per 1,000 Cwm Taf residents (&lt;16)</t>
  </si>
  <si>
    <t>Vouchers reimbursed per 1,000 Aneurin Bevan residents (all ages)</t>
  </si>
  <si>
    <t>Vouchers reimbursed per 1,000 Aneurin Bevan residents (&lt;16)</t>
  </si>
  <si>
    <t>Vouchers reimbursed in adults on income support per 1,000 Aneurin Bevan residents (16-59)</t>
  </si>
  <si>
    <t>Claims for repairs or replacements per 1,000 Aneurin Bevan residents (all ages)</t>
  </si>
  <si>
    <t>Claims for repairs or replacements per 1,000 Aneurin Bevan residents (&lt;16)</t>
  </si>
  <si>
    <t>Vouchers reimbursed per 1,000 Cardiff &amp; Vale residents (all ages)</t>
  </si>
  <si>
    <t>Vouchers reimbursed per 1,000 Cardiff &amp; Vale residents (&lt;16)</t>
  </si>
  <si>
    <t>Vouchers reimbursed in adults on income support per 1,000 Cardiff &amp; Vale residents (16-59)</t>
  </si>
  <si>
    <t>Claims for repairs or replacements per 1,000 Cardiff &amp; Vale residents (all ages)</t>
  </si>
  <si>
    <t>Claims for repairs or replacements per 1,000 Cardiff &amp; Vale residents (&lt;16)</t>
  </si>
  <si>
    <t xml:space="preserve"> HAD VOUCHERS</t>
  </si>
  <si>
    <t>H A D  A  VOUCHERS</t>
  </si>
  <si>
    <t>REIMBURSED IN 2016/17</t>
  </si>
  <si>
    <t>VOUCHERS REIMBURSED</t>
  </si>
  <si>
    <t>CLAIMED FOR REPAIRS</t>
  </si>
  <si>
    <t>OR REPLACEMENTS</t>
  </si>
  <si>
    <t>OR REPLACEMENTS IN 2016/17</t>
  </si>
  <si>
    <t>R E I M B U R S E D</t>
  </si>
  <si>
    <t>EHEW Band 1</t>
  </si>
  <si>
    <t>EHEW Band 2</t>
  </si>
  <si>
    <t>EHEW Band 3</t>
  </si>
  <si>
    <t>0 - 11</t>
  </si>
  <si>
    <t>12-14</t>
  </si>
  <si>
    <t>15-19</t>
  </si>
  <si>
    <t>20-59</t>
  </si>
  <si>
    <t>60-69</t>
  </si>
  <si>
    <t>70-79</t>
  </si>
  <si>
    <t>80+</t>
  </si>
  <si>
    <t>Unknown</t>
  </si>
  <si>
    <t>EHEW Examinations</t>
  </si>
  <si>
    <t>&lt;20</t>
  </si>
  <si>
    <t>Chart 2e shows that there was an increase in the number of EHEW eye examinations carried out in Betsi Cadwaladr when comparing the figures from 2015-16 to 2016-17. A breakdown by age of patient and band of examinations of the 2016-17 EHEW examinations can be seen on the EHEW page.</t>
  </si>
  <si>
    <t>Chart 2e shows that there was an increase in the number of EHEW eye examinations carried out in Powys when comparing the figures from 2015-16 to 2016-17. A breakdown by age of patient and band of examinations of the 2016-17 EHEW examinations can be seen on the EHEW page.</t>
  </si>
  <si>
    <t>Chart 2e shows that there was an increase in the number of EHEW eye examinations carried out in Hywel Dda when comparing the figures from 2015-16 to 2016-17. A breakdown by age of patient and band of examinations of the 2016-17 EHEW examinations can be seen on the EHEW page.</t>
  </si>
  <si>
    <t>Chart 2e shows that there was an increase in the number of EHEW eye examinations carried out in ABM when comparing the figures from 2015-16 to 2016-17. A breakdown by age of patient and band of examinations of the 2016-17 EHEW examinations can be seen on the EHEW page.</t>
  </si>
  <si>
    <t>Chart 2e shows that there was an increase in the number of EHEW eye examinations carried out in Cwm Taf when comparing the figures from 2015-16 to 2016-17. A breakdown by age of patient and band of examinations of the 2016-17 EHEW examinations can be seen on the EHEW page.</t>
  </si>
  <si>
    <t>Chart 2e shows that there was an increase in the number of EHEW eye examinations carried out in Aneurin Bevan when comparing the figures from 2015-16 to 2016-17. A breakdown by age of patient and band of examinations of the 2016-17 EHEW examinations can be seen on the EHEW page.</t>
  </si>
  <si>
    <t>Chart 2e shows that there was an increase in the number of EHEW eye examinations carried out in Cardiff &amp; Vale when comparing the figures from 2015-16 to 2016-17. A breakdown by age of patient and band of examinations of the 2016-17 EHEW examinations can be seen on the EHEW page.</t>
  </si>
  <si>
    <t>Chart 2e shows that there was an increase in the number of EHEW eye examinations carried out in Wales when comparing the figures from 2015-16 to 2016-17. A breakdown by age of patient and band of examinations of the 2016-17 EHEW examinations can be seen on the EHEW page.</t>
  </si>
  <si>
    <t>A look at the EHEW examinations carried out by year can be seen on the Sight Tests page.</t>
  </si>
  <si>
    <t>In 2016-17 there were 15,048 Band 1 examinations, 7,509 Band 2 examinations and 2,529 Band 3 Examinations in Betsi Cadwaladr.</t>
  </si>
  <si>
    <t>In 2016-17 there were 4,124 Band 1 examinations, 1,026 Band 2 examinations and 661 Band 3 Examinations in Powys.</t>
  </si>
  <si>
    <t>In 2016-17 there were 10,113 Band 1 examinations, 7,088 Band 2 examinations and 2,166 Band 3 Examinations in Hywel Dda.</t>
  </si>
  <si>
    <t>In 2016-17 there were 14,826 Band 1 examinations, 5,127 Band 2 examinations and 3,038 Band 3 Examinations in ABM.</t>
  </si>
  <si>
    <t>In 2016-17 there were 11,133 Band 1 examinations, 3,756 Band 2 examinations and 2,914 Band 3 Examinations in Cwm Taf.</t>
  </si>
  <si>
    <t>In 2016-17 there were 19,028 Band 1 examinations, 7,021 Band 2 examinations and 4,547 Band 3 Examinations in Aneurin Bevan.</t>
  </si>
  <si>
    <t>In 2016-17 there were 19,294 Band 1 examinations, 5,921 Band 2 examinations and 3,455 Band 3 Examinations in Cardiff &amp; Vale.</t>
  </si>
  <si>
    <t>In 2016-17 there were 93,566 Band 1 examinations, 37,448 Band 2 examinations and 19,310 Band 3 Examinations in Wales.</t>
  </si>
  <si>
    <t>LVSW</t>
  </si>
  <si>
    <t>Referrals to HES</t>
  </si>
  <si>
    <t>Summary sheet</t>
  </si>
  <si>
    <t xml:space="preserve">In 2015-16 there were 48 new CVIs per 100,000 Betsi Cadwaladr residents which is 10 more than in 2014-15. </t>
  </si>
  <si>
    <t xml:space="preserve">In 2015-16 there were 59 new CVIs per 100,000 Powys residents which is 15 more than in 2014-15. </t>
  </si>
  <si>
    <t xml:space="preserve">In 2015-16 there were 40 new CVIs per 100,000 Hywel Dda residents which is 2 more than in 2014-15. </t>
  </si>
  <si>
    <t xml:space="preserve">In 2015-16 there were 52 new CVIs per 100,000 ABM residents which is 3 more than in 2014-15. </t>
  </si>
  <si>
    <t xml:space="preserve">In 2015-16 there were 42 new CVIs per 100,000 Cwm Taf residents which is 3 more than in 2014-15. </t>
  </si>
  <si>
    <t xml:space="preserve">In 2015-16 there were 44 new CVIs per 100,000 Anuerin Bevan residents which is 2 more than in 2014-15. </t>
  </si>
  <si>
    <t xml:space="preserve">In 2015-16 there were 33 new CVIs per 100,000 Cardiff &amp; Vale residents which is 3 more than in 2014-15. </t>
  </si>
  <si>
    <t xml:space="preserve">In 2015-16 there were 45 new CVIs per 100,000 Welsh residents which is 5 more than in 2014-15. </t>
  </si>
  <si>
    <t>150,324 EHEW examinations were carried out in Wales in the 2016-17 financial year; this is an increase of over 28,500 from the 121,736 eye examinations in 2015-16.</t>
  </si>
  <si>
    <t>25,086 EHEW examinations were carried out in Betsi Cadwaladr in the 2016-17 financial year; this is an increase of over 3,200 from the 21,840 eye examinations in 2015-16.</t>
  </si>
  <si>
    <t>5,811 EHEW examinations were carried out in Powys in the 2016-17 financial year; this is an increase of over 1,100 from the 4,652 eye examinations in 2015-16.</t>
  </si>
  <si>
    <t>19,367 EHEW examinations were carried out in Hywel Dda in the 2016-17 financial year; this is an increase of over 3,000 from the 16,298 eye examinations in 2015-16.</t>
  </si>
  <si>
    <t>22,991 EHEW examinations were carried out in ABM in the 2016-17 financial year; this is an increase of over 6,400 from the 16,548 eye examinations in 2015-16.</t>
  </si>
  <si>
    <t>17,803 EHEW examinations were carried out in Cwm Taf in the 2016-17 financial year; this is an increase of over 4,600 from the 13,152 eye examinations in 2015-16.</t>
  </si>
  <si>
    <t>30,596 EHEW examinations were carried out in Aneurin Bevan in the 2016-17 financial year; this is an increase of over 5,600 from the 24,943 eye examinations in 2015-16.</t>
  </si>
  <si>
    <t>28,670 EHEW examinations were carried out in Cardiff &amp; Vale in the 2016-17 financial year; this is an increase of over 4,300 from the 24,303 eye examinations in 2015-16.</t>
  </si>
  <si>
    <t>The number of people in Betsi Cadwaladr who had a low vision assessment has increased over the last 5 years. In 2016-17 the figure reached 1,781 which was over 350 more assessments than in 2015-16.</t>
  </si>
  <si>
    <t>The number of people in Powys who had a low vision assessment has increased over the last 5 years. However, in 2016-17 the figure reached 315 which was 1 less than in 2015-16.</t>
  </si>
  <si>
    <t>The number of people in Hywel Dda who had a low vision assessment has increased over the last 5 years. In 2016-17 the figure reached 1,442 which was over 100 more assessments than in 2015-16.</t>
  </si>
  <si>
    <t>The number of people in ABM who had a low vision assessment has increased over the last 5 years. In 2016-17 the figure reached 1,462 which was 22 more assessments than in 2015-16.</t>
  </si>
  <si>
    <t>The number of people in Cwm Taf who had a low vision assessment has decreased over the last 5 years. In 2016-17 the figure reached 631 which was 40 less assessments than in 2015-16.</t>
  </si>
  <si>
    <t>The number of people in Aneurin Bevan who had a low vision assessment has increased over the last 5 years. In 2016-17 the figure reached 1,761 which was over 150 more assessments than in 2015-16.</t>
  </si>
  <si>
    <t>The number of people in Cardiff &amp; Vale who had a low vision assessment has increased over the last 5 years. In 2016-17 the figure reached 1,400 which was 94 more assessments than in 2015-16.</t>
  </si>
  <si>
    <t>The number of people in Wales who had a low vision assessment has increased over the last 5 years. In 2016-17 the figure reached 8,792 which was over 700 more assessments than in 2015-16.</t>
  </si>
  <si>
    <t>The number of referrals for a first ophthalmology outpatient appointment has increased over the last four years in Wales. Between 2014-15 and 2015-16 there was an increase of over 16,500 referrals from 81,515 to 98,024.</t>
  </si>
  <si>
    <t>The number of referrals for a first ophthalmology outpatient appointment has increased over the last four years in Betsi Cadwaladr. Between 2014-15 and 2015-16 there was an increase of over 3,000 referrals from 20,026 to 23,083.</t>
  </si>
  <si>
    <t>The number of referrals for a first ophthalmology outpatient appointment has increased over the last four years in Powys. Between 2014-15 and 2015-16 there was an increase of over 110 referrals from 3,189 to 3,306.</t>
  </si>
  <si>
    <t>The number of referrals for a first ophthalmology outpatient appointment has increased over the last four years in Hywel Dda. Between 2014-15 and 2015-16 there was an increase of over 470 referrals from 15,908 to 16,379.</t>
  </si>
  <si>
    <t>The number of referrals for a first ophthalmology outpatient appointment has increased over the last four years in ABM. Between 2014-15 and 2015-16 there was an increase of over 2,900 referrals from 10,390 to 13,336.</t>
  </si>
  <si>
    <t>The number of referrals for a first ophthalmology outpatient appointment has increased over the last four years in Cwm Taf. Between 2014-15 and 2015-16 there was an increase of over 2,800 referrals from 9,441 to 12,307.</t>
  </si>
  <si>
    <t>The number of referrals for a first ophthalmology outpatient appointment has increased over the last four years in Aneurin Bevan. Between 2014-15 and 2015-16 there was an increase of over 4,900 referrals from 11,513 to 16,435.</t>
  </si>
  <si>
    <t>The number of referrals for a first ophthalmology outpatient appointment has increased over the last four years in Cardiff &amp; Vale. Between 2014-15 and 2015-16 there was an increase of 2,100 referrals from 11,078 to 13,178.</t>
  </si>
  <si>
    <t>85 per cent of scheduled DESW appointments (invitations) in Wales had results reported in 2016-17</t>
  </si>
  <si>
    <t>85 per cent of scheduled DESW appointments (invitations) in Betsi Cadwaladr had results reported in 2016-17</t>
  </si>
  <si>
    <t>91 per cent of scheduled DESW appointments (invitations) in Powys had results reported in 2016-17</t>
  </si>
  <si>
    <t>84 per cent of scheduled DESW appointments (invitations) in Hywel Dda had results reported in 2016-17</t>
  </si>
  <si>
    <t>89 per cent of scheduled DESW appointments (invitations) in ABM had results reported in 2016-17</t>
  </si>
  <si>
    <t>85 per cent of scheduled DESW appointments (invitations) in Cwm Taf had results reported in 2016-17</t>
  </si>
  <si>
    <t>82 per cent of scheduled DESW appointments (invitations) in Aneurin Bevan had results reported in 2016-17</t>
  </si>
  <si>
    <t>81 per cent of scheduled DESW appointments (invitations) in Cardiff &amp; Vale had results reported in 2016-17</t>
  </si>
  <si>
    <t>There were the same number of ophthalmic practitioners in Cardiff &amp; Vale in 2016 as the previous year.</t>
  </si>
  <si>
    <t>There was an increase in the number of ophthalmic practitioners in Wales between 2015 and 2016.</t>
  </si>
  <si>
    <t>There was a decrease in the number of ophthalmic practitioners in Betsi Cadwaladr between 2015 and 2016.</t>
  </si>
  <si>
    <t>There was an increase in the number of ophthalmic practitioners in Powys between 2015 and 2016.</t>
  </si>
  <si>
    <t>There was a decrease in the number of ophthalmic practitioners in Hywel Dda between 2015 and 2016.</t>
  </si>
  <si>
    <t>There was an increase in the number of ophthalmic practitioners in ABM in 2016 between 2015 and 2016.</t>
  </si>
  <si>
    <t>There was a decrease in the number of ophthalmic practitioners in Cwm Taf between 2015 and 2016.</t>
  </si>
  <si>
    <t>There was an increase in the number of ophthalmic practitioners in Aneurin Bevan between 2015 and 2016.</t>
  </si>
  <si>
    <t>4,837 people in Betsi Cadwaladr are registered as sight impaired, hearing impaired or both.</t>
  </si>
  <si>
    <t>2,131 people in Powys are registered as sight impaired, hearing impaired or both.</t>
  </si>
  <si>
    <t>4,348 people in Hywel Dda are registered as sight impaired, hearing impaired or both.</t>
  </si>
  <si>
    <t>6,556 people in ABM are registered as sight impaired, hearing impaired or both.</t>
  </si>
  <si>
    <t>4,158 people in Cwm Taf are registered as sight impaired, hearing impaired or both.</t>
  </si>
  <si>
    <t>5,013 people in Aneurin Bevan are registered as sight impaired, hearing impaired or both.</t>
  </si>
  <si>
    <t>2,475 people in Cardiff &amp; Vale are registered as sight impaired, hearing impaired or both.</t>
  </si>
  <si>
    <t>29,518 people in Wales are registered as sight impaired, hearing impaired or both.</t>
  </si>
  <si>
    <t>The number of admissions for procedures relating to hearing loss in Betsi Cadwaladr has gone down over the 5 years, while the number of admissions for a diagnosis relating to hearing loss has increased.</t>
  </si>
  <si>
    <t>The number of admissions for procedures relating to hearing loss in Powys has gone down over the 5 years, while the number of admissions for a diagnosis relating to hearing loss has increased.</t>
  </si>
  <si>
    <t>The number of admissions for procedures relating to hearing loss in Hywel Dda has increased over the 5 years and the number of admissions for a diagnosis relating to hearing loss has also increased.</t>
  </si>
  <si>
    <t>The number of admissions for procedures relating to hearing loss in ABM has gone down over the 5 years, while the number of admissions for a diagnosis relating to hearing loss has increased.</t>
  </si>
  <si>
    <t>The number of admissions for procedures relating to hearing loss in Cwm Taf has increased over the 5 years and the number of admissions for a diagnosis relating to hearing loss has also increased.</t>
  </si>
  <si>
    <t>The number of admissions for procedures relating to hearing loss in Cardiff &amp; Vale has gone down over the 5 years, while the number of admissions for a diagnosis relating to hearing loss has increased.</t>
  </si>
  <si>
    <t>The number of admissions for procedures relating to hearing loss in Wales has gone down over the 5 years, while the number of admissions for a diagnosis relating to hearing loss has increased.</t>
  </si>
  <si>
    <t>The number of admissions for procedures relating to hearing loss in Aneurin Bevan has gone down over the 5 years, while the number of admissions for a diagnosis relating to hearing loss has increased.</t>
  </si>
  <si>
    <t>There were 4 examinations were age is unknown, these have been excluded from the chart.</t>
  </si>
  <si>
    <t>There was 1 examination were age is unknown, this has been excluded from the chart.</t>
  </si>
  <si>
    <t>There were 3 examinations were age is unknown, these have been excluded from the chart.</t>
  </si>
  <si>
    <t>There were 8 examinations were age is unknown, these have been excluded from the chart.</t>
  </si>
  <si>
    <t>There were 21 examinations were age is unknown, these have been excluded from the chart.</t>
  </si>
  <si>
    <t>Lookup:</t>
  </si>
  <si>
    <t>Chart 4a: Vouchers reimbursed per 1,000 Betsi Cadwaladr residents (all ages)</t>
  </si>
  <si>
    <t>Chart 4a: Vouchers reimbursed per 1,000 Powys residents (all ages)</t>
  </si>
  <si>
    <t>Chart 4a: Vouchers reimbursed per 1,000 Hywel Dda residents (all ages)</t>
  </si>
  <si>
    <t>Chart 4a: Vouchers reimbursed per 1,000 ABM residents (all ages)</t>
  </si>
  <si>
    <t>Chart 4a: Vouchers reimbursed per 1,000 Cwm Taf residents (all ages)</t>
  </si>
  <si>
    <t>Chart 4a: Vouchers reimbursed per 1,000 Aneurin Bevan residents (all ages)</t>
  </si>
  <si>
    <t>Chart 4a: Vouchers reimbursed per 1,000 Cardiff &amp; Vale residents (all ages)</t>
  </si>
  <si>
    <t>Chart 4a: Vouchers reimbursed per 1,000 Welsh residents (all ages)</t>
  </si>
  <si>
    <t>Chart 4b: Vouchers reimbursed per 1,000 Betsi Cadwaladr residents (&lt;16)</t>
  </si>
  <si>
    <t>Chart 4b: Vouchers reimbursed per 1,000 Powys residents (&lt;16)</t>
  </si>
  <si>
    <t>Chart 4b: Vouchers reimbursed per 1,000 Hywel Dda residents (&lt;16)</t>
  </si>
  <si>
    <t>Chart 4b: Vouchers reimbursed per 1,000 ABM residents (&lt;16)</t>
  </si>
  <si>
    <t>Chart 4b: Vouchers reimbursed per 1,000 Cwm Taf residents (&lt;16)</t>
  </si>
  <si>
    <t>Chart 4b: Vouchers reimbursed per 1,000 Aneurin Bevan residents (&lt;16)</t>
  </si>
  <si>
    <t>Chart 4b: Vouchers reimbursed per 1,000 Cardiff &amp; Vale residents (&lt;16)</t>
  </si>
  <si>
    <t>Chart 4b: Vouchers reimbursed per 1,000 Welsh residents (&lt;16)</t>
  </si>
  <si>
    <t>Chart 4c: Vouchers reimbursed in adults on income support per 1,000 Betsi Cadwaladr residents (16-59)</t>
  </si>
  <si>
    <t>Chart 4c: Vouchers reimbursed in adults on income support per 1,000 Powys residents (16-59)</t>
  </si>
  <si>
    <t>Chart 4c: Vouchers reimbursed in adults on income support per 1,000 Hywel Dda residents (16-59)</t>
  </si>
  <si>
    <t>Chart 4c: Vouchers reimbursed in adults on income support per 1,000 ABM residents (16-59)</t>
  </si>
  <si>
    <t>Chart 4c: Vouchers reimbursed in adults on income support per 1,000 Cwm Taf residents (16-59)</t>
  </si>
  <si>
    <t>Chart 4c: Vouchers reimbursed in adults on income support per 1,000 Aneurin Bevan residents (16-59)</t>
  </si>
  <si>
    <t>Chart 4c: Vouchers reimbursed in adults on income support per 1,000 Cardiff &amp; Vale residents (16-59)</t>
  </si>
  <si>
    <t>Chart 4c: Vouchers reimbursed in adults on income support per 1,000 Welsh residents (16-59)</t>
  </si>
  <si>
    <t>Chart 4d: Claims for repairs or replacements per 1,000 Betsi Cadwaladr residents (all ages)</t>
  </si>
  <si>
    <t>Chart 4d: Claims for repairs or replacements per 1,000 Powys residents (all ages)</t>
  </si>
  <si>
    <t>Chart 4d: Claims for repairs or replacements per 1,000 Hywel Dda residents (all ages)</t>
  </si>
  <si>
    <t>Chart 4d: Claims for repairs or replacements per 1,000 ABM residents (all ages)</t>
  </si>
  <si>
    <t>Chart 4d: Claims for repairs or replacements per 1,000 Cwm Taf residents (all ages)</t>
  </si>
  <si>
    <t>Chart 4d: Claims for repairs or replacements per 1,000 Aneurin Bevan residents (all ages)</t>
  </si>
  <si>
    <t>Chart 4d: Claims for repairs or replacements per 1,000 Cardiff &amp; Vale residents (all ages)</t>
  </si>
  <si>
    <t>Chart 4d: Claims for repairs or replacements per 1,000 Welsh residents (all ages)</t>
  </si>
  <si>
    <t>Chart 4e: Claims for repairs or replacements per 1,000 Betsi Cadwaladr residents (&lt;16)</t>
  </si>
  <si>
    <t>Chart 4e: Claims for repairs or replacements per 1,000 Powys residents (&lt;16)</t>
  </si>
  <si>
    <t>Chart 4e: Claims for repairs or replacements per 1,000 Hywel Dda residents (&lt;16)</t>
  </si>
  <si>
    <t>Chart 4e: Claims for repairs or replacements per 1,000 ABM residents (&lt;16)</t>
  </si>
  <si>
    <t>Chart 4e: Claims for repairs or replacements per 1,000 Cwm Taf residents (&lt;16)</t>
  </si>
  <si>
    <t>Chart 4e: Claims for repairs or replacements per 1,000 Aneurin Bevan residents (&lt;16)</t>
  </si>
  <si>
    <t>Chart 4e: Claims for repairs or replacements per 1,000 Cardiff &amp; Vale residents (&lt;16)</t>
  </si>
  <si>
    <t>Chart 4e: Claims for repairs or replacements per 1,000 Welsh residents (&lt;16)</t>
  </si>
  <si>
    <t>Chart 7a shows that the number of people in Powys who had a low vision assessment has increased over the last 5 years. However, in 2016-17 the figure reached 315 which was 1 less than in 2015-16.</t>
  </si>
  <si>
    <t>Chart 7a shows that the number of people in Hywel Dda who had a low vision assessment has increased over the last 5 years. In 2016-17 the figure reached 1,442 which was over 100 more assessments than in 2015-16.</t>
  </si>
  <si>
    <t>Chart 7a shows that the number of people in ABM who had a low vision assessment has increased over the last 5 years. In 2016-17 the figure reached 1,462 which was 22 more assessments than in 2015-16.</t>
  </si>
  <si>
    <t>Chart 7a shows that the number of people in Cardiff &amp; Vale who had a low vision assessment has increased over the last 5 years. In 2016-17 the figure reached 1,400 which was 94 more assessments than in 2015-16.</t>
  </si>
  <si>
    <t>Chart 7a shows that the number of people in Wales who had a low vision assessment has increased over the last 5 years. In 2016-17 the figure reached 8,792 which was over 700 more assessments than in 2015-16.</t>
  </si>
  <si>
    <t>Chart 7b shows that the number of low vision assessments per 10,000 Betsi Cadwaladr residents has increased over the last 5 years. 26 out of 10,000 Betsi Cadwaladr residents had a low vision assessment in 2016-17, which was an increase of 5 from the previous year.</t>
  </si>
  <si>
    <t>Chart 7b shows that the number of low vision assessments per 10,000 Powys residents has increased over the last 5 years. 24 out of 10,000 Powys residents had a low vision assessment in 2016-17, which was the same as the previous year.</t>
  </si>
  <si>
    <t>Chart 7b shows that the number of low vision assessments per 10,000 Hywel Dda residents has increased over the last 5 years. 38 out of 10,000 Hywel Dda residents had a low vision assessment in 2016-17, which was an increase of 4 from the previous year.</t>
  </si>
  <si>
    <t>Chart 7b shows that the number of low vision assessments per 10,000 ABM residents has increased over the last 5 years. 28 out of 10,000 ABM residents had a low vision assessment in 2016-17, which was the same as the previous year.</t>
  </si>
  <si>
    <t>Chart 7b shows that the number of low vision assessments per 10,000 Cwm Taf residents has decreased over the last 5 years. 21 out of 10,000 Cwm Taf residents had a low vision assessment in 2016-17, which was a decrease of 2 from the previous year.</t>
  </si>
  <si>
    <t>Chart 7b shows that the number of low vision assessments per 10,000 Aneurin Bevan residents has increased over the last 5 years. 30 out of 10,000 Aneurin Bevan residents had a low vision assessment in 2016-17, which was an increase of 3 from the previous year.</t>
  </si>
  <si>
    <t>Chart 7b shows that the number of low vision assessments per 10,000 Cardiff &amp; Vale residents has increased over the last 5 years. 29 out of 10,000 Cardiff &amp; Vale residents had a low vision assessment in 2016-17, which was an increase of 2 from the previous year.</t>
  </si>
  <si>
    <t>Chart 7b shows that the number of low vision assessments per 10,000 Welsh residents has increased over the last 5 years. 28 out of 10,000 Welsh residents had a low vision assessment in 2016-17, which was an increase of 2 from the previous year.</t>
  </si>
  <si>
    <t>Chart 7c shows that the number of low vision assessments in people in Betsi Cadwaladr aged 60 years or over (60+) per 10,000 of the 60+ population has increased. 17 more assessments for 60+ year olds per 10,000 of the 60+ population were carried out in 2016-17 than in 2015-16.</t>
  </si>
  <si>
    <t>Chart 7c shows that the number of low vision assessments in people in Powys aged 60 years or over (60+) per 10,000 of the 60+ population has increased. 2 more assessments for 60+ year olds per 10,000 of the 60+ population were carried out in 2016-17 than in 2015-16.</t>
  </si>
  <si>
    <t>Chart 7c shows that the number of low vision assessments in people in Hywel Dda aged 60 years or over (60+) per 10,000 of the 60+ population has increased. 10 more assessments for 60+ year olds per 10,000 of the 60+ population were carried out in 2016-17 than in 2015-16.</t>
  </si>
  <si>
    <t>Chart 7c shows that the number of low vision assessments in people in ABM aged 60 years or over (60+) per 10,000 of the 60+ population has decreased. 1 less assessment for 60+ year olds per 10,000 of the 60+ population was carried out in 2016-17 than in 2015-16.</t>
  </si>
  <si>
    <t>Chart 7c shows that the number of low vision assessments in people in Cwm Taf aged 60 years or over (60+) per 10,000 of the 60+ population has decreased. 6 less assessments for 60+ year olds per 10,000 of the 60+ population were carried out in 2016-17 than in 2015-16.</t>
  </si>
  <si>
    <t>Chart 7c shows that the number of low vision assessments in people in Aneurin Bevan aged 60 years or over (60+) per 10,000 of the 60+ population has increased. 11 more assessments for 60+ year olds per 10,000 of the 60+ population were carried out in 2016-17 than in 2015-16.</t>
  </si>
  <si>
    <t>Chart 7c shows that the number of low vision assessments in people in Cardiff &amp; Vale aged 60 years or over (60+) per 10,000 of the 60+ population has increased. 6 more assessments for 60+ year olds per 10,000 of the 60+ population were carried out in 2016-17 than in 2015-16.</t>
  </si>
  <si>
    <t>Chart 7c shows that the number of low vision assessments in people in Wales aged 60 years or over (60+) per 10,000 of the 60+ population has increased. 8 more assessments for 60+ year olds per 10,000 of the 60+ population were carried out in 2016-17 than in 2015-16.</t>
  </si>
  <si>
    <t>Chart 7a: Number of people who had a low vision assessment</t>
  </si>
  <si>
    <t>Chart 7b: Number of low vision assessments per 10,000 resident population (all ages)</t>
  </si>
  <si>
    <t>Chart 7c: Number of low vision assessments in people aged 60 years or over per 10,000 population aged 60 years or over</t>
  </si>
  <si>
    <t>Chart 10a shows that there are no ophthalmology doctors directly employed by the NHS in Powys.</t>
  </si>
  <si>
    <t>Chart 10a shows that the number of WTE ophthalmology doctors directly employed by the NHS in Hywel Dda has decreased since 2012. In 2016 there were 15.9 WTE ophthalmology doctors directly employed by this NHS in Hywel Dda which is 2.0 less than in 2015.</t>
  </si>
  <si>
    <t>Chart 10a shows that the number of WTE ophthalmology doctors directly employed by the NHS in ABM has decreased since 2012. In 2016 there were 27.8 WTE ophthalmology doctors directly employed by this NHS in ABM which is 0.2 less than in 2015.</t>
  </si>
  <si>
    <t>Chart 10a shows that the number of WTE ophthalmology doctors directly employed by the NHS in Cwm Taf has increased since 2012. In 2016 there were 18.0 WTE ophthalmology doctors directly employed by this NHS in Cwm Taf which is 2.5 more than in 2015.</t>
  </si>
  <si>
    <t>Chart 10a shows that the number of WTE ophthalmology doctors directly employed by the NHS in Aneurin Bevan has increased since 2012. In 2016 there were 17.1 WTE ophthalmology doctors directly employed by this NHS in Aneurin Bevan which is 1.7 less than in 2015.</t>
  </si>
  <si>
    <t>Chart 10a shows that the number of WTE ophthalmology doctors directly employed by the NHS in Cardiff &amp; Vale has decreased since 2012. In 2016 there were 24.1 WTE ophthalmology doctors directly employed by this NHS in Cardiff &amp; Vale which is 1.8 more than in 2015.</t>
  </si>
  <si>
    <t>Chart 10a shows that the number of WTE ophthalmology doctors directly employed by the NHS in Wales has decreased since 2012. In 2016 there were 137.7 WTE ophthalmology doctors directly employed by this NHS in Wales which is 3.6 more than in 2015.</t>
  </si>
  <si>
    <t>Chart 10c shows that the number of WTE staff in the area of audiovestibular medicine directly employed by the NHS in Betsi Cadwaladr has increased since 2012. In 2016 there were 1.9 WTE staff in the area of audiovestibular medicine directly employed by this NHS in Betsi Cadwaladr which is 0.2 more than in 2015.</t>
  </si>
  <si>
    <t>Chart 10c shows that there is no workforce in the area of audiovestibular medicine directly employed by the NHS in Powys.</t>
  </si>
  <si>
    <t>Chart 10c shows that there is no workforce in the area of audiovestibular medicine directly employed by the NHS in Hywel Dda.</t>
  </si>
  <si>
    <t>Chart 10c shows that there is no workforce in the area of audiovestibular medicine directly employed by the NHS in ABM.</t>
  </si>
  <si>
    <t>Chart 10c shows that there is no workforce in the area of audiovestibular medicine directly employed by the NHS in Cwm Taf.</t>
  </si>
  <si>
    <t>Chart 10c shows that there is no workforce in the area of audiovestibular medicine directly employed by the NHS in Aneurin Bevan.</t>
  </si>
  <si>
    <t>Chart 10c shows that there is no workforce in the area of audiovestibular medicine directly employed by the NHS in Cardiff &amp; Vale.</t>
  </si>
  <si>
    <t>Chart 10c shows that the number of WTE staff in the area of audiovestibular medicine directly employed by the NHS in Wales has increased since 2012. In 2016 there were 1.9 WTE staff in the area of audiovestibular medicine directly employed by this NHS in Wales which is 0.2 more than in 2015.</t>
  </si>
  <si>
    <t>Chart 10b shows that the number of WTE staff in the area of otolaryngology directly employed by the NHS in Betsi Cadwaladr has increased since 2012. In 2016 there were 28.7 WTE staff in the area of otolaryngology directly employed by this NHS in Betsi Cadwaladr which is 1.5 less than in 2015.</t>
  </si>
  <si>
    <t>Chart 10b shows that there is no workforce in the area of otolaryngology directly employed by the NHS in Powys.</t>
  </si>
  <si>
    <t>Chart 10b shows that the number of WTE staff in the area of otolaryngology directly employed by the NHS in Hywel Dda has increased since 2012. In 2016 there were 16.2 WTE staff in the area of otolaryngology directly employed by this NHS in Hywel Dda which is 0.5 more than in 2015.</t>
  </si>
  <si>
    <t>Chart 10b shows that the number of WTE staff in the area of otolaryngology directly employed by the NHS in ABM has decreased since 2012. In 2016 there were 25.8 WTE staff in the area of otolaryngology directly employed by this NHS in ABM which is 2.2 more than in 2015.</t>
  </si>
  <si>
    <t>Chart 10b shows that the number of WTE staff in the area of otolaryngology directly employed by the NHS in Cwm Taf is the same it was in 2012. In 2016 there were 17.8 WTE staff in the area of otolaryngology directly employed by this NHS in Cwm Taf which is 2.9 more than in 2015.</t>
  </si>
  <si>
    <t>Chart 10b shows that the number of WTE staff in the area of otolaryngology directly employed by the NHS in Aneurin Bevan has increased since 2012. In 2016 there were 16.7 WTE staff in the area of otolaryngology directly employed by this NHS in Aneurin Bevan which is 0.2 less than in 2015.</t>
  </si>
  <si>
    <t>Chart 10b shows that the number of WTE staff in the area of otolaryngology directly employed by the NHS in Cardiff &amp; Vale has increased since 2012. In 2016 there were 21.9 WTE staff in the area of otolaryngology directly employed by this NHS in Betsi Cadwaladr which is 2.0 more than in 2015.</t>
  </si>
  <si>
    <t xml:space="preserve">Chart 10a: Ophthalmology doctors directly employed by the NHS </t>
  </si>
  <si>
    <t>Chart 10c: Workforce in the area of Audiovestibular Medicine directly employed by the NHS</t>
  </si>
  <si>
    <t>Chart 10b: Workforce in the area of Otolaryngology directly employed by the NHS</t>
  </si>
  <si>
    <t>Chart 14a shows that the number of hospital admissions for cataract procedures (1st and 2nd eye) in Betsi Cadwaladr decreased by 627 from 2011-12 to 2015-16. While between 2014-15 and 2015-16 there was an increase of 12.</t>
  </si>
  <si>
    <t>Chart 14a shows that the number of hospital admissions for cataract procedures (1st and 2nd eye) in Powys increased by 308 from 2011-12 to 2015-16. Between 2014-15 and 2015-16 there was an increase of 39.</t>
  </si>
  <si>
    <t>Chart 14a shows that the number of hospital admissions for cataract procedures (1st and 2nd eye) in Hywel Dda increased by 1,199 from 2011-12 to 2015-16. Between 2014-15 and 2015-16 there was an increase of 679.</t>
  </si>
  <si>
    <t>Chart 14a shows that the number of hospital admissions for cataract procedures (1st and 2nd eye) in ABM increased by 293 from 2011-12 to 2015-16. While between 2014-15 and 2015-16 there was a decrease of 68.</t>
  </si>
  <si>
    <t>Chart 14a shows that the number of hospital admissions for cataract procedures (1st and 2nd eye) in Cwm Taf decreased by 56 from 2011-12 to 2015-16. While between 2014-15 and 2015-16 there was an increase of 460.</t>
  </si>
  <si>
    <t>Chart 14a shows that the number of hospital admissions for cataract procedures (1st and 2nd eye) in Aneurin Bevan increased by 516 from 2011-12 to 2015-16. Between 2014-15 and 2015-16 there was an increase of 441.</t>
  </si>
  <si>
    <t>Chart 14a shows that the number of hospital admissions for cataract procedures (1st and 2nd eye) in Cardiff &amp; Vale increased by 398 from 2011-12 to 2015-16. Between 2014-15 and 2015-16 there was an increase of 268.</t>
  </si>
  <si>
    <t>Chart 14a shows that the number of hospital admissions for cataract procedures (1st and 2nd eye) in Wales increased by 2,031 from 2011-12 to 2015-16. Between 2014-15 and 2015-16 there was an increase of 1,831.</t>
  </si>
  <si>
    <t>Chart 14b shows that the number of outpatient attendances (new and follow up) for ophthalmology in Betsi Cadwaladr has decreased over 5 years. Between 2014-15 and 2015-16, the number of new outpatient attendances decreased by 783, while the number of follow up outpatient attendances increased by 389.</t>
  </si>
  <si>
    <t>Chart 14b shows that the number of outpatient attendances (new and follow up) for ophthalmology in Powys has increased over 5 years. Between 2014-15 and 2015-16, the number of new outpatient attendances decreased by 53, while the number of follow up outpatient attendances increased by 143.</t>
  </si>
  <si>
    <t>Chart 14b shows that the number of outpatient attendances (new and follow up) for ophthalmology in Hywel Dda has increased over 5 years. Between 2014-15 and 2015-16, the number of new outpatient attendances decreased by 46, while the number of follow up outpatient attendances decreased by 993.</t>
  </si>
  <si>
    <t>Chart 14b shows that the number of outpatient attendances (new and follow up) for ophthalmology in ABM has decreased over 5 years. Between 2014-15 and 2015-16, the number of new outpatient attendances increased by 968, while the number of follow up outpatient attendances decreased by 218.</t>
  </si>
  <si>
    <t>Chart 14b shows that the number of outpatient attendances (new and follow up) for ophthalmology in Cwm Taf has decreased over 5 years. Between 2014-15 and 2015-16, the number of new outpatient attendances increased by 341, while the number of follow up outpatient attendances decreased by 2,238.</t>
  </si>
  <si>
    <t>Chart 14b shows that the number of outpatient attendances (new and follow up) for ophthalmology in Aneurin Bevan has increased over 5 years. Between 2014-15 and 2015-16, the number of new outpatient attendances increased by 1,636, while the number of follow up outpatient attendances increased by 333.</t>
  </si>
  <si>
    <t>Chart 14b shows that the number of outpatient attendances (new and follow up) for ophthalmology in Cardiff &amp; Vale has increased over 5 years. Between 2014-15 and 2015-16, the number of new outpatient attendances increased by 247, while the number of follow up outpatient attendances decreased by 199.</t>
  </si>
  <si>
    <t>Chart 14b shows that the number of outpatient attendances (new and follow up) for ophthalmology in Wales has decreased over 5 years. Between 2014-15 and 2015-16, the number of new outpatient attendances increased by 2,310, while the number of follow up outpatient attendances decreased by 2,783.</t>
  </si>
  <si>
    <t>Chart 14a: Number of Hospital admissions for cataract procedures (1st and 2nd eye)</t>
  </si>
  <si>
    <t>Chart 14b: Number of outpatient attendances (new and follow up) for ophthalmology</t>
  </si>
  <si>
    <t>Chart 14c: Number of admissions (inpatients and day cases) due to selected hearing related procedures</t>
  </si>
  <si>
    <t>Chart 14d: Number of admissions due to selected diagnoses relating to hearing loss</t>
  </si>
  <si>
    <t>Chart 13a: Closed patient pathways for ophthalmology, by grouped weeks wait and financial year</t>
  </si>
  <si>
    <t xml:space="preserve">Chart 13b: Patient pathways for ophthalmology waiting to start treatment, by grouped weeks wait as at 31 March </t>
  </si>
  <si>
    <t>Chart 9b: Number of Ophthalmic Practitioners by type</t>
  </si>
  <si>
    <t>Chart 9a: Number of Ophthalmic Practitioners by gender</t>
  </si>
  <si>
    <t>Look into more detail on people who are:</t>
  </si>
  <si>
    <t>New</t>
  </si>
  <si>
    <t>Follow up</t>
  </si>
  <si>
    <t>Hywel Dda</t>
  </si>
  <si>
    <t>ABM</t>
  </si>
  <si>
    <t>Welsh</t>
  </si>
  <si>
    <t>Chart 1a shows that the number of new CVIs per 100,000 Betsi Cadwaladr residents has increased since 2013-14. In 2015-16 there were 48 new CVIs per 100,000 Betsi Cadwaladr residents which is 10 more than in 2014-15</t>
  </si>
  <si>
    <t>Chart 1a shows that the number of new CVIs per 100,000 Powys residents has increased since 2013-14. In 2015-16 there were 59 new CVIs per 100,000 Powys residents which is 15 more than in 2014-15</t>
  </si>
  <si>
    <t>Chart 1a shows that the number of new CVIs per 100,000 Hywel Dda residents has increased since 2013-14. In 2015-16 there were 40 new CVIs per 100,000 Hywel Dda residents which is 2 more than in 2014-15</t>
  </si>
  <si>
    <t>Chart 1a shows that the number of new CVIs per 100,000 ABM residents has decreased since 2013-14. In 2015-16 there were 52 new CVIs per 100,000 ABM residents which is 3 more than in 2014-15</t>
  </si>
  <si>
    <t>Chart 1a shows that the number of new CVIs per 100,000 Cwm Taf residents has increased since 2013-14. In 2015-16 there were 42 new CVIs per 100,000 Cwm Taf residents which is 3 more than in 2014-15</t>
  </si>
  <si>
    <t>Chart 1a shows that the number of new CVIs per 100,000 Aneurin Bevan residents has increased since 2013-14. In 2015-16 there were 44 new CVIs per 100,000 Aneurin Bevan residents which is 2 more than in 2014-15</t>
  </si>
  <si>
    <t>Chart 1a shows that the number of new CVIs per 100,000 Cardiff &amp; Vale residents has increased since 2013-14. In 2015-16 there were 33 new CVIs per 100,000 Cardiff &amp; Vale residents which is 3 more than in 2014-15</t>
  </si>
  <si>
    <t>Chart 1a shows that the number of new CVIs per 100,000 Welsh residents has increased since 2013-14. In 2015-16 there were 45 new CVIs per 100,000 Welsh residents which is 5 more than in 2014-15</t>
  </si>
  <si>
    <t>Chart 1b shows that the number of new CVIs with age related macular degeneration (AMD) per 100,000 Hywel Dda residents of age 65 or over has decreased by 4 since 2014-15, to give 103 CVIs per 100,000 Hywel Dda residents of age 65 or over.</t>
  </si>
  <si>
    <t>Chart 1b shows that the number of new CVIs with age related macular degeneration (AMD) per 100,000 Cwm Taf residents of age 65 or over has decreased by 7 since 2014-15, to give 118 CVIs per 100,000 Cwm Taf residents of age 65 or over.</t>
  </si>
  <si>
    <t>Chart 1b shows that the number of new CVIs with age related macular degeneration (AMD) per 100,000 Aneurin Bevan residents of age 65 or over has decreased by 3 since 2014-15, to give 115 CVIs per 100,000 Aneurin Bevan residents of age 65 or over.</t>
  </si>
  <si>
    <t>Chart 1d shows that the number of new CVIs with diabetic eye disease per 100,000 Cwm Taf residents aged 12 or older has increased by 2 since 2014-15, with there being 5 new CVIs per 100,000 Cwm Taf residents aged 12 or older, during the 2015-16 financial year. The value for 2013-14 is disclosive or not sufficiently robust for publication.</t>
  </si>
  <si>
    <t>Chart 10a shows that the number of WTE ophthalmology doctors directly employed by the NHS in Betsi Cadwaladr has decreased slightly since 2012. In 2016 there were 33.2 WTE ophthalmology doctors directly employed by this NHS in Betsi Cadwaladr which is 3.0 more than in 2015.</t>
  </si>
  <si>
    <t>Chart 14c shows that the number of admissions for procedures relating to hearing loss in Betsi Cadwaladr has gone down over 5 years. In 2015-16 the figure was 882 which was 43 less than in 2014-15.</t>
  </si>
  <si>
    <t>Chart 14c shows that the number of admissions for procedures relating to hearing loss in Powys has gone down over 5 years. In 2015-16 the figure was 8 which was 5 less than in 2014-15.</t>
  </si>
  <si>
    <t>Chart 14c shows that the number of admissions for procedures relating to hearing loss in Hywel Dda has increased over 5 years. In 2015-16 the figure was 292 which was 46 more than in 2014-15.</t>
  </si>
  <si>
    <t>Chart 14c shows that the number of admissions for procedures relating to hearing loss in ABM has gone down over 5 years. In 2015-16 the figure was 640 which was 57 less than in 2014-15.</t>
  </si>
  <si>
    <t>Chart 14c shows that the number of admissions for procedures relating to hearing loss in Cwm Taf has increased over 5 years. In 2015-16 the figure was 363 which was 4 less than in 2014-15.</t>
  </si>
  <si>
    <t>Chart 14c shows that the number of admissions for procedures relating to hearing loss in Aneurin Bevan has gone down over 5 years. In 2015-16 the figure was 467 which was 93 more than in 2014-15.</t>
  </si>
  <si>
    <t>Chart 14c shows that the number of admissions for procedures relating to hearing loss in Cardiff &amp; Vale has gone down over 5 years. In 2015-16 the figure was 434 which was 63 less than in 2014-15.</t>
  </si>
  <si>
    <t>Chart 14c shows that the number of admissions for procedures relating to hearing loss in Wales has gone down over 5 years. In 2015-16 the figure was 3,086 which was 33 less than in 2014-15.</t>
  </si>
  <si>
    <t>Chart 14d shows that the number of admissions for a diagnosis relating to hearing loss in Betsi Cadwaladr has increased over 5 years. The figure in 2015-16 reached 1,342 which was 36 more than in 2014-15.</t>
  </si>
  <si>
    <t>Chart 14d shows that the number of admissions for a diagnosis relating to hearing loss in Powys has increased over 5 years. The figure in 2015-16 reached 168 which was 44 more than in 2014-15.</t>
  </si>
  <si>
    <t>Chart 14d shows that the number of admissions for a diagnosis relating to hearing loss in Hywel Dda has increased over 5 years. The figure in 2015-16 reached 759 which was 38 more than in 2014-15.</t>
  </si>
  <si>
    <t>Chart 14d shows that the number of admissions for a diagnosis relating to hearing loss in Aneurin Bevan has increased over 5 years. The figure in 2015-16 reached 1,074 which was 85 more than in 2014-15.</t>
  </si>
  <si>
    <t>Chart 14d shows that the number of admissions for a diagnosis relating to hearing loss in Cardiff &amp; Vale has increased over 5 years. The figure in 2015-16 reached 1,113 which was 194 more than in 2014-15.</t>
  </si>
  <si>
    <t>Chart 14d shows that the number of admissions for a diagnosis relating to hearing loss in Wales has increased over 5 years. The figure in 2015-16 reached 6,165 which was 548 more than in 2014-15.</t>
  </si>
  <si>
    <t>Chart 14d shows that the number of admissions for a diagnosis relating to hearing loss in ABM has increased over 5 years. The figure in 2015-16 reached 1,155 which was 33 more than in 2014-15.</t>
  </si>
  <si>
    <t>85 per cent of scheduled DESW appointments (invitations) in Wales had results reported in 2016-17. The lowest per cent of scheduled DESW appointments (invitations) where results reported in 2016-17 was in Cardiff &amp; Vale at 81 per cent and the highest was in Powys at 91 per cent.</t>
  </si>
  <si>
    <t>There are 2.64 ophthalmic practitioners per 10,000 population in Wales. The highest rate was 3.82 per 10,000 population in Cardiff &amp; Vale and the lowest rate was 2.22 per 10,000 population in Hywel Dda.</t>
  </si>
  <si>
    <t>There were 952 people with visual and/or hearing impairments per 100,000 Welsh residents at 31 March 2016. The highest rate is in Powys with 1,607 people having a visual and/or hearing impairment per 100,000 Powys residents and the lowest rate is in Cardiff &amp; Vale with 511 people having a visual and/or hearing impairment per 100,000 Cardiff &amp; Vale residents.</t>
  </si>
  <si>
    <t>Comparisons</t>
  </si>
  <si>
    <t xml:space="preserve">Referrals to the </t>
  </si>
  <si>
    <t>Hospital Eye Service</t>
  </si>
  <si>
    <t xml:space="preserve">Sight Tests &amp; Eye </t>
  </si>
  <si>
    <t>Examinations</t>
  </si>
  <si>
    <t xml:space="preserve">Vouchers Reimbursed &amp; Claims </t>
  </si>
  <si>
    <t>for Repairs and Replacements</t>
  </si>
  <si>
    <t xml:space="preserve">Low Vision Service </t>
  </si>
  <si>
    <t>Wales Assessments</t>
  </si>
  <si>
    <t xml:space="preserve">Workforce directly </t>
  </si>
  <si>
    <t>employed by the NHS</t>
  </si>
  <si>
    <t xml:space="preserve">Hearing Aid Waiting </t>
  </si>
  <si>
    <t>Times</t>
  </si>
  <si>
    <t>Ophthalmology Waiting</t>
  </si>
  <si>
    <t>Hospital admissions and</t>
  </si>
  <si>
    <t>outpatients</t>
  </si>
  <si>
    <t>Abertawe Bro Morganwwg</t>
  </si>
  <si>
    <t>Cardiff and Vale</t>
  </si>
  <si>
    <t>MYEs 2015</t>
  </si>
  <si>
    <t>Chart 15g: Ophthalmic practitioners per 10,000 population</t>
  </si>
  <si>
    <t>Chart 15h: People with visual and/or hearing impairments per 100,000 population</t>
  </si>
  <si>
    <t>Ophthalmic practitioners per 10,000 population as at 31 December 2016</t>
  </si>
  <si>
    <t>People with visual and/or hearing impairments per 100,000 population as at 31 March 2016</t>
  </si>
  <si>
    <t>Hearing aid waiting times at 31 March 2017</t>
  </si>
  <si>
    <t>Ophthamology Waiting Times at 31 March 2017</t>
  </si>
  <si>
    <t>Chart 15f: The percentage of scheduled DESW appointments where results were reported in 2016-17</t>
  </si>
  <si>
    <t>The percentage of scheduled DESW appointments where results were reported in 2016-17</t>
  </si>
  <si>
    <t>Chart 15f: The percentage of scheduled DESW appointments where results were reported</t>
  </si>
  <si>
    <t>Chart 15g: Ophthalmic practitioners per 10,000 population at 31 December 2016</t>
  </si>
  <si>
    <t>Chart 15j: Hearing aid waiting times</t>
  </si>
  <si>
    <t>Chart 15k: Ophthamology Waiting Times</t>
  </si>
  <si>
    <t>Chart 15h: People with visual and/or hearing impairments per 100,000 population at 31 March 2016</t>
  </si>
  <si>
    <t>There were 485 EHEW examinations per 10,000 Welsh residents in the 2016-17 financial year. The highest rate was in Cwm Taf with 600 EHEW examinations per 10,000 Cwm Taf residents and the lowest rate was in Betsi Cadwaladr with 361 EHEW examinations per 10,000 Betsi Cadwaladr residents.</t>
  </si>
  <si>
    <t>There were 28 Low Vision Assessments per 10,000 Welsh residents in the 2016-17 financial year. The highest rate was in Hywel Dda with 38 Low Vision assessments per 10,000 Hywel Dda residents and the lowest rate was in Cwm Taf with 21 Low Vision assessments per 10,000 Cwm Taf residents.</t>
  </si>
  <si>
    <t>New CVIs per 100,000 population in 2015-16</t>
  </si>
  <si>
    <t>Sight tests paid by NHS per 1,000 population in 2016-17</t>
  </si>
  <si>
    <t>Number of total referrals to the hospital eye service per 100,000 population in 2016-17</t>
  </si>
  <si>
    <t>Chart 15a: New CVIs per 100,000 population</t>
  </si>
  <si>
    <t>Chart 15b: Sight tests paid by NHS per 1,000 population</t>
  </si>
  <si>
    <t>Chart 15d: Number of total referrals to the hospital eye service per 100,000 population</t>
  </si>
  <si>
    <t>Chart 15e: Number of new low vision assessments per 10,000 resident population</t>
  </si>
  <si>
    <t>Chart 15a: New CVIs per 100,000 population in 2015-16</t>
  </si>
  <si>
    <t>Chart 15b: Sight tests paid by NHS per 1,000 population in 2016-17</t>
  </si>
  <si>
    <t>Chart 15d: Number of total referrals to the hospital eye service per 100,000 population in 2016-17</t>
  </si>
  <si>
    <t>Chart 15c: Number of EHEW examinations carried out per 10,000 population in 2016-17</t>
  </si>
  <si>
    <t>Chart 15e: Number of new low vision assessments per 10,000 population in 2016-17</t>
  </si>
  <si>
    <t>Number of new low vision assessments per 10,000 population in 2016-17</t>
  </si>
  <si>
    <t>Number of EHEW examinations carried out per 10,000 population in 2016-17</t>
  </si>
  <si>
    <t>Chart 15c: Number of EHEW examinations carried out per 10,000 population</t>
  </si>
  <si>
    <t>Selected chart:</t>
  </si>
  <si>
    <t>In 2015-16 there were 45 new CVIs per 100,000 Welsh residents. Out of the health boards, Powys had the highest rate with 59 new CVIs per 100,000 Powys residents and the lowest rate was in Cardiff &amp; Vale with 33 new CVIs per 100,000 Cardiif &amp; Vale residents.</t>
  </si>
  <si>
    <t>Chart 2b shows that in 2016-17 the number of sight test paid for by the NHS per 1,000 Betsi Cadwaladr residents aged 60 or over (60+) stayed the same in comparison to the previous year.</t>
  </si>
  <si>
    <t>Chart 2c shows that between 2015-16 and 2016-17 that the number of Welsh residents on income support who received sight tests paid for by the NHS has decreased in comparison to the size of the population.</t>
  </si>
  <si>
    <t>Chart 2c shows that between 2015-16 and 2016-17 that the number of Cwm Taf residents on income support who received sight tests paid for by the NHS has decreased in comparison to the size of the population.</t>
  </si>
  <si>
    <t>Chart 2c shows that between 2015-16 and 2016-17 that the number of Aneurin Bevan residents on income support who received sight tests paid for by the NHS has increased in comparison to the size of the population.</t>
  </si>
  <si>
    <t>Chart 4b shows that in 2016-17 the number of vouchers reimbursed per 1,000 Betsi Cadwaladr residents aged 15 or under increased in comparison from the previous year.</t>
  </si>
  <si>
    <t>Chart 4b shows that in 2016-17 the number of vouchers reimbursed per 1,000 Cwm Taf residents aged 15 or under increased in comparison from the previous year.</t>
  </si>
  <si>
    <t>Chart 4b shows that in 2016-17 the number of vouchers reimbursed per 1,000 Aneurin Bevan residents aged 15 or under increased in comparison from the previous year.</t>
  </si>
  <si>
    <t>Chart 4c shows that between 2015-16 and 2016-17 that the number of Betsi Cadwaladr residents on income support who had vouchers reimbursed has decreased in comparison to the size of the population.</t>
  </si>
  <si>
    <t>Chart 4c shows that between 2015-16 and 2016-17 that the number of Cwm Taf residents on income support who had vouchers reimbursed has decreased in comparison to the size of the population.</t>
  </si>
  <si>
    <t>Chart 4d shows that the number of claims for repair or replacements per 1,000 Betsi Cadwaladr residents has increased between 2015-16 and 2016-17.</t>
  </si>
  <si>
    <t>Chart 4d shows that the number of claims for repair or replacements per 1,000 Cwm Taf residents has increased between 2015-16 and 2016-17.</t>
  </si>
  <si>
    <t>Chart 4d shows that the number of claims for repair or replacements per 1,000 Aneurin Bevan residents has increased between 2015-16 and 2016-17.</t>
  </si>
  <si>
    <t>Chart 4e shows that in 2016-17 the number of claims for repairs or replacements per 1,000 Betsi Cadwaladr residents aged 15 or under increased in comparison from the previous year.</t>
  </si>
  <si>
    <t>Chart 4e shows that in 2016-17 the number of claims for repairs or replacements per 1,000 Cwm Taf residents aged 15 or under increased in comparison from the previous year.</t>
  </si>
  <si>
    <t>Chart 4e shows that in 2016-17 the number of claims for repairs or replacements per 1,000 Aneurin Bevan residents aged 15 or under increased in comparison from the previous year.</t>
  </si>
  <si>
    <t>Chart 2a shows that the same number of sight tests were paid for by the NHS per 1,000 residents (all ages) in Betsi Cadwadalr during both the 2015-16 and 2016-17 financial years.</t>
  </si>
  <si>
    <t>Chart 2a shows that 2 more sight tests were paid for by the NHS per 1,000 residents (all ages) in Powys during the 2016-17 financial year than in 2015-16.</t>
  </si>
  <si>
    <t>Chart 2a shows that 8 more sight tests were paid for by the NHS per 1,000 residents (all ages) in Hywel Dda during the 2016-17 financial year than in 2015-16.</t>
  </si>
  <si>
    <t>Chart 2a shows that 5 more sight tests were paid for by the NHS per 1,000 residents (all ages) in ABM during the 2016-17 financial year than in 2015-16.</t>
  </si>
  <si>
    <t>Chart 2a shows that 3 more sight tests were paid for by the NHS per 1,000 residents (all ages) in Cwm Taf during the 2016-17 financial year than in 2015-16.</t>
  </si>
  <si>
    <t>Chart 2a shows that 2 more sight tests were paid for by the NHS per 1,000 residents (all ages) in Aneurin Bevan during the 2016-17 financial year than in 2015-16.</t>
  </si>
  <si>
    <t>Chart 2a shows that 1 less sight tests were paid for by the NHS per 1,000 residents (all ages) in Cardiff &amp; Vale during the 2016-17 financial year than in 2015-16.</t>
  </si>
  <si>
    <t>Chart 2a shows that 3 more sight tests were paid for by the NHS per 1,000 Welsh residents (all ages) in Wales during the 2016-17 financial year than in 2015-16.</t>
  </si>
  <si>
    <t>Chart 2b shows that in 2016-17 the number of sight test paid for by the NHS per 1,000 Powys residents aged 60 or over (60+) decreased in comparison to the previous year.</t>
  </si>
  <si>
    <t>Chart 2b shows that in 2016-17 the number of sight test paid for by the NHS per 1,000 Hywel Dda residents aged 60 or over (60+) decreased in comparison to the previous year.</t>
  </si>
  <si>
    <t>Chart 2b shows that in 2016-17 the number of sight test paid for by the NHS per 1,000 ABM residents aged 60 or over (60+) decreased in comparison to the previous year.</t>
  </si>
  <si>
    <t>Chart 2b shows that in 2016-17 the number of sight test paid for by the NHS per 1,000 Cwm Taf residents aged 60 or over (60+) increased in comparison to the previous year.</t>
  </si>
  <si>
    <t>Chart 2b shows that in 2016-17 the number of sight test paid for by the NHS per 1,000 Aneurin Bevan residents aged 60 or over (60+) decreased in comparison to the previous year.</t>
  </si>
  <si>
    <t>Chart 2b shows that in 2016-17 the number of sight test paid for by the NHS per 1,000 Cardiff &amp; Vale residents aged 60 or over (60+) increased in comparison to the previous year.</t>
  </si>
  <si>
    <t>Chart 2b shows that in 2016-17 the number of sight test paid for by the NHS per 1,000 Welsh residents aged 60 or over (60+) decreased in comparison to the previous year.</t>
  </si>
  <si>
    <t>Chart 2c shows that between 2015-16 and 2016-17 that the number of Betsi Cadwaladr residents on income support who received sight tests paid for by the NHS has decreased in comparison to the size of the population.</t>
  </si>
  <si>
    <t>Chart 2c shows that between 2015-16 and 2016-17 that the number of Powys residents on income support who received sight tests paid for by the NHS has increased in comparison to the size of the population.</t>
  </si>
  <si>
    <t>Chart 2c shows that between 2015-16 and 2016-17 that the number of Cardiff &amp; Vale residents on income support who received sight tests paid for by the NHS has decreased in comparison to the size of the population.</t>
  </si>
  <si>
    <t>Chart 2d shows that in 2016-17 the number of sight test paid for by the NHS per 1,000 residents in Betsi Cadwaladr aged 15 or under (&lt;16) increased in comparison to the previous year.</t>
  </si>
  <si>
    <t>Chart 2d shows that in 2016-17 the number of sight test paid for by the NHS per 1,000 residents in Powys aged 15 or under (&lt;16) increased in comparison to the previous year.</t>
  </si>
  <si>
    <t>Chart 2d shows that in 2016-17 the number of sight test paid for by the NHS per 1,000 residents in Hywel Dda aged 15 or under (&lt;16) increased in comparison to the previous year.</t>
  </si>
  <si>
    <t>Chart 2d shows that in 2016-17 the number of sight test paid for by the NHS per 1,000 residents in ABM aged 15 or under (&lt;16) increased in comparison to the previous year.</t>
  </si>
  <si>
    <t>Chart 2d shows that in 2016-17 the number of sight test paid for by the NHS per 1,000 residents in Cwm Taf aged 15 or under (&lt;16) stayed constant in comparison to the previous year.</t>
  </si>
  <si>
    <t>Chart 2d shows that in 2016-17 the number of sight test paid for by the NHS per 1,000 residents in Aneurin Bevan aged 15 or under (&lt;16) increased in comparison to the previous year.</t>
  </si>
  <si>
    <t>Chart 2d shows that in 2016-17 the number of sight test paid for by the NHS per 1,000 residents in Cardiff &amp; Vale aged 15 or under (&lt;16) increased in comparison to the previous year.</t>
  </si>
  <si>
    <t>Chart 2d shows that in 2016-17 the number of sight test paid for by the NHS per 1,000 residents in Wales aged 15 or under (&lt;16) increased in comparison to the previous year.</t>
  </si>
  <si>
    <t>Chart 4a shows that the number of vouchers reimbursed per 1,000 Betsi Cadwaladr residents (all ages) decreased between the 2015-16 and 2016-17 financial years.</t>
  </si>
  <si>
    <t>Chart 4a shows that the number of vouchers reimbursed per 1,000 Powys residents (all ages) increased between the 2015-16 and 2016-17 financial years.</t>
  </si>
  <si>
    <t>Chart 4a shows that the number of vouchers reimbursed per 1,000 Hywel Dda residents (all ages) stayed the same between the 2015-16 and 2016-17 financial years.</t>
  </si>
  <si>
    <t>Chart 4a shows that the number of vouchers reimbursed per 1,000 ABM residents (all ages) increased between the 2015-16 and 2016-17 financial years.</t>
  </si>
  <si>
    <t>Chart 4a shows that the number of vouchers reimbursed per 1,000 Cwm Taf residents (all ages) decreased between the 2015-16 and 2016-17 financial years.</t>
  </si>
  <si>
    <t>Chart 4a shows that the number of vouchers reimbursed per 1,000 Aneurin Bevan residents (all ages) stayed the same between the 2015-16 and 2016-17 financial years.</t>
  </si>
  <si>
    <t>Chart 4a shows that the number of vouchers reimbursed per 1,000 Cardiff &amp; Vale residents (all ages) decreased between the 2015-16 and 2016-17 financial years.</t>
  </si>
  <si>
    <t>Chart 4a shows that the number of vouchers reimbursed per 1,000 Welsh residents (all ages) decreased between the 2015-16 and 2016-17 financial years.</t>
  </si>
  <si>
    <t>Chart 4b shows that in 2016-17 the number of vouchers reimbursed per 1,000 Powys residents aged 15 or under increased in comparison from the previous year.</t>
  </si>
  <si>
    <t>Chart 4b shows that in 2016-17 the number of vouchers reimbursed per 1,000 Hywel Dda residents aged 15 or under increased in comparison from the previous year.</t>
  </si>
  <si>
    <t>Chart 4b shows that in 2016-17 the number of vouchers reimbursed per 1,000 ABM residents aged 15 or under increased in comparison from the previous year.</t>
  </si>
  <si>
    <t>Chart 4b shows that in 2016-17 the number of vouchers reimbursed per 1,000 Cardiff &amp; Vale residents aged 15 or under increased in comparison from the previous year.</t>
  </si>
  <si>
    <t>Chart 4b shows that in 2016-17 the number of vouchers reimbursed per 1,000 Welsh residents aged 15 or under increased in comparison from the previous year.</t>
  </si>
  <si>
    <t>Chart 4c shows that between 2015-16 and 2016-17 that the number of  Powys residents on income support who had vouchers reimbursed has increased in comparison to the size of the population.</t>
  </si>
  <si>
    <t>Chart 4c shows that between 2015-16 and 2016-17 that the number of Hywel Dda residents on income support who had vouchers reimbursed has decreased in comparison to the size of the population.</t>
  </si>
  <si>
    <t>Chart 4c shows that between 2015-16 and 2016-17 that the number of Aneurin Bevan residents on income support who had vouchers reimbursed has decreased in comparison to the size of the population.</t>
  </si>
  <si>
    <t>Chart 4c shows that between 2015-16 and 2016-17 that the number of Cardiff &amp; Vale residents on income support who had vouchers reimbursed has decreased in comparison to the size of the population.</t>
  </si>
  <si>
    <t>Chart 4c shows that between 2015-16 and 2016-17 that the number of Welsh residents on income support who had vouchers reimbursed has decreased in comparison to the size of the population.</t>
  </si>
  <si>
    <t>Chart 4d shows that the number of claims for repair or replacements per 1,000 Powys residents has stayed constant between 2015-16 and 2016-17.</t>
  </si>
  <si>
    <t>Chart 4d shows that the number of claims for repair or replacements per 1,000 Hywel Dda residents has increased between 2015-16 and 2016-17.</t>
  </si>
  <si>
    <t>Chart 4d shows that the number of claims for repair or replacements per 1,000 ABM residents has stayed constant between 2015-16 and 2016-17.</t>
  </si>
  <si>
    <t>Chart 4d shows that the number of claims for repair or replacements per 1,000 Cardiff &amp; Vale residents has increased between 2015-16 and 2016-17.</t>
  </si>
  <si>
    <t>Chart 4d shows that the number of claims for repair or replacements per 1,000 Welsh residents has increased between 2015-16 and 2016-17.</t>
  </si>
  <si>
    <t>Chart 4e shows that in 2016-17 the number of claims for repairs or replacements per 1,000 Powys residents aged 15 or under increased in comparison from the previous year.</t>
  </si>
  <si>
    <t>Chart 4e shows that in 2016-17 the number of claims for repairs or replacements per 1,000 Hywel Dda residents aged 15 or under increased in comparison from the previous year.</t>
  </si>
  <si>
    <t>Chart 4e shows that in 2016-17 the number of claims for repairs or replacements per 1,000 ABM residents aged 15 or under increased in comparison from the previous year.</t>
  </si>
  <si>
    <t>Chart 4e shows that in 2016-17 the number of claims for repairs or replacements per 1,000 Cardiff &amp; Vale residents aged 15 or under increased in comparison from the previous year.</t>
  </si>
  <si>
    <t>Chart 4e shows that in 2016-17 the number of claims for repairs or replacements per 1,000 Welsh residents aged 15 or under increased in comparison from the previous year.</t>
  </si>
  <si>
    <t>251 out of 1,000 Welsh residents had a sight test paid by the NHS during the 2016-17 financial year. The lowest rate was in Powys, 205 out of 1,000 Powys residents had a sight test paid by the NHS during the year and the highest rate was in Cwm Taf with 287 out of 1,000 Cwm Taf residents had a sight test paid by the NHS during that year.</t>
  </si>
  <si>
    <t>Sight tests paid by NHS per 1,000 Powys residents (&lt;16)</t>
  </si>
  <si>
    <t>Sight tests paid by NHS per 1,000 Hywel Dda residents (&lt;16)</t>
  </si>
  <si>
    <t>Sight tests paid by NHS per 1,000 ABM residents (&lt;16)</t>
  </si>
  <si>
    <t>Sight tests paid by NHS per 1,000 Cwm Taf residents (&lt;16)</t>
  </si>
  <si>
    <t>Sight tests paid by NHS per 1,000 Aneurin Bevan residents (&lt;16)</t>
  </si>
  <si>
    <t>Sight tests paid by NHS per 1,000 Cardiff &amp; Vale residents (&lt;16)</t>
  </si>
  <si>
    <t>Sight tests paid by NHS per 1,000 Welsh residents (&lt;16)</t>
  </si>
  <si>
    <t xml:space="preserve">Chart 12 reveals that the number of people from Betsi Cadwaladr waiting for hearing aids for less than 8 weeks and for between 8 and 14 weeks have both increased since the previous year. </t>
  </si>
  <si>
    <t xml:space="preserve">Chart 12 reveals that the number of people from Powys waiting for hearing aids for less than 8 weeks and for between 8 and 14 weeks have both increased since the previous year. </t>
  </si>
  <si>
    <t>The target waiting time in Wales is 14 weeks and on 31 March 2017 there were 7 patients that had been waiting for more than 14 weeks in Powys.</t>
  </si>
  <si>
    <t>The target waiting time in Wales is 14 weeks and on 31 March 2017 there were 371 patients that had been waiting longer than 14 weeks in Hywel Dda.</t>
  </si>
  <si>
    <t xml:space="preserve">Chart 12 reveals that the number of people from Cwm Taf waiting for hearing aids for less than 8 weeks and for between 8 and 14 weeks have both increased since the previous year. </t>
  </si>
  <si>
    <t>The target waiting time in Wales is 14 weeks and on 31 March for the 3 most recent years no patient had been waiting longer than 14 weeks in Aneurin Bevan.</t>
  </si>
  <si>
    <t>Chart 12 reveals that while the number of people from ABM waiting for hearing aids for less than 8 weeks has increased the number waiting between 8 and 14 weeks has decreased since the previous year.</t>
  </si>
  <si>
    <t>Chart 12 reveals that for all of the grouped weeks, apart from between 14 and 24 weeks, the number of people in Hywel Dda waiting for hearing aids has decreased since the previous year.</t>
  </si>
  <si>
    <t>Chart 12 reveals that while the number of people from Aneurin Bevan waiting for hearing aids for less than 8 weeks has increased the number waiting between 8 and 14 weeks has decreased since the previous year.</t>
  </si>
  <si>
    <t>Chart 12 reveals that while the number of people from Cardiff &amp; Vale waiting for hearing aids for less than 8 weeks has decreased the number waiting between 8 and 14 weeks has increased since the previous year.</t>
  </si>
  <si>
    <t>The target waiting time in Wales is 14 weeks and on 31 March 2017 there were 12 patients that had been waiting for more than 14 weeks in Powys.</t>
  </si>
  <si>
    <t>Chart 12 reveals that the number of people from Wales waiting for hearing aids for less than 8 weeks and for between 14 and 24 weeks have both increased since the previous year. While the other groups, between 8 and 14 weeks and more than 24 weeks, have both decreased.</t>
  </si>
  <si>
    <t>The target waiting time in Wales is 14 weeks and on 31 March 2017 the number patients waiting longer than 14 weeks reached a 5 year high in Wales.</t>
  </si>
  <si>
    <t>patients in</t>
  </si>
  <si>
    <t>Chart 13a shows that the number of closed pathways for ophthalmology in Wales was 103,895 in 2016-17. 65 per cent of patients in 2016-17 were treated in less than 26 weeks, compared to 76 per cent in 2012-13.</t>
  </si>
  <si>
    <t>Chart 13a shows that the number of closed pathways for ophthalmology in Betsi Cadwaladr was 22,428 in 2016-17. 77 per cent of patients in 2016-17 were treated in less than 26 weeks, compared to 69 per cent in 2012-13.</t>
  </si>
  <si>
    <t>Chart 13a shows that the number of closed pathways for ophthalmology in Powys was 2,035 in 2016-17. 84 per cent of patients in 2016-17 were treated in less than 26 weeks, compared to 82 per cent in 2012-13.</t>
  </si>
  <si>
    <t>Chart 13a shows that the number of closed pathways for ophthalmology in Hywel Dda was 14,111 in 2016-17. 67 per cent of patients in 2016-17 were treated in less than 26 weeks, compared to 92 per cent in 2012-13.</t>
  </si>
  <si>
    <t>Chart 13a shows that the number of closed pathways for ophthalmology in ABM was 18,402 in 2016-17. 68 per cent of patients in 2016-17 were treated in less than 26 weeks, compared to 80 per cent in 2012-13.</t>
  </si>
  <si>
    <t>Chart 13a shows that the number of closed pathways for ophthalmology in Cwm Taf was 13,998 in 2016-17. 61 per cent of patients in 2016-17 were treated in less than 26 weeks, compared to 67 per cent in 2012-13.</t>
  </si>
  <si>
    <t>Chart 13a shows that the number of closed pathways for ophthalmology in Aneurin Bevan was 18,043 in 2016-17. 59 per cent of patients in 2016-17 were treated in less than 26 weeks, compared to 73 per cent in 2012-13.</t>
  </si>
  <si>
    <t>Chart 13a shows that the number of closed pathways for ophthalmology in Cardiff &amp; Vale was 14,878 in 2016-17. 51 per cent of patients in 2016-17 were treated in less than 26 weeks, compared to 71 per cent in 2012-13.</t>
  </si>
  <si>
    <t>Chart 13a analysis</t>
  </si>
  <si>
    <t>Chart 13b analysis</t>
  </si>
  <si>
    <t>The number of referrals from GPs in Cwm Taf has decreased since last year. There were over 3,900 fewer GP referrals in 2016-17 than in 2015-16.</t>
  </si>
  <si>
    <t>The number of referrals from GPs in Aneurin Bevan has decreased since last year. There were 230 fewer GP referrals in 2016-17 than in 2015-16.</t>
  </si>
  <si>
    <t>The number of referrals from GPs in Cardiff &amp; Vale has increased since last year. There were over 530 more GP referrals in 2016-17 than in 2015-16.</t>
  </si>
  <si>
    <t>The number of referrals from GPs in Hywel Dda has increased since last year. There were 870 more GP referrals in 2016-17 than in 2015-16.</t>
  </si>
  <si>
    <t>Chart 15j: Percentage of patients waiting for hearing aids at 31 March 2017 by weeks waiting</t>
  </si>
  <si>
    <t>Chart 15k: Percentage of patients waiting for ophthalmology at 31 March 2017 by weeks waiting</t>
  </si>
  <si>
    <t>Of the patients waiting for a hearing aid in Wales 30.5 per cent had been waiting more than 8 weeks. In Hywel Dda 57.0 per cent of those waiting had waited longer than 8 weeks as of 31 March 2017 and in Betsi Cadwaladr only 13.5 per cent of patients there had been waiting for more than 8 weeks on 31 March 2017</t>
  </si>
  <si>
    <t>In Wales 14.7 per cent of patients waiting for ophthamology had been waiting more than 26 weeks as of 31 March 2017. The highest per cent was seen in Cardiff &amp; Vale at 20.1 per cent of patients waiting more than 26 weeks and in Powys no patient had been waiting more that 26 weeks for ophthamology as of 31 March 2017.</t>
  </si>
  <si>
    <t>There were 2,975 total referrals to the hospital eye service per 100,000 Welsh residents in the 2016-17 financial year. The highest rate was in Hywel Dda with 4,692 referrals per 100,000 Hywel Dda residents and the lowest rate (excluding Betsi Cadwaladr) was in Powys with 2,436 referrals per 100,000 Powys residents. Betsi Cadwaladr have been unable to submit data for part of the health board for November 2016-March 2017 due to moving to the national Welsh Patient Administration System (WPAS).</t>
  </si>
  <si>
    <t>41 (51 per cent) optometry practices were accredited to provide Low Vision Service Wales services in Betsi Cadwaladr in the 2016-17 financial year; a 2 percentage point increase on the previous year.</t>
  </si>
  <si>
    <t>15 (79 per cent) optometry practices were accredited to provide Low Vision Service Wales services in Powys in the 2016-17 financial year; a 5 percentage point decrease on the previous year.</t>
  </si>
  <si>
    <t>32 (70 per cent) optometry practices were accredited to provide Low Vision Service Wales services in Hywel Dda in the 2016-17 financial year; a 4 percentage point increase on the previous year.</t>
  </si>
  <si>
    <t>25 (46 per cent) optometry practices were accredited to provide Low Vision Service Wales services in ABM in the 2016-17 financial year; a 3 percentage point increase on the previous year.</t>
  </si>
  <si>
    <t>18 (64 per cent) optometry practices were accredited to provide Low Vision Service Wales services in Cwm Taf in the 2016-17 financial year; the same percentage as the previous year.</t>
  </si>
  <si>
    <t>43 (63 per cent) optometry practices were accredited to provide Low Vision Service Wales services in Aneurin Bevan in the 2016-17 financial year; a 4 percentage point increase on the previous year.</t>
  </si>
  <si>
    <t>36 (52 per cent) optometry practices were accredited to provide Low Vision Service Wales services in Cardiff &amp; Vale in the 2016-17 financial year; a 3 percentage point decrease on the previous year.</t>
  </si>
  <si>
    <t>210 (58 per cent) optometry practices were accredited to provide Low Vision Service Wales services in Wales in the 2016-17 financial year; a 2 percentage point increase on the previous year.</t>
  </si>
  <si>
    <t>*Diabetic Eye Screening Wales (DESW) is provided for every eligible person 12 years and over of age with diabetes who is registered with a GP in Wales. The service makes use of mobile screening units, which visit the various Health Board areas.</t>
  </si>
  <si>
    <t>The target waiting time in Wales is 14 weeks and on 31 March 2017 no patient had been waiting longer than 14 weeks in Betsi Cadwaladr.</t>
  </si>
  <si>
    <t>The target waiting time in Wales is 14 weeks and on 31 March 2017 no patient had been waiting longer than 14 weeks in ABM.</t>
  </si>
  <si>
    <t>The target waiting time in Wales is 14 weeks and on 31 March 2017 no patient had been waiting longer than 14 weeks in Cwm Taf.</t>
  </si>
  <si>
    <t>The target waiting time in Wales is 14 weeks and on 31 March 2017 no patient had been waiting longer than 14 weeks in Aneurin Bevan.</t>
  </si>
  <si>
    <t>The target waiting time in Wales is 14 weeks and on 31 March 2017 there were 390 patients that had been waiting longer than 14 weeks in Wales</t>
  </si>
  <si>
    <t>The number of closed pathways for ophthalmology in Betsi Cadwaladr was 22,428 in 2016-17. There were 9,115 patients were waiting for ophthalmology treatment in Betsi Cadwaladr on 31 March 2017.</t>
  </si>
  <si>
    <t>The number of closed pathways for ophthalmology in Powys was 2,035 in 2016-17. There were 615 patients were waiting for ophthalmology treatment in Powys on 31 March 2017.</t>
  </si>
  <si>
    <t>The number of closed pathways for ophthalmology in Hywel Dda was 14,111 in 2016-17. There were 6,135 patients were waiting for ophthalmology treatment in Hywel Dda on 31 March 2017.</t>
  </si>
  <si>
    <t>The number of closed pathways for ophthalmology in ABM was 18,402 in 2016-17. There were 7,475 patients were waiting for ophthalmology treatment in ABM on 31 March 2017.</t>
  </si>
  <si>
    <t>The number of closed pathways for ophthalmology in Cwm Taf was 13,998 in 2016-17. There were 3,937 patients were waiting for ophthalmology treatment in Cwm Taf on 31 March 2017.</t>
  </si>
  <si>
    <t>The number of closed pathways for ophthalmology in Aneurin Bevan was 18,043 in 2016-17. There were 7,589 patients were waiting for ophthalmology treatment in Aneurin Bevan on 31 March 2017.</t>
  </si>
  <si>
    <t>The number of closed pathways for ophthalmology in Cardiff &amp; Vale was 14,878 in 2016-17. There were 6,924 patients were waiting for ophthalmology treatment in Cardiff &amp; Vale on 31 March 2017.</t>
  </si>
  <si>
    <t>The number of closed pathways for ophthalmology in Wales was 103,895 in 2016-17. There were 41,790 patients were waiting for ophthalmology treatment in Wales on 31 March 2017.</t>
  </si>
  <si>
    <t>Chart 15i: Practices</t>
  </si>
  <si>
    <t>Chart 15i: Percentage of optometry practices that were accredited to provide Eye Health Examinations Wales (EHEW) and Low Vision Service (LVS) Wales services</t>
  </si>
  <si>
    <t xml:space="preserve">338 (93 per cent) optometry practices were accredited to provide Eye Health Examinations Wales services in Wales in the 2016-17 financial year; a 5 percentage point increase on the previous year. </t>
  </si>
  <si>
    <t xml:space="preserve">75 (93 per cent) optometry practices were accredited to provide Eye Health Examinations Wales services in Betsi Cadwaladr in the 2016-17 financial year; a 3 percentage point increase on the previous year. </t>
  </si>
  <si>
    <t xml:space="preserve">18 (95 per cent) optometry practices were accredited to provide Eye Health Examinations Wales services in Powys in the 2016-17 financial year; an 11 percentage point increase on the previous year. </t>
  </si>
  <si>
    <t xml:space="preserve">43 (93 per cent) optometry practices were accredited to provide Eye Health Examinations Wales services in Hywel Dda in the 2016-17 financial year; a 12 percentage point increase on the previous year. </t>
  </si>
  <si>
    <t xml:space="preserve">46 (85 per cent) optometry practices were accredited to provide Eye Health Examinations Wales services in ABM in the 2016-17 financial year; an 11 percentage point increase on the previous year. </t>
  </si>
  <si>
    <t xml:space="preserve">27 (96 per cent) optometry practices were accredited to provide Eye Health Examinations Wales services in Cwm Taf in the 2016-17 financial year; the same as the previous year. </t>
  </si>
  <si>
    <t xml:space="preserve">64 (94 per cent) optometry practices were accredited to provide Eye Health Examinations Wales services in Aneurin Bevan in the 2016-17 financial year; a 6 percentage point increase on the previous year. </t>
  </si>
  <si>
    <t xml:space="preserve">65 (94 per cent) optometry practices were accredited to provide Eye Health Examinations Wales services in Cardiff &amp; Vale in the 2016-17 financial year; a 3 percentage point decrease on the previous year. </t>
  </si>
  <si>
    <t>338 (93 per cent) optometry practices were accredited to provide Eye Health Examinations Wales services in Wales in the 2016-17 financial year and 210 (58 per cent) of optometry practices were accredited to provide Low Vision Service Wales services in Wales in the 2016-17 financial year. Cwm Taf had the highest proportion of practices providing EHEW services and Powys had the highest proportion of practices providing LVSW services.</t>
  </si>
  <si>
    <t>Optometry practices that were accredited to provide Eye Health Examinations Wales (EHEW) and Low Vision Service (LVS) Wales services</t>
  </si>
  <si>
    <t>18 (95 per cent) optometry practices in Powys were accredited to provide Eye Health Examinations Wales services and 15 (79 per cent) to provide Low Vision Service Wales services in 2016-17.</t>
  </si>
  <si>
    <t>43 (93 per cent) optometry practices in Hywel Dda were accredited to provide Eye Health Examinations Wales services and 32 (70 per cent) to provide Low Vision Service Wales services in 2016-17.</t>
  </si>
  <si>
    <t>75 (93 per cent) optometry practices in Betsi Cadwaladr were accredited to provide Eye Health Examinations Wales services and 41 (51 per cent) to provide Low Vision Service Wales services in 2016-17.</t>
  </si>
  <si>
    <t>46 (85 per cent) optometry practices in ABM were accredited to provide Eye Health Examinations Wales services and 25 (46 per cent) to provide Low Vision Service Wales services in 2016-17.</t>
  </si>
  <si>
    <t>27 (96 per cent) optometry practices in Cwm Taf were accredited to provide Eye Health Examinations Wales services and 18 (64 per cent) to provide Low Vision Service Wales services in 2016-17.</t>
  </si>
  <si>
    <t>64 (94 per cent) optometry practices in Wales were accredited to provide Eye Health Examinations Wales services and 43 (63 per cent) to provide Low Vision Service Wales services in 2016-17.</t>
  </si>
  <si>
    <t>65 (94 per cent) optometry practices in Wales were accredited to provide Eye Health Examinations Wales services and 36 (52 per cent) to provide Low Vision Service Wales services in 2016-17.</t>
  </si>
  <si>
    <t>338 (93 per cent) optometry practices in Wales were accredited to provide Eye Health Examinations Wales services and 210 (58 per cent) to provide Low Vision Service Wales services in 2016-17.</t>
  </si>
  <si>
    <t>225 out of 1,000 Betsi Cadwaladr residents had a sight test paid by the NHS during the 2016-17 financial year. This figure was the same as last year's figure.</t>
  </si>
  <si>
    <t>205 out of 1,000 Powys residents had a sight test paid by the NHS during the 2016-17 financial year. This figure was an increase on last year's figure of 203.</t>
  </si>
  <si>
    <t>272 out of 1,000 Hywel Dda residents had a sight test paid by the NHS during the 2016-17 financial year. This figure was an increase on last year's figure of 264.</t>
  </si>
  <si>
    <t>257 out of 1,000 ABM residents had a sight test paid by the NHS during the 2016-17 financial year. This figure was an increase on last year's figure of 252.</t>
  </si>
  <si>
    <t>287 out of 1,000 Cwm Taf residents had a sight test paid by the NHS during the 2016-17 financial year. This figure was an increase on last year's figure of 284.</t>
  </si>
  <si>
    <t>261 out of 1,000 Aneurin Bevan residents had a sight test paid by the NHS during the 2016-17 financial year. This figure was an increase on last year's figure of 259.</t>
  </si>
  <si>
    <t>242 out of 1,000 Cardiff &amp; Vale residents had a sight test paid by the NHS during the 2016-17 financial year. This figure was a slight decrease on last year's figure of 243.</t>
  </si>
  <si>
    <t>251 out of 1,000 Welsh residents had a sight test paid by the NHS during the 2016-17 financial year. This figure was an increase on last year's figure of 248.</t>
  </si>
  <si>
    <t>The data can be broken down by Health Board level or can be shown overall for Wales. Click here to select the breakdown.</t>
  </si>
  <si>
    <t>Currently selected:</t>
  </si>
  <si>
    <t>stats.healthinfo@wales.gsi.gov.uk.</t>
  </si>
  <si>
    <t xml:space="preserve">We welcome any feedback on this dashboard which can be provided by email to </t>
  </si>
  <si>
    <t>* Income support includes: Adults receiving Income Support, Universal Credit, Pension Credit Guarentee Credit, Income related Employment and Support allowance, Tax Credit or Job Seekers Allowance and adults holding a low income certificate</t>
  </si>
  <si>
    <t>The target waiting time in Wales is 14 weeks and on 31 March 2017 there were 12 patients that had been waiting for more than 14 weeks in Cardiff &amp; Vale</t>
  </si>
  <si>
    <t>When Wales or a health board is selected the dashboard updates to show that area's data.</t>
  </si>
  <si>
    <t>Chart 2c shows that between 2015-16 and 2016-17 that the number of Hywel Dda residents on income support who received sight tests paid for by the NHS has increased in comparison to the size of the population.</t>
  </si>
  <si>
    <t>Chart 2c shows that between 2015-16 and 2016-17 that the number of ABM residents on income support who received sight tests paid for by the NHS has stayed constant in comparison to the size of the population.</t>
  </si>
  <si>
    <t>Chart 4c shows that between 2015-16 and 2016-17 that the number of ABM residents on income support who had vouchers reimbursed has stayed constant in comparison to the size of the population.</t>
  </si>
  <si>
    <t>Chart 6 shows that in 2016-17 the total number of referrals in Powys had decreased.</t>
  </si>
  <si>
    <t>Chart 6 shows that in 2016-17 the total number of referrals in Cwm Taf had decreased.</t>
  </si>
  <si>
    <t>The number of referrals from GPs in Powys has decreased since last year. There were 690 fewer GP referrals in 2016-17 than in 2015-16.</t>
  </si>
  <si>
    <t>The number of referrals from GPs in ABM has decreased since last year. There were 150 fewer GP referrals in 2016-17 than in 2015-16.</t>
  </si>
  <si>
    <t>The number of referrals from GPs in Wales has decreased over the same period of time but note that Betsi Cadwaladr were unable to submit data for part of the health board for November 2016-March 2017 due to moving to the national Welsh Patient Administration System (WPAS).</t>
  </si>
  <si>
    <t>Chart 7a shows that the number of people in Betsi Cadwaladr who had a low vision assessment has increased over the last 5 years. In 2016-17 the figure reached 1,781 which was 360 more assessments than in 2015-16.</t>
  </si>
  <si>
    <t>Chart 7a shows that the number of people in Cwm Taf who had a low vision assessment has fluctuated over the last 5 years. In 2016-17 the figure reached 631 which was 40 less assessments than in 2015-16.</t>
  </si>
  <si>
    <t>Chart 7a shows that the number of people in Aneurin Bevan who had a low vision assessment has increased over the last 5 years. In 2016-17 the figure reached 1,761 which was 190 more assessments than in 2015-16.</t>
  </si>
  <si>
    <t>Chart 13b shows that there were 9,115 patient pathways waiting for ophthalmology treatment in Betsi Cadwaladr as at March 2017. Overall 1 per cent of patient pathways had waited more than 36 weeks on their pathway as at 31 March 2017.</t>
  </si>
  <si>
    <t>Chart 13b shows that there were 615 patient pathways were waiting for ophthalmology treatment in Powys as at March 2017. No patient pathways had waited more than 26 weeks on their pathway as at 31 March 2017.</t>
  </si>
  <si>
    <t>Chart 13b shows that there were 6,135 patient pathways were waiting for ophthalmology treatment in Hywel Dda as at March 2017. Overall 7 per cent of patient pathways had waited more than 36 weeks on their pathway as at 31 March 2017.</t>
  </si>
  <si>
    <t>Chart 13b shows that there were 7,475 patient  pathways were waiting for ophthalmology treatment in ABM as at March 2017. Overall 1 per cent of patient  pathways had waited more than 36 weeks on their pathway as at 31 March 2017.</t>
  </si>
  <si>
    <t>Chart 13b shows that there were 3,937 patient pathways were waiting for ophthalmology treatment in Cwm Taf as at March 2017. No patient pathways had waited more than 36 weeks on their pathway as at 31 March 2017.</t>
  </si>
  <si>
    <t>Chart 13b shows that there were 7,589 patient pathways were waiting for ophthalmology treatment in Aneurin Bevan as at March 2017. Overall 1 per cent of patient pathways had waited more than 36 weeks on their pathway as at 31 March 2017.</t>
  </si>
  <si>
    <t>Chart 13b shows that there were 6,924 patient pathways were waiting for ophthalmology treatment in Cardiff &amp; Vale as at March 2017. Overall 2 per cent of patient pathways had waited more than 36 weeks on their pathway as at 31 March 2017.</t>
  </si>
  <si>
    <t>Chart 13b shows that there were 41,790 patient pathways were waiting for ophthalmology treatment in Wales as at March 2017. Overall 2 per cent of patient pathways had waited more than 36 weeks on their pathway as at 31 March 2017.</t>
  </si>
  <si>
    <t>Chart 14d shows that the number of admissions for a diagnosis relating to hearing loss in Cwm Taf has decreased over 5 years. The figure in 2015-16 reached 473 which was 89 more than in 2014-15.</t>
  </si>
  <si>
    <t>The number of male ophthalmic practitioners in Powys in 2016 decreased from the figure in 2015 while the number of females increased. This lead to the number of ophthalmic practitioners in Powys in 2016 remaining the same as in 2015.</t>
  </si>
  <si>
    <t>The number of male ophthalmic practitioners in Hywel Dda in 2016 decreased from the figure in 2015 and while the number of females increased. This lead to an overall increase in the number of ophthalmic practitioners in Hywel Dda in 2016.</t>
  </si>
  <si>
    <t>The number of male ophthalmic practitioners in ABM in 2016 decreased from the figure in 2015 and the number of females also decreased. This lead to an overall decrease in the number of ophthalmic practitioners in ABM in 2016.</t>
  </si>
  <si>
    <t>The number of male ophthalmic practitioners in Cardiff &amp; Vale in 2016 decreased from the figure in 2015 while the number of females increased. This lead to an overall increase in the number of ophthalmic practitioners in Cardiff &amp; Vale in 2016.</t>
  </si>
  <si>
    <t>The number of optometrists and ophthalmic medical practitioners in Powys remained the same in 2016 as they were in 2015.</t>
  </si>
  <si>
    <t>The number of optometrists in Hywel Dda in 2016 increased from the figure in 2015 and while the number of ophthalmic medical practitioners remained the same. This lead to an overall increase in the number of ophthalmic practitioners in Hywel Dda in 2016.</t>
  </si>
  <si>
    <t>The number of optometrists in ABM in 2016 decreased from the figure in 2015 and the number of ophthalmic medical practitioners also decreased. This lead to an overall decrease in the number of ophthalmic practitioners in ABM in 2016.</t>
  </si>
  <si>
    <t>The number of optometrists in Cardiff &amp; Vale in 2016 increased from the figure in 2015 while the number of ophthalmic medical practitioners remained at 0. This lead to an overall increase in the number of ophthalmic practitioners in Cardiff &amp; Vale in 2016.</t>
  </si>
  <si>
    <t>Chart 10b shows that the number of WTE staff in the area of otolaryngology directly employed by the NHS in Wales has increased since 2012. In 2016 there were 133.6 WTE staff in the area of otolaryngology directly employed by this NHS in Wales which is 6.2 more than in 2015.</t>
  </si>
  <si>
    <t>Chart 6 shows that from 2013-14 to 2015-16 the total number of referrals in Betsi Cadwaladr increased.</t>
  </si>
  <si>
    <t>Chart 6 shows that the total number of referrals in Hywel Dda has increased over the last 4 years.</t>
  </si>
  <si>
    <t>Chart 6 shows that the total number of referrals in ABM has increased over the last 3 years.</t>
  </si>
  <si>
    <t>Chart 6 shows that the total number of referrals in Aneurin Bevan has increased over the last 4 years.</t>
  </si>
  <si>
    <t>Chart 6 shows that the total number of referrals in Cardiff &amp; Vale has increased over the last 4 years.</t>
  </si>
  <si>
    <t>Chart 6 shows that from 2013-14 to 2015-16 the total number of referrals in Wales increased.</t>
  </si>
  <si>
    <t>The number of referrals from GPs in Betsi Cadwaladr has decreased but note that Betsi Cadwaladr were unable to submit data for part of the health board for November 2016-March 2017 due to moving to the national Welsh Patient Administration System (WPAS).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</si>
</sst>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78" x14ac:knownFonts="1">
    <font>
      <sz val="12"/>
      <color theme="1"/>
      <name val="Arial"/>
      <family val="2"/>
    </font>
    <font>
      <sz val="9"/>
      <color theme="1"/>
      <name val="Arial"/>
      <family val="2"/>
    </font>
    <font>
      <b/>
      <sz val="9"/>
      <color theme="1"/>
      <name val="Arial"/>
      <family val="2"/>
    </font>
    <font>
      <b/>
      <sz val="12"/>
      <color theme="1"/>
      <name val="Arial"/>
      <family val="2"/>
    </font>
    <font>
      <u/>
      <sz val="12"/>
      <color theme="10"/>
      <name val="Arial"/>
      <family val="2"/>
    </font>
    <font>
      <sz val="12"/>
      <color theme="1"/>
      <name val="Arial"/>
      <family val="2"/>
    </font>
    <font>
      <sz val="10"/>
      <name val="Arial"/>
      <family val="2"/>
    </font>
    <font>
      <sz val="8"/>
      <color theme="1"/>
      <name val="Arial"/>
      <family val="2"/>
    </font>
    <font>
      <b/>
      <sz val="28"/>
      <color theme="1"/>
      <name val="Arial"/>
      <family val="2"/>
    </font>
    <font>
      <sz val="8"/>
      <color rgb="FF000000"/>
      <name val="Verdana"/>
      <family val="2"/>
    </font>
    <font>
      <u/>
      <sz val="8"/>
      <color theme="10"/>
      <name val="Arial"/>
      <family val="2"/>
    </font>
    <font>
      <sz val="8"/>
      <color rgb="FF000080"/>
      <name val="Verdana"/>
      <family val="2"/>
    </font>
    <font>
      <b/>
      <sz val="8"/>
      <color rgb="FFFF0000"/>
      <name val="Verdana"/>
      <family val="2"/>
    </font>
    <font>
      <sz val="8"/>
      <name val="Wingdings"/>
      <charset val="2"/>
    </font>
    <font>
      <sz val="10"/>
      <color theme="1"/>
      <name val="Arial"/>
      <family val="2"/>
    </font>
    <font>
      <sz val="11"/>
      <color theme="1"/>
      <name val="Calibri"/>
      <family val="2"/>
      <scheme val="minor"/>
    </font>
    <font>
      <u/>
      <sz val="11"/>
      <color theme="10"/>
      <name val="Calibri"/>
      <family val="2"/>
      <scheme val="minor"/>
    </font>
    <font>
      <sz val="28"/>
      <color rgb="FF032163"/>
      <name val="Calibri"/>
      <family val="2"/>
      <scheme val="minor"/>
    </font>
    <font>
      <sz val="72"/>
      <color rgb="FF032163"/>
      <name val="Arial"/>
      <family val="2"/>
    </font>
    <font>
      <sz val="48"/>
      <color rgb="FF032163"/>
      <name val="Arial"/>
      <family val="2"/>
    </font>
    <font>
      <sz val="28"/>
      <color rgb="FF032163"/>
      <name val="Arial"/>
      <family val="2"/>
    </font>
    <font>
      <sz val="20"/>
      <color rgb="FF032163"/>
      <name val="Arial"/>
      <family val="2"/>
    </font>
    <font>
      <sz val="14"/>
      <color rgb="FF032163"/>
      <name val="Arial"/>
      <family val="2"/>
    </font>
    <font>
      <sz val="11"/>
      <color rgb="FF032163"/>
      <name val="Arial"/>
      <family val="2"/>
    </font>
    <font>
      <sz val="9"/>
      <color rgb="FF032163"/>
      <name val="Arial"/>
      <family val="2"/>
    </font>
    <font>
      <sz val="11"/>
      <color theme="1"/>
      <name val="Arial"/>
      <family val="2"/>
    </font>
    <font>
      <b/>
      <sz val="8"/>
      <color theme="1"/>
      <name val="Arial"/>
      <family val="2"/>
    </font>
    <font>
      <sz val="8"/>
      <name val="Arial"/>
      <family val="2"/>
    </font>
    <font>
      <sz val="12"/>
      <name val="Arial"/>
      <family val="2"/>
    </font>
    <font>
      <b/>
      <sz val="10"/>
      <color theme="1"/>
      <name val="Arial"/>
      <family val="2"/>
    </font>
    <font>
      <sz val="8"/>
      <color rgb="FF00B050"/>
      <name val="Arial"/>
      <family val="2"/>
    </font>
    <font>
      <b/>
      <sz val="8"/>
      <name val="Arial"/>
      <family val="2"/>
    </font>
    <font>
      <sz val="16"/>
      <color rgb="FF032163"/>
      <name val="Arial"/>
      <family val="2"/>
    </font>
    <font>
      <sz val="52"/>
      <color rgb="FF032163"/>
      <name val="Arial"/>
      <family val="2"/>
    </font>
    <font>
      <sz val="30"/>
      <color rgb="FF032163"/>
      <name val="Arial"/>
      <family val="2"/>
    </font>
    <font>
      <sz val="12"/>
      <color rgb="FF032163"/>
      <name val="Arial"/>
      <family val="2"/>
    </font>
    <font>
      <b/>
      <sz val="14"/>
      <color theme="1"/>
      <name val="Arial"/>
      <family val="2"/>
    </font>
    <font>
      <sz val="8"/>
      <color rgb="FF000000"/>
      <name val="Tahoma"/>
      <family val="2"/>
    </font>
    <font>
      <sz val="8"/>
      <color rgb="FF000000"/>
      <name val="Calibri"/>
      <family val="2"/>
    </font>
    <font>
      <sz val="36"/>
      <color rgb="FF032163"/>
      <name val="Arial"/>
      <family val="2"/>
    </font>
    <font>
      <u/>
      <sz val="11"/>
      <color rgb="FF0000FF"/>
      <name val="Arial"/>
      <family val="2"/>
    </font>
    <font>
      <u/>
      <sz val="10"/>
      <color theme="10"/>
      <name val="Arial"/>
      <family val="2"/>
    </font>
    <font>
      <u/>
      <sz val="10"/>
      <color theme="0"/>
      <name val="Arial"/>
      <family val="2"/>
    </font>
    <font>
      <sz val="8"/>
      <color rgb="FF000000"/>
      <name val="Arial"/>
      <family val="2"/>
    </font>
    <font>
      <b/>
      <sz val="9.6"/>
      <color theme="1"/>
      <name val="Arial"/>
      <family val="2"/>
    </font>
    <font>
      <sz val="60"/>
      <color rgb="FF032163"/>
      <name val="Arial"/>
      <family val="2"/>
    </font>
    <font>
      <sz val="26"/>
      <color rgb="FF032163"/>
      <name val="Arial"/>
      <family val="2"/>
    </font>
    <font>
      <sz val="18"/>
      <color rgb="FF032163"/>
      <name val="Arial"/>
      <family val="2"/>
    </font>
    <font>
      <sz val="24"/>
      <color rgb="FF032163"/>
      <name val="Arial"/>
      <family val="2"/>
    </font>
    <font>
      <sz val="12"/>
      <color rgb="FF002060"/>
      <name val="Arial"/>
      <family val="2"/>
    </font>
    <font>
      <sz val="16"/>
      <color rgb="FF002060"/>
      <name val="Arial"/>
      <family val="2"/>
    </font>
    <font>
      <sz val="42"/>
      <color rgb="FF002060"/>
      <name val="Arial"/>
      <family val="2"/>
    </font>
    <font>
      <sz val="9"/>
      <color rgb="FF002060"/>
      <name val="Arial"/>
      <family val="2"/>
    </font>
    <font>
      <sz val="60"/>
      <color rgb="FF002060"/>
      <name val="Arial"/>
      <family val="2"/>
    </font>
    <font>
      <sz val="31.5"/>
      <color rgb="FF032163"/>
      <name val="Arial"/>
      <family val="2"/>
    </font>
    <font>
      <b/>
      <u/>
      <sz val="11"/>
      <color rgb="FF002060"/>
      <name val="Arial"/>
      <family val="2"/>
    </font>
    <font>
      <sz val="8"/>
      <color rgb="FF002060"/>
      <name val="Arial"/>
      <family val="2"/>
    </font>
    <font>
      <b/>
      <u/>
      <sz val="8"/>
      <color rgb="FF002060"/>
      <name val="Arial"/>
      <family val="2"/>
    </font>
    <font>
      <b/>
      <u/>
      <sz val="11"/>
      <name val="Arial"/>
      <family val="2"/>
    </font>
    <font>
      <sz val="52"/>
      <color rgb="FF002060"/>
      <name val="Arial"/>
      <family val="2"/>
    </font>
    <font>
      <sz val="7.5"/>
      <color rgb="FF002060"/>
      <name val="Arial"/>
      <family val="2"/>
    </font>
    <font>
      <sz val="8"/>
      <color rgb="FF385D8A"/>
      <name val="Arial"/>
      <family val="2"/>
    </font>
    <font>
      <sz val="14"/>
      <color rgb="FF002060"/>
      <name val="Arial"/>
      <family val="2"/>
    </font>
    <font>
      <b/>
      <sz val="8"/>
      <color rgb="FF000000"/>
      <name val="Arial"/>
      <family val="2"/>
    </font>
    <font>
      <sz val="10"/>
      <color rgb="FF000000"/>
      <name val="Arial"/>
      <family val="2"/>
    </font>
    <font>
      <sz val="11"/>
      <color indexed="8"/>
      <name val="Calibri"/>
      <family val="2"/>
    </font>
    <font>
      <b/>
      <sz val="10"/>
      <name val="Arial"/>
      <family val="2"/>
    </font>
    <font>
      <b/>
      <sz val="10"/>
      <color rgb="FF000000"/>
      <name val="Arial"/>
      <family val="2"/>
    </font>
    <font>
      <sz val="7"/>
      <color rgb="FF002060"/>
      <name val="Arial"/>
      <family val="2"/>
    </font>
    <font>
      <b/>
      <sz val="9"/>
      <color rgb="FF002060"/>
      <name val="Arial"/>
      <family val="2"/>
    </font>
    <font>
      <sz val="8"/>
      <color rgb="FFFF0000"/>
      <name val="Arial"/>
      <family val="2"/>
    </font>
    <font>
      <sz val="32"/>
      <color rgb="FF002060"/>
      <name val="Arial"/>
      <family val="2"/>
    </font>
    <font>
      <sz val="28"/>
      <color rgb="FF002060"/>
      <name val="Arial"/>
      <family val="2"/>
    </font>
    <font>
      <sz val="20"/>
      <color rgb="FF002060"/>
      <name val="Arial"/>
      <family val="2"/>
    </font>
    <font>
      <sz val="10"/>
      <color theme="1"/>
      <name val="Symbol"/>
      <family val="1"/>
      <charset val="2"/>
    </font>
    <font>
      <sz val="11"/>
      <name val="Arial"/>
      <family val="2"/>
    </font>
    <font>
      <sz val="36"/>
      <color rgb="FF002060"/>
      <name val="Arial"/>
      <family val="2"/>
    </font>
    <font>
      <u/>
      <sz val="11"/>
      <color theme="10"/>
      <name val="Arial"/>
      <family val="2"/>
    </font>
  </fonts>
  <fills count="24">
    <fill>
      <patternFill patternType="none"/>
    </fill>
    <fill>
      <patternFill patternType="gray125"/>
    </fill>
    <fill>
      <patternFill patternType="solid">
        <fgColor theme="0"/>
        <bgColor indexed="64"/>
      </patternFill>
    </fill>
    <fill>
      <patternFill patternType="solid">
        <fgColor rgb="FFFFE7E7"/>
        <bgColor indexed="64"/>
      </patternFill>
    </fill>
    <fill>
      <patternFill patternType="solid">
        <fgColor rgb="FFFFDDDD"/>
        <bgColor indexed="64"/>
      </patternFill>
    </fill>
    <fill>
      <patternFill patternType="solid">
        <fgColor rgb="FFFFEBCD"/>
        <bgColor indexed="64"/>
      </patternFill>
    </fill>
    <fill>
      <patternFill patternType="solid">
        <fgColor rgb="FFFEFFCD"/>
        <bgColor indexed="64"/>
      </patternFill>
    </fill>
    <fill>
      <patternFill patternType="solid">
        <fgColor rgb="FFE6FFCD"/>
        <bgColor indexed="64"/>
      </patternFill>
    </fill>
    <fill>
      <patternFill patternType="solid">
        <fgColor rgb="FFCDFFDE"/>
        <bgColor indexed="64"/>
      </patternFill>
    </fill>
    <fill>
      <patternFill patternType="solid">
        <fgColor rgb="FFCDF3FF"/>
        <bgColor indexed="64"/>
      </patternFill>
    </fill>
    <fill>
      <patternFill patternType="solid">
        <fgColor rgb="FFECCDFF"/>
        <bgColor indexed="64"/>
      </patternFill>
    </fill>
    <fill>
      <patternFill patternType="solid">
        <fgColor rgb="FFFFCDEE"/>
        <bgColor indexed="64"/>
      </patternFill>
    </fill>
    <fill>
      <patternFill patternType="solid">
        <fgColor rgb="FFCDE7FF"/>
        <bgColor indexed="64"/>
      </patternFill>
    </fill>
    <fill>
      <patternFill patternType="solid">
        <fgColor rgb="FFCDD3FF"/>
        <bgColor indexed="64"/>
      </patternFill>
    </fill>
    <fill>
      <patternFill patternType="solid">
        <fgColor rgb="FFCFCDFF"/>
        <bgColor indexed="64"/>
      </patternFill>
    </fill>
    <fill>
      <patternFill patternType="solid">
        <fgColor theme="0"/>
        <bgColor rgb="FF000000"/>
      </patternFill>
    </fill>
    <fill>
      <patternFill patternType="solid">
        <fgColor theme="0" tint="-0.14999847407452621"/>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s>
  <borders count="4">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32">
    <xf numFmtId="0" fontId="0" fillId="0" borderId="0"/>
    <xf numFmtId="0" fontId="4" fillId="0" borderId="0" applyNumberFormat="0" applyFill="0" applyBorder="0" applyAlignment="0" applyProtection="0"/>
    <xf numFmtId="0" fontId="5" fillId="0" borderId="0"/>
    <xf numFmtId="43" fontId="5"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 fillId="0" borderId="0"/>
    <xf numFmtId="0" fontId="28" fillId="0" borderId="0"/>
    <xf numFmtId="0" fontId="27" fillId="0" borderId="0"/>
    <xf numFmtId="0" fontId="27" fillId="0" borderId="0"/>
    <xf numFmtId="0" fontId="27" fillId="0" borderId="0"/>
    <xf numFmtId="0" fontId="27" fillId="0" borderId="0"/>
    <xf numFmtId="0" fontId="27" fillId="0" borderId="0"/>
    <xf numFmtId="0" fontId="6"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9" fontId="6" fillId="0" borderId="0" applyFont="0" applyFill="0" applyBorder="0" applyAlignment="0" applyProtection="0"/>
    <xf numFmtId="9" fontId="6" fillId="0" borderId="0" applyFont="0" applyFill="0" applyBorder="0" applyAlignment="0" applyProtection="0"/>
    <xf numFmtId="0" fontId="65" fillId="0" borderId="0"/>
  </cellStyleXfs>
  <cellXfs count="492">
    <xf numFmtId="0" fontId="0" fillId="0" borderId="0" xfId="0"/>
    <xf numFmtId="0" fontId="1" fillId="2" borderId="0" xfId="0" applyFont="1" applyFill="1"/>
    <xf numFmtId="0" fontId="2" fillId="2" borderId="0" xfId="0" applyFont="1" applyFill="1"/>
    <xf numFmtId="1" fontId="1" fillId="2" borderId="0" xfId="0" applyNumberFormat="1" applyFont="1" applyFill="1"/>
    <xf numFmtId="0" fontId="1" fillId="2" borderId="0" xfId="0" applyFont="1" applyFill="1" applyAlignment="1">
      <alignment horizontal="right"/>
    </xf>
    <xf numFmtId="0" fontId="1" fillId="2" borderId="0" xfId="0" applyFont="1" applyFill="1" applyBorder="1"/>
    <xf numFmtId="0" fontId="2" fillId="2" borderId="0" xfId="0" applyFont="1" applyFill="1" applyBorder="1"/>
    <xf numFmtId="3" fontId="1" fillId="2" borderId="0" xfId="0" applyNumberFormat="1" applyFont="1" applyFill="1" applyBorder="1"/>
    <xf numFmtId="0" fontId="0" fillId="2" borderId="0" xfId="0" applyFill="1"/>
    <xf numFmtId="0" fontId="0" fillId="2" borderId="0" xfId="0" applyFill="1" applyBorder="1"/>
    <xf numFmtId="0" fontId="3" fillId="2" borderId="0" xfId="0" applyFont="1" applyFill="1" applyBorder="1"/>
    <xf numFmtId="0" fontId="8" fillId="2" borderId="0" xfId="0" applyFont="1" applyFill="1" applyBorder="1"/>
    <xf numFmtId="0" fontId="7" fillId="2" borderId="0" xfId="0" applyFont="1" applyFill="1" applyProtection="1">
      <protection hidden="1"/>
    </xf>
    <xf numFmtId="0" fontId="11" fillId="2" borderId="0" xfId="0" applyFont="1" applyFill="1" applyProtection="1">
      <protection hidden="1"/>
    </xf>
    <xf numFmtId="0" fontId="9" fillId="2" borderId="0" xfId="0" applyFont="1" applyFill="1" applyProtection="1">
      <protection hidden="1"/>
    </xf>
    <xf numFmtId="0" fontId="12" fillId="2" borderId="0" xfId="0" applyFont="1" applyFill="1" applyProtection="1">
      <protection hidden="1"/>
    </xf>
    <xf numFmtId="0" fontId="13" fillId="2" borderId="0" xfId="0" applyFont="1" applyFill="1" applyProtection="1">
      <protection hidden="1"/>
    </xf>
    <xf numFmtId="0" fontId="13" fillId="2" borderId="0" xfId="0" applyFont="1" applyFill="1" applyAlignment="1" applyProtection="1">
      <alignment horizontal="left" vertical="top" wrapText="1"/>
      <protection hidden="1"/>
    </xf>
    <xf numFmtId="0" fontId="14" fillId="2" borderId="0" xfId="0" applyFont="1" applyFill="1" applyAlignment="1">
      <alignment vertical="center"/>
    </xf>
    <xf numFmtId="0" fontId="15" fillId="2" borderId="0" xfId="0" applyFont="1" applyFill="1" applyBorder="1" applyAlignment="1">
      <alignment vertical="top" wrapText="1"/>
    </xf>
    <xf numFmtId="0" fontId="16" fillId="2" borderId="0" xfId="1" applyFont="1" applyFill="1" applyBorder="1" applyAlignment="1"/>
    <xf numFmtId="0" fontId="15" fillId="2" borderId="0" xfId="0" applyFont="1" applyFill="1" applyBorder="1" applyAlignment="1">
      <alignment wrapText="1"/>
    </xf>
    <xf numFmtId="0" fontId="25" fillId="2" borderId="0" xfId="0" applyFont="1" applyFill="1" applyBorder="1" applyAlignment="1">
      <alignment vertical="center" wrapText="1"/>
    </xf>
    <xf numFmtId="0" fontId="7" fillId="2" borderId="0" xfId="0" applyFont="1" applyFill="1" applyBorder="1" applyAlignment="1">
      <alignment vertical="top" wrapText="1"/>
    </xf>
    <xf numFmtId="0" fontId="0" fillId="2" borderId="0" xfId="0" applyFill="1" applyBorder="1" applyProtection="1">
      <protection locked="0"/>
    </xf>
    <xf numFmtId="0" fontId="0" fillId="2" borderId="0" xfId="0" applyFill="1" applyProtection="1">
      <protection locked="0"/>
    </xf>
    <xf numFmtId="0" fontId="1" fillId="2" borderId="0" xfId="0" applyFont="1" applyFill="1" applyProtection="1">
      <protection locked="0"/>
    </xf>
    <xf numFmtId="0" fontId="0" fillId="2" borderId="0" xfId="0" applyFill="1" applyBorder="1" applyProtection="1"/>
    <xf numFmtId="0" fontId="0" fillId="2" borderId="0" xfId="0" applyFill="1" applyProtection="1"/>
    <xf numFmtId="0" fontId="8" fillId="2" borderId="0" xfId="0" applyFont="1" applyFill="1" applyBorder="1" applyProtection="1"/>
    <xf numFmtId="0" fontId="15" fillId="2" borderId="0" xfId="0" applyFont="1" applyFill="1" applyBorder="1" applyAlignment="1" applyProtection="1">
      <alignment vertical="top" wrapText="1"/>
    </xf>
    <xf numFmtId="0" fontId="16" fillId="2" borderId="0" xfId="1" applyFont="1" applyFill="1" applyBorder="1" applyAlignment="1" applyProtection="1"/>
    <xf numFmtId="0" fontId="15" fillId="2" borderId="0" xfId="0" applyFont="1" applyFill="1" applyBorder="1" applyAlignment="1" applyProtection="1">
      <alignment wrapText="1"/>
    </xf>
    <xf numFmtId="0" fontId="7" fillId="2" borderId="0" xfId="0" applyFont="1" applyFill="1" applyBorder="1" applyAlignment="1">
      <alignment vertical="center" wrapText="1"/>
    </xf>
    <xf numFmtId="0" fontId="14" fillId="2" borderId="0" xfId="0" applyFont="1" applyFill="1" applyBorder="1" applyAlignment="1">
      <alignment vertical="center"/>
    </xf>
    <xf numFmtId="0" fontId="7" fillId="0" borderId="0" xfId="0" applyFont="1"/>
    <xf numFmtId="0" fontId="7" fillId="2" borderId="0" xfId="0" applyFont="1" applyFill="1"/>
    <xf numFmtId="0" fontId="27" fillId="2" borderId="0" xfId="0" applyFont="1" applyFill="1"/>
    <xf numFmtId="0" fontId="26" fillId="2" borderId="0" xfId="0" applyFont="1" applyFill="1"/>
    <xf numFmtId="0" fontId="7" fillId="2" borderId="0" xfId="0" applyFont="1" applyFill="1" applyAlignment="1">
      <alignment horizontal="right"/>
    </xf>
    <xf numFmtId="0" fontId="25" fillId="2" borderId="0" xfId="0" applyFont="1" applyFill="1" applyBorder="1" applyAlignment="1">
      <alignment horizontal="left" vertical="center" wrapText="1"/>
    </xf>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Protection="1"/>
    <xf numFmtId="0" fontId="0" fillId="2" borderId="0" xfId="0" applyFill="1" applyAlignment="1" applyProtection="1">
      <alignment vertical="center"/>
    </xf>
    <xf numFmtId="0" fontId="7" fillId="2" borderId="0" xfId="0" applyFont="1" applyFill="1" applyBorder="1" applyAlignment="1">
      <alignment horizontal="left" vertical="center" wrapText="1"/>
    </xf>
    <xf numFmtId="0" fontId="34" fillId="2" borderId="0" xfId="0" applyFont="1" applyFill="1" applyBorder="1" applyAlignment="1">
      <alignment vertical="center"/>
    </xf>
    <xf numFmtId="0" fontId="7" fillId="2" borderId="0" xfId="0" applyFont="1" applyFill="1" applyProtection="1">
      <protection locked="0"/>
    </xf>
    <xf numFmtId="9" fontId="18" fillId="2" borderId="0" xfId="0" applyNumberFormat="1" applyFont="1" applyFill="1" applyBorder="1" applyAlignment="1">
      <alignment vertical="center"/>
    </xf>
    <xf numFmtId="0" fontId="33" fillId="2" borderId="0" xfId="0" applyFont="1" applyFill="1" applyBorder="1" applyAlignment="1">
      <alignment vertical="center"/>
    </xf>
    <xf numFmtId="0" fontId="21" fillId="2" borderId="0" xfId="0" applyFont="1" applyFill="1" applyBorder="1" applyAlignment="1">
      <alignment vertical="center" wrapText="1"/>
    </xf>
    <xf numFmtId="0" fontId="32" fillId="2" borderId="0" xfId="0"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17" fillId="2" borderId="0" xfId="0" applyFont="1" applyFill="1" applyBorder="1" applyAlignment="1">
      <alignment horizontal="center" vertical="center" wrapText="1"/>
    </xf>
    <xf numFmtId="0" fontId="15" fillId="2" borderId="0" xfId="0" applyFont="1" applyFill="1" applyAlignment="1">
      <alignment vertical="center" wrapText="1"/>
    </xf>
    <xf numFmtId="0" fontId="14" fillId="2" borderId="0" xfId="0" applyFont="1" applyFill="1" applyBorder="1"/>
    <xf numFmtId="0" fontId="15" fillId="2" borderId="0" xfId="0" applyFont="1" applyFill="1" applyBorder="1" applyAlignment="1">
      <alignment vertical="center" wrapText="1"/>
    </xf>
    <xf numFmtId="0" fontId="7" fillId="2" borderId="0" xfId="0" applyFont="1" applyFill="1" applyBorder="1" applyAlignment="1" applyProtection="1">
      <alignment horizontal="left" vertical="center" wrapText="1"/>
    </xf>
    <xf numFmtId="0" fontId="7" fillId="2" borderId="0" xfId="0" applyFont="1" applyFill="1" applyAlignment="1">
      <alignment wrapText="1"/>
    </xf>
    <xf numFmtId="0" fontId="7" fillId="3" borderId="0" xfId="0" applyFont="1" applyFill="1"/>
    <xf numFmtId="0" fontId="7" fillId="2" borderId="0" xfId="0" applyFont="1" applyFill="1" applyBorder="1" applyAlignment="1">
      <alignment vertical="top"/>
    </xf>
    <xf numFmtId="0" fontId="30" fillId="2" borderId="0" xfId="0" applyFont="1" applyFill="1" applyAlignment="1">
      <alignment wrapText="1"/>
    </xf>
    <xf numFmtId="164" fontId="27" fillId="2" borderId="0" xfId="0" applyNumberFormat="1" applyFont="1" applyFill="1"/>
    <xf numFmtId="165" fontId="7" fillId="2" borderId="0" xfId="0" applyNumberFormat="1" applyFont="1" applyFill="1"/>
    <xf numFmtId="0" fontId="7" fillId="3" borderId="0" xfId="0" applyFont="1" applyFill="1" applyProtection="1">
      <protection locked="0"/>
    </xf>
    <xf numFmtId="0" fontId="26" fillId="3" borderId="1" xfId="0" applyFont="1" applyFill="1" applyBorder="1" applyProtection="1">
      <protection locked="0"/>
    </xf>
    <xf numFmtId="0" fontId="7" fillId="3" borderId="1" xfId="0" applyFont="1" applyFill="1" applyBorder="1" applyProtection="1">
      <protection locked="0"/>
    </xf>
    <xf numFmtId="1" fontId="7" fillId="3" borderId="0" xfId="0" applyNumberFormat="1" applyFont="1" applyFill="1" applyProtection="1">
      <protection locked="0"/>
    </xf>
    <xf numFmtId="0" fontId="7" fillId="3" borderId="0" xfId="0" quotePrefix="1" applyFont="1" applyFill="1" applyProtection="1">
      <protection locked="0"/>
    </xf>
    <xf numFmtId="0" fontId="7" fillId="3" borderId="0" xfId="0" applyFont="1" applyFill="1" applyAlignment="1" applyProtection="1">
      <alignment horizontal="right"/>
      <protection locked="0"/>
    </xf>
    <xf numFmtId="1" fontId="7" fillId="3" borderId="0" xfId="0" applyNumberFormat="1" applyFont="1" applyFill="1" applyAlignment="1" applyProtection="1">
      <alignment horizontal="right"/>
      <protection locked="0"/>
    </xf>
    <xf numFmtId="164" fontId="7" fillId="3" borderId="0" xfId="0" applyNumberFormat="1" applyFont="1" applyFill="1" applyProtection="1">
      <protection locked="0"/>
    </xf>
    <xf numFmtId="164" fontId="7" fillId="3" borderId="0" xfId="0" applyNumberFormat="1" applyFont="1" applyFill="1" applyAlignment="1" applyProtection="1">
      <alignment horizontal="right"/>
      <protection locked="0"/>
    </xf>
    <xf numFmtId="0" fontId="29" fillId="3" borderId="0" xfId="0" applyFont="1" applyFill="1" applyProtection="1">
      <protection locked="0"/>
    </xf>
    <xf numFmtId="0" fontId="7"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16" fillId="2" borderId="0" xfId="1" applyFont="1" applyFill="1" applyBorder="1" applyAlignment="1">
      <alignment vertical="top"/>
    </xf>
    <xf numFmtId="0" fontId="10" fillId="2" borderId="0" xfId="1" applyFont="1" applyFill="1" applyAlignment="1" applyProtection="1">
      <protection hidden="1"/>
    </xf>
    <xf numFmtId="3" fontId="7" fillId="2" borderId="0" xfId="0" applyNumberFormat="1" applyFont="1" applyFill="1" applyBorder="1" applyAlignment="1">
      <alignment vertical="center" wrapText="1"/>
    </xf>
    <xf numFmtId="0" fontId="29" fillId="4" borderId="0" xfId="0" applyFont="1" applyFill="1"/>
    <xf numFmtId="0" fontId="7" fillId="4" borderId="0" xfId="0" applyFont="1" applyFill="1"/>
    <xf numFmtId="0" fontId="26" fillId="4" borderId="1" xfId="0" applyFont="1" applyFill="1" applyBorder="1"/>
    <xf numFmtId="0" fontId="7" fillId="4" borderId="0" xfId="0" applyFont="1" applyFill="1" applyBorder="1"/>
    <xf numFmtId="3" fontId="7" fillId="4" borderId="0" xfId="0" applyNumberFormat="1" applyFont="1" applyFill="1" applyAlignment="1">
      <alignment horizontal="right"/>
    </xf>
    <xf numFmtId="0" fontId="7" fillId="4" borderId="2" xfId="0" applyFont="1" applyFill="1" applyBorder="1" applyProtection="1">
      <protection locked="0"/>
    </xf>
    <xf numFmtId="0" fontId="7" fillId="4" borderId="0" xfId="0" applyFont="1" applyFill="1" applyBorder="1" applyProtection="1">
      <protection locked="0"/>
    </xf>
    <xf numFmtId="0" fontId="26" fillId="4" borderId="0" xfId="0" applyFont="1" applyFill="1"/>
    <xf numFmtId="0" fontId="26" fillId="4" borderId="0" xfId="0" applyFont="1" applyFill="1" applyBorder="1"/>
    <xf numFmtId="164" fontId="27" fillId="4" borderId="0" xfId="0" applyNumberFormat="1" applyFont="1" applyFill="1" applyAlignment="1">
      <alignment horizontal="left"/>
    </xf>
    <xf numFmtId="164" fontId="27" fillId="4" borderId="0" xfId="0" applyNumberFormat="1" applyFont="1" applyFill="1" applyAlignment="1">
      <alignment horizontal="right"/>
    </xf>
    <xf numFmtId="0" fontId="30" fillId="4" borderId="0" xfId="0" applyFont="1" applyFill="1" applyAlignment="1">
      <alignment horizontal="right"/>
    </xf>
    <xf numFmtId="0" fontId="26" fillId="5" borderId="0" xfId="0" applyFont="1" applyFill="1"/>
    <xf numFmtId="0" fontId="26" fillId="5" borderId="1" xfId="0" applyFont="1" applyFill="1" applyBorder="1"/>
    <xf numFmtId="0" fontId="7" fillId="5" borderId="0" xfId="0" applyFont="1" applyFill="1"/>
    <xf numFmtId="3" fontId="7" fillId="5" borderId="0" xfId="0" applyNumberFormat="1" applyFont="1" applyFill="1"/>
    <xf numFmtId="0" fontId="29" fillId="5" borderId="0" xfId="0" applyFont="1" applyFill="1"/>
    <xf numFmtId="0" fontId="7" fillId="5" borderId="0" xfId="0" applyFont="1" applyFill="1" applyProtection="1">
      <protection locked="0"/>
    </xf>
    <xf numFmtId="0" fontId="7" fillId="5" borderId="2" xfId="0" applyFont="1" applyFill="1" applyBorder="1" applyProtection="1">
      <protection locked="0"/>
    </xf>
    <xf numFmtId="0" fontId="29" fillId="5" borderId="0" xfId="0" applyFont="1" applyFill="1" applyProtection="1">
      <protection locked="0"/>
    </xf>
    <xf numFmtId="0" fontId="26" fillId="5" borderId="1" xfId="0" applyFont="1" applyFill="1" applyBorder="1" applyProtection="1">
      <protection locked="0"/>
    </xf>
    <xf numFmtId="3" fontId="7" fillId="5" borderId="0" xfId="0" applyNumberFormat="1" applyFont="1" applyFill="1" applyProtection="1">
      <protection locked="0"/>
    </xf>
    <xf numFmtId="1" fontId="7" fillId="5" borderId="0" xfId="0" applyNumberFormat="1" applyFont="1" applyFill="1" applyProtection="1">
      <protection locked="0"/>
    </xf>
    <xf numFmtId="0" fontId="7" fillId="5" borderId="0" xfId="0" quotePrefix="1" applyFont="1" applyFill="1" applyProtection="1">
      <protection locked="0"/>
    </xf>
    <xf numFmtId="3" fontId="7" fillId="5" borderId="0" xfId="0" applyNumberFormat="1" applyFont="1" applyFill="1" applyAlignment="1" applyProtection="1">
      <alignment horizontal="right"/>
      <protection locked="0"/>
    </xf>
    <xf numFmtId="1" fontId="7" fillId="5" borderId="0" xfId="0" applyNumberFormat="1" applyFont="1" applyFill="1" applyAlignment="1" applyProtection="1">
      <alignment horizontal="right"/>
      <protection locked="0"/>
    </xf>
    <xf numFmtId="0" fontId="7" fillId="5" borderId="0" xfId="0" applyFont="1" applyFill="1" applyAlignment="1" applyProtection="1">
      <alignment horizontal="left"/>
      <protection locked="0"/>
    </xf>
    <xf numFmtId="164" fontId="7" fillId="5" borderId="0" xfId="0" applyNumberFormat="1" applyFont="1" applyFill="1" applyAlignment="1" applyProtection="1">
      <alignment horizontal="right"/>
      <protection locked="0"/>
    </xf>
    <xf numFmtId="164" fontId="7" fillId="5" borderId="0" xfId="0" applyNumberFormat="1" applyFont="1" applyFill="1" applyProtection="1">
      <protection locked="0"/>
    </xf>
    <xf numFmtId="0" fontId="29" fillId="6" borderId="0" xfId="0" applyFont="1" applyFill="1"/>
    <xf numFmtId="0" fontId="7" fillId="6" borderId="0" xfId="0" applyFont="1" applyFill="1"/>
    <xf numFmtId="0" fontId="26" fillId="6" borderId="1" xfId="0" applyFont="1" applyFill="1" applyBorder="1"/>
    <xf numFmtId="9" fontId="7" fillId="6" borderId="0" xfId="0" applyNumberFormat="1" applyFont="1" applyFill="1"/>
    <xf numFmtId="0" fontId="26" fillId="6" borderId="0" xfId="0" applyFont="1" applyFill="1"/>
    <xf numFmtId="0" fontId="26" fillId="6" borderId="0" xfId="0" applyFont="1" applyFill="1" applyBorder="1"/>
    <xf numFmtId="9" fontId="26" fillId="6" borderId="0" xfId="0" applyNumberFormat="1" applyFont="1" applyFill="1"/>
    <xf numFmtId="0" fontId="29" fillId="7" borderId="0" xfId="0" applyFont="1" applyFill="1"/>
    <xf numFmtId="0" fontId="7" fillId="7" borderId="0" xfId="0" applyFont="1" applyFill="1"/>
    <xf numFmtId="0" fontId="26" fillId="7" borderId="1" xfId="0" applyFont="1" applyFill="1" applyBorder="1"/>
    <xf numFmtId="0" fontId="38" fillId="7" borderId="0" xfId="0" applyFont="1" applyFill="1" applyAlignment="1">
      <alignment horizontal="left" vertical="center"/>
    </xf>
    <xf numFmtId="0" fontId="31" fillId="7" borderId="0" xfId="0" applyFont="1" applyFill="1"/>
    <xf numFmtId="0" fontId="31" fillId="7" borderId="1" xfId="0" applyFont="1" applyFill="1" applyBorder="1"/>
    <xf numFmtId="0" fontId="31" fillId="7" borderId="0" xfId="0" applyFont="1" applyFill="1" applyBorder="1"/>
    <xf numFmtId="0" fontId="27" fillId="7" borderId="0" xfId="0" applyFont="1" applyFill="1"/>
    <xf numFmtId="3" fontId="27" fillId="7" borderId="0" xfId="0" applyNumberFormat="1" applyFont="1" applyFill="1"/>
    <xf numFmtId="3" fontId="27" fillId="7" borderId="0" xfId="0" applyNumberFormat="1" applyFont="1" applyFill="1" applyAlignment="1">
      <alignment horizontal="left"/>
    </xf>
    <xf numFmtId="3" fontId="27" fillId="7" borderId="0" xfId="2" applyNumberFormat="1" applyFont="1" applyFill="1" applyAlignment="1">
      <alignment horizontal="left" vertical="top" wrapText="1"/>
    </xf>
    <xf numFmtId="0" fontId="29" fillId="8" borderId="0" xfId="0" applyFont="1" applyFill="1"/>
    <xf numFmtId="0" fontId="7" fillId="8" borderId="0" xfId="0" applyFont="1" applyFill="1"/>
    <xf numFmtId="0" fontId="26" fillId="8" borderId="1" xfId="0" applyFont="1" applyFill="1" applyBorder="1"/>
    <xf numFmtId="0" fontId="7" fillId="8" borderId="0" xfId="0" applyFont="1" applyFill="1" applyAlignment="1"/>
    <xf numFmtId="3" fontId="7" fillId="8" borderId="0" xfId="0" applyNumberFormat="1" applyFont="1" applyFill="1"/>
    <xf numFmtId="0" fontId="7" fillId="8" borderId="0" xfId="0" applyFont="1" applyFill="1" applyProtection="1">
      <protection locked="0"/>
    </xf>
    <xf numFmtId="0" fontId="26" fillId="8" borderId="0" xfId="0" applyFont="1" applyFill="1"/>
    <xf numFmtId="0" fontId="29" fillId="8" borderId="0" xfId="0" applyFont="1" applyFill="1" applyProtection="1">
      <protection locked="0"/>
    </xf>
    <xf numFmtId="0" fontId="26" fillId="8" borderId="1" xfId="0" applyFont="1" applyFill="1" applyBorder="1" applyProtection="1">
      <protection locked="0"/>
    </xf>
    <xf numFmtId="3" fontId="7" fillId="8" borderId="0" xfId="0" applyNumberFormat="1" applyFont="1" applyFill="1" applyProtection="1">
      <protection locked="0"/>
    </xf>
    <xf numFmtId="1" fontId="7" fillId="8" borderId="0" xfId="0" applyNumberFormat="1" applyFont="1" applyFill="1" applyProtection="1">
      <protection locked="0"/>
    </xf>
    <xf numFmtId="1" fontId="7" fillId="8" borderId="0" xfId="0" applyNumberFormat="1" applyFont="1" applyFill="1" applyAlignment="1" applyProtection="1">
      <alignment horizontal="right"/>
      <protection locked="0"/>
    </xf>
    <xf numFmtId="164" fontId="7" fillId="8" borderId="0" xfId="0" applyNumberFormat="1" applyFont="1" applyFill="1" applyAlignment="1" applyProtection="1">
      <alignment horizontal="left"/>
      <protection locked="0"/>
    </xf>
    <xf numFmtId="0" fontId="29" fillId="9" borderId="0" xfId="0" applyFont="1" applyFill="1"/>
    <xf numFmtId="0" fontId="7" fillId="9" borderId="0" xfId="0" applyFont="1" applyFill="1"/>
    <xf numFmtId="0" fontId="26" fillId="9" borderId="1" xfId="0" applyFont="1" applyFill="1" applyBorder="1"/>
    <xf numFmtId="3" fontId="7" fillId="9" borderId="0" xfId="0" applyNumberFormat="1" applyFont="1" applyFill="1"/>
    <xf numFmtId="9" fontId="7" fillId="9" borderId="0" xfId="0" applyNumberFormat="1" applyFont="1" applyFill="1"/>
    <xf numFmtId="0" fontId="38" fillId="9" borderId="0" xfId="0" applyFont="1" applyFill="1" applyAlignment="1">
      <alignment horizontal="left" vertical="center"/>
    </xf>
    <xf numFmtId="0" fontId="26" fillId="9" borderId="0" xfId="0" applyFont="1" applyFill="1"/>
    <xf numFmtId="0" fontId="26" fillId="9" borderId="1" xfId="0" applyFont="1" applyFill="1" applyBorder="1" applyProtection="1">
      <protection locked="0"/>
    </xf>
    <xf numFmtId="0" fontId="26" fillId="9" borderId="0" xfId="0" applyFont="1" applyFill="1" applyBorder="1"/>
    <xf numFmtId="0" fontId="26" fillId="9" borderId="0" xfId="0" applyFont="1" applyFill="1" applyBorder="1" applyProtection="1">
      <protection locked="0"/>
    </xf>
    <xf numFmtId="3" fontId="7" fillId="9" borderId="0" xfId="0" applyNumberFormat="1" applyFont="1" applyFill="1" applyBorder="1"/>
    <xf numFmtId="3" fontId="26" fillId="9" borderId="0" xfId="0" applyNumberFormat="1" applyFont="1" applyFill="1" applyBorder="1"/>
    <xf numFmtId="9" fontId="7" fillId="9" borderId="0" xfId="0" applyNumberFormat="1" applyFont="1" applyFill="1" applyBorder="1"/>
    <xf numFmtId="0" fontId="29" fillId="12" borderId="0" xfId="0" applyFont="1" applyFill="1"/>
    <xf numFmtId="0" fontId="7" fillId="12" borderId="0" xfId="0" applyFont="1" applyFill="1"/>
    <xf numFmtId="0" fontId="31" fillId="12" borderId="1" xfId="0" applyFont="1" applyFill="1" applyBorder="1" applyAlignment="1">
      <alignment horizontal="center"/>
    </xf>
    <xf numFmtId="0" fontId="26" fillId="12" borderId="0" xfId="0" applyFont="1" applyFill="1" applyBorder="1"/>
    <xf numFmtId="0" fontId="26" fillId="12" borderId="1" xfId="0" applyFont="1" applyFill="1" applyBorder="1" applyProtection="1">
      <protection locked="0"/>
    </xf>
    <xf numFmtId="0" fontId="26" fillId="12" borderId="0" xfId="0" applyFont="1" applyFill="1" applyBorder="1" applyProtection="1">
      <protection locked="0"/>
    </xf>
    <xf numFmtId="0" fontId="7" fillId="12" borderId="0" xfId="0" applyFont="1" applyFill="1" applyBorder="1" applyProtection="1">
      <protection locked="0"/>
    </xf>
    <xf numFmtId="3" fontId="7" fillId="12" borderId="0" xfId="0" applyNumberFormat="1" applyFont="1" applyFill="1" applyBorder="1" applyAlignment="1" applyProtection="1">
      <alignment horizontal="right"/>
      <protection locked="0"/>
    </xf>
    <xf numFmtId="3" fontId="7" fillId="12" borderId="0" xfId="0" applyNumberFormat="1" applyFont="1" applyFill="1" applyBorder="1" applyProtection="1">
      <protection locked="0"/>
    </xf>
    <xf numFmtId="0" fontId="7" fillId="12" borderId="0" xfId="0" applyFont="1" applyFill="1" applyBorder="1"/>
    <xf numFmtId="9" fontId="7" fillId="12" borderId="0" xfId="0" applyNumberFormat="1" applyFont="1" applyFill="1" applyBorder="1"/>
    <xf numFmtId="9" fontId="7" fillId="12" borderId="0" xfId="0" applyNumberFormat="1" applyFont="1" applyFill="1"/>
    <xf numFmtId="3" fontId="7" fillId="12" borderId="0" xfId="0" applyNumberFormat="1" applyFont="1" applyFill="1"/>
    <xf numFmtId="0" fontId="29" fillId="10" borderId="0" xfId="0" applyFont="1" applyFill="1"/>
    <xf numFmtId="0" fontId="7" fillId="10" borderId="0" xfId="0" applyFont="1" applyFill="1"/>
    <xf numFmtId="0" fontId="31" fillId="10" borderId="1" xfId="0" applyFont="1" applyFill="1" applyBorder="1" applyAlignment="1">
      <alignment horizontal="center"/>
    </xf>
    <xf numFmtId="0" fontId="26" fillId="10" borderId="0" xfId="0" applyFont="1" applyFill="1"/>
    <xf numFmtId="0" fontId="31" fillId="10" borderId="0" xfId="0" applyFont="1" applyFill="1" applyBorder="1" applyAlignment="1">
      <alignment horizontal="center"/>
    </xf>
    <xf numFmtId="0" fontId="29" fillId="11" borderId="0" xfId="0" applyFont="1" applyFill="1"/>
    <xf numFmtId="0" fontId="7" fillId="11" borderId="0" xfId="0" applyFont="1" applyFill="1"/>
    <xf numFmtId="0" fontId="31" fillId="11" borderId="1" xfId="0" applyFont="1" applyFill="1" applyBorder="1" applyAlignment="1">
      <alignment horizontal="center"/>
    </xf>
    <xf numFmtId="0" fontId="26" fillId="11" borderId="0" xfId="0" applyFont="1" applyFill="1"/>
    <xf numFmtId="0" fontId="31" fillId="4" borderId="0" xfId="0" applyFont="1" applyFill="1"/>
    <xf numFmtId="0" fontId="7" fillId="13" borderId="0" xfId="0" applyFont="1" applyFill="1"/>
    <xf numFmtId="0" fontId="29" fillId="13" borderId="0" xfId="0" applyFont="1" applyFill="1"/>
    <xf numFmtId="0" fontId="26" fillId="13" borderId="1" xfId="0" applyFont="1" applyFill="1" applyBorder="1" applyAlignment="1">
      <alignment horizontal="center"/>
    </xf>
    <xf numFmtId="0" fontId="26" fillId="13" borderId="0" xfId="0" applyFont="1" applyFill="1"/>
    <xf numFmtId="0" fontId="26" fillId="10" borderId="1" xfId="0" applyFont="1" applyFill="1" applyBorder="1" applyAlignment="1">
      <alignment horizontal="center"/>
    </xf>
    <xf numFmtId="3" fontId="7" fillId="10" borderId="0" xfId="0" applyNumberFormat="1" applyFont="1" applyFill="1"/>
    <xf numFmtId="3" fontId="7" fillId="13" borderId="0" xfId="0" applyNumberFormat="1" applyFont="1" applyFill="1"/>
    <xf numFmtId="3" fontId="27" fillId="10" borderId="0" xfId="0" applyNumberFormat="1" applyFont="1" applyFill="1" applyBorder="1" applyAlignment="1">
      <alignment horizontal="center"/>
    </xf>
    <xf numFmtId="3" fontId="7" fillId="11" borderId="0" xfId="0" applyNumberFormat="1" applyFont="1" applyFill="1"/>
    <xf numFmtId="0" fontId="26" fillId="11" borderId="1" xfId="0" applyFont="1" applyFill="1" applyBorder="1" applyAlignment="1">
      <alignment horizontal="center"/>
    </xf>
    <xf numFmtId="3" fontId="7" fillId="2" borderId="0" xfId="0" applyNumberFormat="1" applyFont="1" applyFill="1"/>
    <xf numFmtId="3" fontId="7" fillId="0" borderId="0" xfId="0" applyNumberFormat="1" applyFont="1"/>
    <xf numFmtId="9" fontId="28" fillId="2" borderId="0" xfId="0" applyNumberFormat="1" applyFont="1" applyFill="1" applyBorder="1" applyAlignment="1">
      <alignment vertical="top" wrapText="1"/>
    </xf>
    <xf numFmtId="3" fontId="7" fillId="10" borderId="0" xfId="0" applyNumberFormat="1" applyFont="1" applyFill="1" applyAlignment="1">
      <alignment horizontal="right"/>
    </xf>
    <xf numFmtId="0" fontId="7" fillId="13" borderId="0" xfId="0" applyFont="1" applyFill="1" applyAlignment="1">
      <alignment horizontal="center"/>
    </xf>
    <xf numFmtId="0" fontId="14" fillId="2" borderId="0" xfId="0" applyFont="1" applyFill="1"/>
    <xf numFmtId="0" fontId="0" fillId="2" borderId="0" xfId="0" applyFont="1" applyFill="1"/>
    <xf numFmtId="0" fontId="14" fillId="2" borderId="0" xfId="0" applyFont="1" applyFill="1" applyBorder="1" applyAlignment="1">
      <alignment vertical="top" wrapText="1"/>
    </xf>
    <xf numFmtId="0" fontId="0" fillId="2" borderId="0" xfId="0" applyFont="1" applyFill="1" applyBorder="1"/>
    <xf numFmtId="0" fontId="14" fillId="0" borderId="0" xfId="0" applyFont="1"/>
    <xf numFmtId="0" fontId="14" fillId="2" borderId="0" xfId="0" applyFont="1" applyFill="1" applyBorder="1" applyAlignment="1">
      <alignment vertical="top"/>
    </xf>
    <xf numFmtId="0" fontId="41" fillId="2" borderId="0" xfId="1" applyFont="1" applyFill="1" applyBorder="1" applyAlignment="1"/>
    <xf numFmtId="0" fontId="14" fillId="2" borderId="0" xfId="0" applyFont="1" applyFill="1" applyBorder="1" applyAlignment="1">
      <alignment vertical="center" wrapText="1"/>
    </xf>
    <xf numFmtId="0" fontId="42" fillId="2" borderId="0" xfId="1" applyFont="1" applyFill="1" applyAlignment="1">
      <alignment wrapText="1"/>
    </xf>
    <xf numFmtId="0" fontId="7" fillId="11" borderId="0" xfId="0" applyFont="1" applyFill="1" applyBorder="1"/>
    <xf numFmtId="0" fontId="7" fillId="13" borderId="0" xfId="0" applyFont="1" applyFill="1" applyAlignment="1">
      <alignment vertical="center"/>
    </xf>
    <xf numFmtId="165" fontId="7" fillId="13" borderId="0" xfId="0" applyNumberFormat="1" applyFont="1" applyFill="1"/>
    <xf numFmtId="3" fontId="7" fillId="2" borderId="0" xfId="0" applyNumberFormat="1" applyFont="1" applyFill="1" applyBorder="1" applyAlignment="1" applyProtection="1">
      <alignment horizontal="right"/>
      <protection locked="0"/>
    </xf>
    <xf numFmtId="9" fontId="7" fillId="2" borderId="0" xfId="0" applyNumberFormat="1" applyFont="1" applyFill="1"/>
    <xf numFmtId="0" fontId="43" fillId="12" borderId="0" xfId="0" applyFont="1" applyFill="1" applyAlignment="1">
      <alignment horizontal="left" vertical="center" readingOrder="1"/>
    </xf>
    <xf numFmtId="0" fontId="26" fillId="12" borderId="1" xfId="0" applyNumberFormat="1" applyFont="1" applyFill="1" applyBorder="1" applyAlignment="1" applyProtection="1">
      <alignment horizontal="left"/>
      <protection locked="0"/>
    </xf>
    <xf numFmtId="0" fontId="7" fillId="2" borderId="0" xfId="0" applyFont="1" applyFill="1" applyBorder="1" applyAlignment="1">
      <alignment horizontal="center" vertical="center" wrapText="1"/>
    </xf>
    <xf numFmtId="165" fontId="7" fillId="12" borderId="0" xfId="0" applyNumberFormat="1" applyFont="1" applyFill="1"/>
    <xf numFmtId="165" fontId="7" fillId="12" borderId="0" xfId="0" applyNumberFormat="1" applyFont="1" applyFill="1" applyBorder="1" applyAlignment="1" applyProtection="1">
      <alignment horizontal="right"/>
      <protection locked="0"/>
    </xf>
    <xf numFmtId="0" fontId="2" fillId="2" borderId="0" xfId="0" applyFont="1" applyFill="1" applyBorder="1" applyAlignment="1">
      <alignment wrapText="1"/>
    </xf>
    <xf numFmtId="0" fontId="26" fillId="12" borderId="0" xfId="0" applyFont="1" applyFill="1"/>
    <xf numFmtId="0" fontId="44" fillId="2" borderId="0" xfId="0" applyFont="1" applyFill="1" applyBorder="1" applyAlignment="1">
      <alignment wrapText="1"/>
    </xf>
    <xf numFmtId="0" fontId="7" fillId="2" borderId="0" xfId="0" applyFont="1" applyFill="1" applyBorder="1" applyAlignment="1">
      <alignment horizontal="left" vertical="center" wrapText="1"/>
    </xf>
    <xf numFmtId="0" fontId="7" fillId="10" borderId="0" xfId="0" applyFont="1" applyFill="1" applyAlignment="1">
      <alignment horizontal="center"/>
    </xf>
    <xf numFmtId="165" fontId="7" fillId="12" borderId="0" xfId="0" applyNumberFormat="1" applyFont="1" applyFill="1" applyBorder="1" applyAlignment="1" applyProtection="1">
      <alignment horizontal="left"/>
      <protection locked="0"/>
    </xf>
    <xf numFmtId="3" fontId="27" fillId="2" borderId="0" xfId="0" applyNumberFormat="1" applyFont="1" applyFill="1" applyBorder="1" applyAlignment="1">
      <alignment horizontal="center"/>
    </xf>
    <xf numFmtId="3" fontId="31" fillId="10" borderId="1" xfId="0" applyNumberFormat="1" applyFont="1" applyFill="1" applyBorder="1" applyAlignment="1">
      <alignment horizontal="center"/>
    </xf>
    <xf numFmtId="0" fontId="27" fillId="10" borderId="0" xfId="0" applyFont="1" applyFill="1"/>
    <xf numFmtId="0" fontId="31" fillId="10" borderId="1" xfId="0" applyNumberFormat="1" applyFont="1" applyFill="1" applyBorder="1" applyAlignment="1">
      <alignment horizontal="center"/>
    </xf>
    <xf numFmtId="0" fontId="25" fillId="2" borderId="0" xfId="0" applyFont="1" applyFill="1" applyBorder="1" applyAlignment="1">
      <alignment vertical="top" wrapText="1"/>
    </xf>
    <xf numFmtId="3" fontId="7" fillId="10" borderId="0" xfId="0" applyNumberFormat="1" applyFont="1" applyFill="1" applyAlignment="1">
      <alignment horizontal="left"/>
    </xf>
    <xf numFmtId="3" fontId="27" fillId="10" borderId="0" xfId="0" applyNumberFormat="1" applyFont="1" applyFill="1" applyBorder="1" applyAlignment="1">
      <alignment horizontal="left"/>
    </xf>
    <xf numFmtId="3" fontId="27" fillId="10" borderId="0" xfId="0" applyNumberFormat="1" applyFont="1" applyFill="1" applyBorder="1" applyAlignment="1">
      <alignment horizontal="left" vertical="center"/>
    </xf>
    <xf numFmtId="0" fontId="7" fillId="10" borderId="0" xfId="0" applyFont="1" applyFill="1" applyAlignment="1">
      <alignment horizontal="left" vertical="center"/>
    </xf>
    <xf numFmtId="9" fontId="7" fillId="10" borderId="0" xfId="0" applyNumberFormat="1" applyFont="1" applyFill="1" applyAlignment="1">
      <alignment horizontal="left" vertical="center"/>
    </xf>
    <xf numFmtId="3" fontId="7" fillId="10" borderId="0" xfId="0" applyNumberFormat="1" applyFont="1" applyFill="1" applyAlignment="1">
      <alignment horizontal="left" vertical="center"/>
    </xf>
    <xf numFmtId="0" fontId="7" fillId="2" borderId="0" xfId="0" applyFont="1" applyFill="1" applyBorder="1"/>
    <xf numFmtId="0" fontId="26" fillId="7" borderId="0" xfId="0" applyFont="1" applyFill="1"/>
    <xf numFmtId="0" fontId="25"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6" fillId="5" borderId="1" xfId="0" applyFont="1" applyFill="1" applyBorder="1" applyAlignment="1">
      <alignment horizontal="center"/>
    </xf>
    <xf numFmtId="3" fontId="26" fillId="5" borderId="0" xfId="0" applyNumberFormat="1" applyFont="1" applyFill="1"/>
    <xf numFmtId="3" fontId="7" fillId="5" borderId="0" xfId="0" applyNumberFormat="1" applyFont="1" applyFill="1" applyAlignment="1">
      <alignment wrapText="1"/>
    </xf>
    <xf numFmtId="1" fontId="7" fillId="2" borderId="0" xfId="0" applyNumberFormat="1" applyFont="1" applyFill="1" applyProtection="1">
      <protection locked="0"/>
    </xf>
    <xf numFmtId="164" fontId="7" fillId="2" borderId="0" xfId="0" applyNumberFormat="1" applyFont="1" applyFill="1" applyAlignment="1" applyProtection="1">
      <alignment horizontal="right"/>
      <protection locked="0"/>
    </xf>
    <xf numFmtId="164" fontId="7" fillId="2" borderId="0" xfId="0" applyNumberFormat="1" applyFont="1" applyFill="1" applyProtection="1">
      <protection locked="0"/>
    </xf>
    <xf numFmtId="3" fontId="29" fillId="5" borderId="0" xfId="0" applyNumberFormat="1" applyFont="1" applyFill="1"/>
    <xf numFmtId="0" fontId="7" fillId="5" borderId="2" xfId="0" applyFont="1" applyFill="1" applyBorder="1"/>
    <xf numFmtId="0" fontId="31" fillId="5" borderId="1" xfId="0" applyFont="1" applyFill="1" applyBorder="1" applyAlignment="1">
      <alignment horizontal="center" vertical="center"/>
    </xf>
    <xf numFmtId="3" fontId="7" fillId="2" borderId="0" xfId="0" applyNumberFormat="1" applyFont="1" applyFill="1" applyAlignment="1">
      <alignment wrapText="1"/>
    </xf>
    <xf numFmtId="0" fontId="38" fillId="2" borderId="0" xfId="0" applyFont="1" applyFill="1" applyAlignment="1">
      <alignment vertical="center" wrapText="1"/>
    </xf>
    <xf numFmtId="0" fontId="55" fillId="2" borderId="0" xfId="0" applyFont="1" applyFill="1" applyAlignment="1">
      <alignment vertical="center"/>
    </xf>
    <xf numFmtId="0" fontId="7" fillId="2" borderId="0" xfId="0" applyFont="1" applyFill="1" applyBorder="1" applyAlignment="1">
      <alignment vertical="center"/>
    </xf>
    <xf numFmtId="0" fontId="7" fillId="2" borderId="0" xfId="0" applyFont="1" applyFill="1" applyAlignment="1">
      <alignment vertical="center"/>
    </xf>
    <xf numFmtId="0" fontId="27" fillId="2" borderId="0" xfId="0" applyFont="1" applyFill="1" applyAlignment="1">
      <alignment vertical="center" wrapText="1"/>
    </xf>
    <xf numFmtId="9" fontId="27" fillId="2" borderId="0" xfId="0" applyNumberFormat="1" applyFont="1" applyFill="1" applyBorder="1" applyAlignment="1">
      <alignment horizontal="center"/>
    </xf>
    <xf numFmtId="0" fontId="27" fillId="2" borderId="0" xfId="0" applyFont="1" applyFill="1" applyAlignment="1">
      <alignment vertical="center"/>
    </xf>
    <xf numFmtId="9" fontId="27" fillId="2" borderId="0" xfId="0" applyNumberFormat="1" applyFont="1" applyFill="1" applyBorder="1" applyAlignment="1">
      <alignment vertical="center"/>
    </xf>
    <xf numFmtId="0" fontId="57" fillId="2" borderId="0" xfId="0" applyFont="1" applyFill="1" applyAlignment="1"/>
    <xf numFmtId="0" fontId="31" fillId="2" borderId="0" xfId="0" applyFont="1" applyFill="1" applyAlignment="1">
      <alignment vertical="center" wrapText="1"/>
    </xf>
    <xf numFmtId="0" fontId="27" fillId="2" borderId="0" xfId="0" applyFont="1" applyFill="1" applyAlignment="1"/>
    <xf numFmtId="0" fontId="27" fillId="2" borderId="0" xfId="0" applyFont="1" applyFill="1" applyBorder="1" applyAlignment="1">
      <alignment vertical="center"/>
    </xf>
    <xf numFmtId="0" fontId="27" fillId="2" borderId="0" xfId="0" applyFont="1" applyFill="1" applyBorder="1" applyAlignment="1"/>
    <xf numFmtId="9" fontId="57" fillId="2" borderId="0" xfId="0" applyNumberFormat="1" applyFont="1" applyFill="1" applyBorder="1" applyAlignment="1"/>
    <xf numFmtId="9" fontId="7" fillId="2" borderId="0" xfId="0" applyNumberFormat="1" applyFont="1" applyFill="1" applyAlignment="1">
      <alignment horizontal="left"/>
    </xf>
    <xf numFmtId="0" fontId="9" fillId="2" borderId="0" xfId="0" applyFont="1" applyFill="1" applyAlignment="1" applyProtection="1">
      <alignment wrapText="1"/>
      <protection hidden="1"/>
    </xf>
    <xf numFmtId="3" fontId="7" fillId="5" borderId="0" xfId="0" applyNumberFormat="1" applyFont="1" applyFill="1" applyAlignment="1"/>
    <xf numFmtId="0" fontId="27" fillId="2" borderId="0" xfId="0" applyFont="1" applyFill="1" applyAlignment="1">
      <alignment horizontal="right" vertical="center"/>
    </xf>
    <xf numFmtId="0" fontId="61" fillId="2" borderId="0" xfId="0" applyFont="1" applyFill="1" applyAlignment="1">
      <alignment horizontal="left" vertical="top"/>
    </xf>
    <xf numFmtId="0" fontId="61" fillId="2" borderId="0" xfId="0" applyFont="1" applyFill="1" applyBorder="1" applyAlignment="1">
      <alignment horizontal="left" vertical="top"/>
    </xf>
    <xf numFmtId="0" fontId="61" fillId="2" borderId="0" xfId="0" applyFont="1" applyFill="1" applyBorder="1" applyAlignment="1">
      <alignment vertical="top"/>
    </xf>
    <xf numFmtId="0" fontId="29" fillId="14" borderId="0" xfId="0" applyFont="1" applyFill="1"/>
    <xf numFmtId="0" fontId="7" fillId="14" borderId="0" xfId="0" applyFont="1" applyFill="1"/>
    <xf numFmtId="0" fontId="7" fillId="4" borderId="0" xfId="0" applyFont="1" applyFill="1" applyAlignment="1">
      <alignment horizontal="center"/>
    </xf>
    <xf numFmtId="0" fontId="26" fillId="2" borderId="0" xfId="0" applyFont="1" applyFill="1" applyBorder="1"/>
    <xf numFmtId="3" fontId="7" fillId="2" borderId="0" xfId="0" applyNumberFormat="1" applyFont="1" applyFill="1" applyBorder="1" applyAlignment="1">
      <alignment horizontal="right"/>
    </xf>
    <xf numFmtId="0" fontId="7" fillId="0" borderId="0" xfId="0" applyFont="1" applyFill="1" applyBorder="1"/>
    <xf numFmtId="3" fontId="7" fillId="4" borderId="0" xfId="0" applyNumberFormat="1" applyFont="1" applyFill="1"/>
    <xf numFmtId="0" fontId="7" fillId="4" borderId="0" xfId="0" applyFont="1" applyFill="1" applyAlignment="1"/>
    <xf numFmtId="0" fontId="6" fillId="2" borderId="0" xfId="0" applyFont="1" applyFill="1" applyBorder="1"/>
    <xf numFmtId="0" fontId="63" fillId="2" borderId="0" xfId="0" applyFont="1" applyFill="1" applyBorder="1" applyAlignment="1">
      <alignment horizontal="center"/>
    </xf>
    <xf numFmtId="3" fontId="64" fillId="2" borderId="0" xfId="0" applyNumberFormat="1" applyFont="1" applyFill="1" applyBorder="1" applyAlignment="1">
      <alignment horizontal="right"/>
    </xf>
    <xf numFmtId="0" fontId="43" fillId="2" borderId="0" xfId="0" applyFont="1" applyFill="1" applyBorder="1" applyAlignment="1">
      <alignment wrapText="1"/>
    </xf>
    <xf numFmtId="3" fontId="43" fillId="2" borderId="0" xfId="0" applyNumberFormat="1" applyFont="1" applyFill="1" applyBorder="1" applyAlignment="1">
      <alignment wrapText="1"/>
    </xf>
    <xf numFmtId="3" fontId="63" fillId="2" borderId="0" xfId="0" applyNumberFormat="1" applyFont="1" applyFill="1" applyBorder="1" applyAlignment="1">
      <alignment horizontal="center"/>
    </xf>
    <xf numFmtId="3" fontId="7" fillId="2" borderId="0" xfId="0" applyNumberFormat="1" applyFont="1" applyFill="1" applyBorder="1"/>
    <xf numFmtId="0" fontId="66" fillId="2" borderId="0" xfId="0" applyFont="1" applyFill="1" applyBorder="1"/>
    <xf numFmtId="0" fontId="6" fillId="15" borderId="0" xfId="0" applyFont="1" applyFill="1" applyBorder="1"/>
    <xf numFmtId="3" fontId="6" fillId="2" borderId="0" xfId="0" applyNumberFormat="1" applyFont="1" applyFill="1" applyBorder="1"/>
    <xf numFmtId="3" fontId="7" fillId="2" borderId="0" xfId="0" applyNumberFormat="1" applyFont="1" applyFill="1" applyAlignment="1">
      <alignment horizontal="right"/>
    </xf>
    <xf numFmtId="49" fontId="64" fillId="2" borderId="0" xfId="31" applyNumberFormat="1" applyFont="1" applyFill="1" applyBorder="1" applyAlignment="1">
      <alignment horizontal="left" vertical="center" wrapText="1"/>
    </xf>
    <xf numFmtId="3" fontId="64" fillId="2" borderId="0" xfId="2" applyNumberFormat="1" applyFont="1" applyFill="1" applyBorder="1" applyAlignment="1">
      <alignment horizontal="right"/>
    </xf>
    <xf numFmtId="3" fontId="67" fillId="2" borderId="0" xfId="2" applyNumberFormat="1" applyFont="1" applyFill="1" applyBorder="1" applyAlignment="1">
      <alignment horizontal="right"/>
    </xf>
    <xf numFmtId="3" fontId="6" fillId="2" borderId="0" xfId="0" applyNumberFormat="1" applyFont="1" applyFill="1" applyBorder="1" applyAlignment="1">
      <alignment horizontal="right"/>
    </xf>
    <xf numFmtId="3" fontId="66" fillId="2" borderId="0" xfId="0" applyNumberFormat="1" applyFont="1" applyFill="1" applyBorder="1" applyAlignment="1">
      <alignment horizontal="right"/>
    </xf>
    <xf numFmtId="9" fontId="68" fillId="2" borderId="0" xfId="0" applyNumberFormat="1" applyFont="1" applyFill="1" applyAlignment="1">
      <alignment vertical="center" wrapText="1"/>
    </xf>
    <xf numFmtId="9" fontId="57" fillId="2" borderId="0" xfId="0" applyNumberFormat="1" applyFont="1" applyFill="1" applyBorder="1" applyAlignment="1">
      <alignment horizontal="left" vertical="center"/>
    </xf>
    <xf numFmtId="0" fontId="7" fillId="2" borderId="0" xfId="0" applyFont="1" applyFill="1" applyBorder="1" applyAlignment="1">
      <alignment horizontal="left" vertical="center"/>
    </xf>
    <xf numFmtId="0" fontId="57" fillId="2" borderId="0" xfId="0" applyFont="1" applyFill="1" applyAlignment="1">
      <alignment horizontal="left" vertical="center"/>
    </xf>
    <xf numFmtId="0" fontId="57" fillId="2" borderId="0" xfId="0" applyFont="1" applyFill="1" applyAlignment="1">
      <alignment horizontal="left" vertical="center" wrapText="1"/>
    </xf>
    <xf numFmtId="0" fontId="20" fillId="2" borderId="0" xfId="0" applyFont="1" applyFill="1" applyBorder="1" applyAlignment="1">
      <alignment vertical="center" wrapText="1"/>
    </xf>
    <xf numFmtId="0" fontId="7" fillId="16" borderId="0" xfId="0" applyFont="1" applyFill="1"/>
    <xf numFmtId="0" fontId="7" fillId="16" borderId="0" xfId="0" applyFont="1" applyFill="1" applyBorder="1"/>
    <xf numFmtId="0" fontId="26" fillId="16" borderId="1" xfId="0" applyFont="1" applyFill="1" applyBorder="1" applyAlignment="1">
      <alignment horizontal="center"/>
    </xf>
    <xf numFmtId="0" fontId="0" fillId="16" borderId="0" xfId="0" applyFill="1"/>
    <xf numFmtId="3" fontId="0" fillId="0" borderId="0" xfId="0" applyNumberFormat="1"/>
    <xf numFmtId="3" fontId="14" fillId="0" borderId="0" xfId="0" applyNumberFormat="1" applyFont="1"/>
    <xf numFmtId="0" fontId="7" fillId="16" borderId="0" xfId="0" applyFont="1" applyFill="1" applyAlignment="1">
      <alignment horizontal="center" wrapText="1"/>
    </xf>
    <xf numFmtId="3" fontId="7" fillId="16" borderId="0" xfId="0" applyNumberFormat="1" applyFont="1" applyFill="1"/>
    <xf numFmtId="9" fontId="7" fillId="16" borderId="0" xfId="0" applyNumberFormat="1" applyFont="1" applyFill="1"/>
    <xf numFmtId="4" fontId="7" fillId="16" borderId="0" xfId="0" applyNumberFormat="1" applyFont="1" applyFill="1"/>
    <xf numFmtId="0" fontId="6" fillId="17" borderId="0" xfId="0" applyFont="1" applyFill="1" applyAlignment="1"/>
    <xf numFmtId="0" fontId="6" fillId="18" borderId="0" xfId="0" applyFont="1" applyFill="1" applyAlignment="1"/>
    <xf numFmtId="0" fontId="6" fillId="19" borderId="0" xfId="0" applyFont="1" applyFill="1" applyAlignment="1"/>
    <xf numFmtId="0" fontId="6" fillId="20" borderId="0" xfId="0" applyFont="1" applyFill="1" applyAlignment="1">
      <alignment wrapText="1"/>
    </xf>
    <xf numFmtId="0" fontId="6" fillId="21" borderId="0" xfId="0" applyFont="1" applyFill="1" applyAlignment="1"/>
    <xf numFmtId="0" fontId="6" fillId="22" borderId="0" xfId="0" applyFont="1" applyFill="1" applyAlignment="1"/>
    <xf numFmtId="0" fontId="6" fillId="23" borderId="0" xfId="0" applyFont="1" applyFill="1" applyAlignment="1"/>
    <xf numFmtId="0" fontId="6" fillId="0" borderId="0" xfId="0" applyFont="1" applyAlignment="1"/>
    <xf numFmtId="0" fontId="7" fillId="16" borderId="0" xfId="0" applyFont="1" applyFill="1" applyAlignment="1">
      <alignment horizontal="left"/>
    </xf>
    <xf numFmtId="0" fontId="7" fillId="16" borderId="0" xfId="0" applyFont="1" applyFill="1" applyAlignment="1"/>
    <xf numFmtId="0" fontId="0" fillId="0" borderId="0" xfId="0" applyBorder="1"/>
    <xf numFmtId="0" fontId="70" fillId="2" borderId="0" xfId="0" applyFont="1" applyFill="1"/>
    <xf numFmtId="9" fontId="7" fillId="0" borderId="0" xfId="0" applyNumberFormat="1" applyFont="1" applyFill="1"/>
    <xf numFmtId="0" fontId="7" fillId="0" borderId="0" xfId="0" applyFont="1" applyFill="1"/>
    <xf numFmtId="0" fontId="0" fillId="0" borderId="0" xfId="0" applyFill="1"/>
    <xf numFmtId="0" fontId="14" fillId="0" borderId="0" xfId="0" applyFont="1" applyBorder="1"/>
    <xf numFmtId="9" fontId="57" fillId="2" borderId="0" xfId="0" applyNumberFormat="1" applyFont="1" applyFill="1" applyBorder="1" applyAlignment="1">
      <alignment vertical="center" wrapText="1"/>
    </xf>
    <xf numFmtId="0" fontId="27" fillId="0" borderId="0" xfId="0" applyFont="1" applyFill="1"/>
    <xf numFmtId="9" fontId="7" fillId="0" borderId="0" xfId="0" applyNumberFormat="1" applyFont="1"/>
    <xf numFmtId="4" fontId="7" fillId="0" borderId="0" xfId="0" applyNumberFormat="1" applyFont="1"/>
    <xf numFmtId="0" fontId="0" fillId="0" borderId="0" xfId="0" applyFill="1" applyBorder="1"/>
    <xf numFmtId="0" fontId="36" fillId="2" borderId="0" xfId="0" applyFont="1" applyFill="1" applyBorder="1" applyAlignment="1">
      <alignment horizontal="center"/>
    </xf>
    <xf numFmtId="9" fontId="7" fillId="10" borderId="0" xfId="0" applyNumberFormat="1" applyFont="1" applyFill="1"/>
    <xf numFmtId="0" fontId="74" fillId="0" borderId="0" xfId="0" applyFont="1" applyAlignment="1">
      <alignment horizontal="left" vertical="center" indent="2"/>
    </xf>
    <xf numFmtId="0" fontId="27" fillId="7" borderId="0" xfId="0" applyFont="1" applyFill="1" applyBorder="1"/>
    <xf numFmtId="3" fontId="25" fillId="2" borderId="0" xfId="0" applyNumberFormat="1" applyFont="1" applyFill="1" applyBorder="1" applyAlignment="1">
      <alignment vertical="center" wrapText="1"/>
    </xf>
    <xf numFmtId="0" fontId="26" fillId="16" borderId="1" xfId="0" applyFont="1" applyFill="1" applyBorder="1" applyAlignment="1">
      <alignment horizontal="center" vertical="center"/>
    </xf>
    <xf numFmtId="166" fontId="7" fillId="0" borderId="0" xfId="0" applyNumberFormat="1" applyFont="1"/>
    <xf numFmtId="3" fontId="7" fillId="0" borderId="0" xfId="0" applyNumberFormat="1" applyFont="1" applyFill="1"/>
    <xf numFmtId="0" fontId="26" fillId="0" borderId="0" xfId="0" applyFont="1" applyFill="1" applyBorder="1" applyAlignment="1">
      <alignment horizontal="center" vertical="center"/>
    </xf>
    <xf numFmtId="166" fontId="7" fillId="0" borderId="0" xfId="0" applyNumberFormat="1" applyFont="1" applyFill="1" applyBorder="1"/>
    <xf numFmtId="0" fontId="26" fillId="0" borderId="0" xfId="0" applyFont="1" applyFill="1" applyBorder="1" applyAlignment="1"/>
    <xf numFmtId="0" fontId="6" fillId="2" borderId="0" xfId="0" applyFont="1" applyFill="1" applyBorder="1" applyAlignment="1"/>
    <xf numFmtId="3" fontId="7" fillId="2" borderId="0" xfId="0" applyNumberFormat="1" applyFont="1" applyFill="1" applyAlignment="1">
      <alignment horizontal="left"/>
    </xf>
    <xf numFmtId="0" fontId="6" fillId="2" borderId="0" xfId="0" applyFont="1" applyFill="1" applyBorder="1" applyAlignment="1">
      <alignment wrapText="1"/>
    </xf>
    <xf numFmtId="0" fontId="41" fillId="2" borderId="0" xfId="1" applyFont="1" applyFill="1" applyBorder="1" applyAlignment="1">
      <alignment horizontal="left"/>
    </xf>
    <xf numFmtId="3" fontId="7" fillId="2" borderId="0" xfId="0" applyNumberFormat="1" applyFont="1" applyFill="1" applyBorder="1" applyAlignment="1">
      <alignment wrapText="1"/>
    </xf>
    <xf numFmtId="3" fontId="27" fillId="2" borderId="0" xfId="0" applyNumberFormat="1" applyFont="1" applyFill="1" applyAlignment="1">
      <alignment horizontal="right"/>
    </xf>
    <xf numFmtId="3" fontId="27" fillId="2" borderId="0" xfId="0" applyNumberFormat="1" applyFont="1" applyFill="1" applyBorder="1" applyAlignment="1">
      <alignment horizontal="right"/>
    </xf>
    <xf numFmtId="166" fontId="27" fillId="2" borderId="0" xfId="0" applyNumberFormat="1" applyFont="1" applyFill="1" applyBorder="1" applyAlignment="1">
      <alignment horizontal="right"/>
    </xf>
    <xf numFmtId="166" fontId="7" fillId="2" borderId="0" xfId="0" applyNumberFormat="1" applyFont="1" applyFill="1"/>
    <xf numFmtId="166" fontId="27" fillId="2" borderId="0" xfId="0" applyNumberFormat="1" applyFont="1" applyFill="1" applyAlignment="1">
      <alignment horizontal="right"/>
    </xf>
    <xf numFmtId="0" fontId="14" fillId="2" borderId="0" xfId="0" applyFont="1" applyFill="1" applyAlignment="1">
      <alignment horizontal="left" wrapText="1"/>
    </xf>
    <xf numFmtId="0" fontId="25" fillId="2" borderId="0" xfId="0" applyFont="1" applyFill="1" applyBorder="1" applyAlignment="1">
      <alignment vertical="top"/>
    </xf>
    <xf numFmtId="0" fontId="0" fillId="2" borderId="0" xfId="0" applyFill="1" applyBorder="1" applyAlignment="1">
      <alignment horizontal="center"/>
    </xf>
    <xf numFmtId="0" fontId="40" fillId="2" borderId="0" xfId="1" applyFont="1" applyFill="1" applyAlignment="1">
      <alignment vertical="top" wrapText="1"/>
    </xf>
    <xf numFmtId="0" fontId="0" fillId="2" borderId="0" xfId="0" applyFill="1" applyAlignment="1">
      <alignment horizontal="center"/>
    </xf>
    <xf numFmtId="0" fontId="15" fillId="2" borderId="0" xfId="0" applyFont="1" applyFill="1" applyAlignment="1">
      <alignment horizontal="center" vertical="center" wrapText="1"/>
    </xf>
    <xf numFmtId="0" fontId="25" fillId="2" borderId="0" xfId="0" applyFont="1" applyFill="1" applyAlignment="1">
      <alignment wrapText="1"/>
    </xf>
    <xf numFmtId="0" fontId="41" fillId="2" borderId="0" xfId="1" applyFont="1" applyFill="1" applyBorder="1" applyAlignment="1">
      <alignment horizontal="left" vertical="top" wrapText="1"/>
    </xf>
    <xf numFmtId="0" fontId="6" fillId="2" borderId="0" xfId="1" applyFont="1" applyFill="1" applyAlignment="1">
      <alignment vertical="top" wrapText="1"/>
    </xf>
    <xf numFmtId="0" fontId="6" fillId="0" borderId="0" xfId="1" applyFont="1" applyAlignment="1">
      <alignment vertical="center" wrapText="1"/>
    </xf>
    <xf numFmtId="0" fontId="6" fillId="2" borderId="0" xfId="1" applyFont="1" applyFill="1" applyAlignment="1">
      <alignment vertical="center" wrapText="1"/>
    </xf>
    <xf numFmtId="0" fontId="14" fillId="2" borderId="0" xfId="0" applyFont="1" applyFill="1" applyAlignment="1">
      <alignment wrapText="1"/>
    </xf>
    <xf numFmtId="0" fontId="41" fillId="0" borderId="0" xfId="1" applyFont="1"/>
    <xf numFmtId="9" fontId="6" fillId="2" borderId="0" xfId="0" applyNumberFormat="1" applyFont="1" applyFill="1" applyBorder="1" applyAlignment="1">
      <alignment vertical="center" wrapText="1"/>
    </xf>
    <xf numFmtId="0" fontId="7" fillId="2" borderId="0" xfId="0" applyFont="1" applyFill="1" applyBorder="1" applyAlignment="1">
      <alignment wrapText="1"/>
    </xf>
    <xf numFmtId="0" fontId="0" fillId="2" borderId="0" xfId="0" applyFill="1" applyBorder="1" applyProtection="1">
      <protection hidden="1"/>
    </xf>
    <xf numFmtId="0" fontId="0" fillId="2" borderId="0" xfId="0" applyFill="1" applyProtection="1">
      <protection hidden="1"/>
    </xf>
    <xf numFmtId="0" fontId="7" fillId="2" borderId="0" xfId="0" applyFont="1" applyFill="1" applyBorder="1" applyAlignment="1" applyProtection="1">
      <alignment vertical="center" wrapText="1"/>
      <protection hidden="1"/>
    </xf>
    <xf numFmtId="0" fontId="27" fillId="2" borderId="0" xfId="0" applyFont="1" applyFill="1" applyBorder="1" applyAlignment="1" applyProtection="1">
      <alignment wrapText="1"/>
      <protection hidden="1"/>
    </xf>
    <xf numFmtId="0" fontId="58" fillId="2" borderId="0" xfId="0" applyFont="1" applyFill="1" applyAlignment="1" applyProtection="1">
      <protection hidden="1"/>
    </xf>
    <xf numFmtId="0" fontId="55" fillId="2" borderId="0" xfId="0" applyFont="1" applyFill="1" applyAlignment="1" applyProtection="1">
      <alignment vertical="center"/>
      <protection hidden="1"/>
    </xf>
    <xf numFmtId="0" fontId="56" fillId="2" borderId="0" xfId="0" applyFont="1" applyFill="1" applyBorder="1" applyAlignment="1" applyProtection="1">
      <alignment vertical="center" wrapText="1"/>
      <protection hidden="1"/>
    </xf>
    <xf numFmtId="0" fontId="56" fillId="2" borderId="0" xfId="0" applyFont="1" applyFill="1" applyAlignment="1" applyProtection="1">
      <alignment vertical="center" wrapText="1"/>
      <protection hidden="1"/>
    </xf>
    <xf numFmtId="0" fontId="38" fillId="2" borderId="0" xfId="0" applyFont="1" applyFill="1" applyAlignment="1" applyProtection="1">
      <alignment vertical="center" wrapText="1"/>
      <protection hidden="1"/>
    </xf>
    <xf numFmtId="0" fontId="25" fillId="2" borderId="0" xfId="0" applyFont="1" applyFill="1" applyBorder="1" applyAlignment="1" applyProtection="1">
      <alignment vertical="center" wrapText="1"/>
      <protection hidden="1"/>
    </xf>
    <xf numFmtId="0" fontId="59" fillId="2" borderId="0" xfId="0" applyFont="1" applyFill="1" applyBorder="1" applyAlignment="1" applyProtection="1">
      <alignment vertical="center"/>
      <protection hidden="1"/>
    </xf>
    <xf numFmtId="0" fontId="49" fillId="2" borderId="0" xfId="0" applyFont="1" applyFill="1" applyBorder="1" applyProtection="1">
      <protection hidden="1"/>
    </xf>
    <xf numFmtId="0" fontId="28" fillId="2" borderId="0" xfId="0" applyFont="1" applyFill="1" applyBorder="1" applyAlignment="1" applyProtection="1">
      <protection hidden="1"/>
    </xf>
    <xf numFmtId="0" fontId="7" fillId="2" borderId="0" xfId="0" applyFont="1" applyFill="1" applyBorder="1" applyAlignment="1" applyProtection="1">
      <alignment vertical="center"/>
      <protection hidden="1"/>
    </xf>
    <xf numFmtId="0" fontId="56" fillId="2" borderId="0" xfId="0" applyFont="1" applyFill="1" applyBorder="1" applyAlignment="1" applyProtection="1">
      <alignment vertical="center"/>
      <protection hidden="1"/>
    </xf>
    <xf numFmtId="0" fontId="25" fillId="2" borderId="0" xfId="0" applyFont="1" applyFill="1" applyBorder="1" applyAlignment="1">
      <alignment horizontal="left" vertical="center" wrapText="1"/>
    </xf>
    <xf numFmtId="0" fontId="75" fillId="2" borderId="0" xfId="1" applyFont="1" applyFill="1" applyAlignment="1">
      <alignment horizontal="center" vertical="top" wrapText="1"/>
    </xf>
    <xf numFmtId="0" fontId="76" fillId="2" borderId="0" xfId="1" applyFont="1" applyFill="1" applyAlignment="1" applyProtection="1">
      <alignment horizontal="center" vertical="center" shrinkToFit="1"/>
      <protection hidden="1"/>
    </xf>
    <xf numFmtId="0" fontId="9" fillId="2" borderId="0" xfId="0" applyFont="1" applyFill="1" applyAlignment="1" applyProtection="1">
      <alignment horizontal="left" wrapText="1"/>
      <protection hidden="1"/>
    </xf>
    <xf numFmtId="0" fontId="10" fillId="2" borderId="0" xfId="1" applyFont="1" applyFill="1" applyAlignment="1" applyProtection="1">
      <alignment horizontal="left"/>
      <protection hidden="1"/>
    </xf>
    <xf numFmtId="0" fontId="25" fillId="2" borderId="0" xfId="0" applyFont="1" applyFill="1" applyBorder="1" applyAlignment="1">
      <alignment horizontal="left" vertical="top" wrapText="1"/>
    </xf>
    <xf numFmtId="0" fontId="77" fillId="2" borderId="0" xfId="1" applyFont="1" applyFill="1" applyAlignment="1">
      <alignment horizontal="left" vertical="top" wrapText="1"/>
    </xf>
    <xf numFmtId="0" fontId="25" fillId="2" borderId="0" xfId="0" applyFont="1" applyFill="1" applyAlignment="1">
      <alignment horizontal="left" wrapText="1"/>
    </xf>
    <xf numFmtId="0" fontId="77" fillId="2" borderId="0" xfId="1" applyFont="1" applyFill="1" applyBorder="1" applyAlignment="1">
      <alignment horizontal="left" vertical="center" wrapText="1"/>
    </xf>
    <xf numFmtId="0" fontId="25" fillId="2" borderId="0" xfId="0" applyFont="1" applyFill="1" applyBorder="1" applyAlignment="1">
      <alignment horizontal="center" vertical="center" wrapText="1"/>
    </xf>
    <xf numFmtId="0" fontId="20"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center" wrapText="1"/>
      <protection hidden="1"/>
    </xf>
    <xf numFmtId="0" fontId="49" fillId="0" borderId="0" xfId="1" applyFont="1" applyAlignment="1" applyProtection="1">
      <alignment horizontal="center" vertical="top"/>
      <protection hidden="1"/>
    </xf>
    <xf numFmtId="0" fontId="25" fillId="2" borderId="0" xfId="0" applyFont="1" applyFill="1" applyBorder="1" applyAlignment="1" applyProtection="1">
      <alignment horizontal="center" vertical="center" wrapText="1"/>
      <protection hidden="1"/>
    </xf>
    <xf numFmtId="0" fontId="20" fillId="2" borderId="0" xfId="0" applyFont="1" applyFill="1" applyBorder="1" applyAlignment="1">
      <alignment horizontal="center" vertical="center" wrapText="1"/>
    </xf>
    <xf numFmtId="0" fontId="20" fillId="2" borderId="0" xfId="0" applyFont="1" applyFill="1" applyBorder="1" applyAlignment="1">
      <alignment horizontal="center" wrapText="1"/>
    </xf>
    <xf numFmtId="0" fontId="7" fillId="2" borderId="0" xfId="0" applyFont="1" applyFill="1" applyBorder="1" applyAlignment="1" applyProtection="1">
      <alignment horizontal="left" wrapText="1"/>
      <protection hidden="1"/>
    </xf>
    <xf numFmtId="1" fontId="18" fillId="2" borderId="0" xfId="0" applyNumberFormat="1" applyFont="1" applyFill="1" applyBorder="1" applyAlignment="1" applyProtection="1">
      <alignment horizontal="center" vertical="center"/>
      <protection hidden="1"/>
    </xf>
    <xf numFmtId="3" fontId="19"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shrinkToFit="1"/>
      <protection hidden="1"/>
    </xf>
    <xf numFmtId="0" fontId="21" fillId="2" borderId="0" xfId="0" applyFont="1" applyFill="1" applyBorder="1" applyAlignment="1" applyProtection="1">
      <alignment horizontal="center" vertical="center"/>
      <protection hidden="1"/>
    </xf>
    <xf numFmtId="0" fontId="22"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wrapText="1"/>
      <protection hidden="1"/>
    </xf>
    <xf numFmtId="0" fontId="36" fillId="2" borderId="0" xfId="0" applyFont="1" applyFill="1" applyBorder="1" applyAlignment="1" applyProtection="1">
      <alignment horizontal="center"/>
      <protection hidden="1"/>
    </xf>
    <xf numFmtId="0" fontId="49" fillId="2" borderId="0" xfId="1" applyFont="1" applyFill="1" applyBorder="1" applyAlignment="1" applyProtection="1">
      <alignment horizontal="center" vertical="top"/>
      <protection hidden="1"/>
    </xf>
    <xf numFmtId="1" fontId="18" fillId="2" borderId="0" xfId="0" applyNumberFormat="1" applyFont="1" applyFill="1" applyBorder="1" applyAlignment="1">
      <alignment horizontal="center"/>
    </xf>
    <xf numFmtId="0" fontId="54" fillId="2" borderId="0" xfId="0" applyFont="1" applyFill="1" applyBorder="1" applyAlignment="1">
      <alignment horizontal="center" vertical="center" wrapText="1"/>
    </xf>
    <xf numFmtId="0" fontId="1" fillId="2" borderId="0" xfId="0" applyFont="1" applyFill="1" applyBorder="1" applyAlignment="1">
      <alignment horizontal="left" vertical="center" wrapText="1"/>
    </xf>
    <xf numFmtId="3" fontId="19" fillId="2" borderId="0" xfId="0" applyNumberFormat="1" applyFont="1" applyFill="1" applyBorder="1" applyAlignment="1">
      <alignment horizontal="center"/>
    </xf>
    <xf numFmtId="0" fontId="20" fillId="2" borderId="0" xfId="0" applyFont="1" applyFill="1" applyBorder="1" applyAlignment="1">
      <alignment horizontal="center"/>
    </xf>
    <xf numFmtId="0" fontId="21" fillId="2" borderId="0" xfId="0" applyFont="1" applyFill="1" applyBorder="1" applyAlignment="1">
      <alignment horizontal="center"/>
    </xf>
    <xf numFmtId="0" fontId="22" fillId="2" borderId="0" xfId="0" applyFont="1" applyFill="1" applyBorder="1" applyAlignment="1">
      <alignment horizontal="center"/>
    </xf>
    <xf numFmtId="0" fontId="23" fillId="2" borderId="0" xfId="0" applyFont="1" applyFill="1" applyBorder="1" applyAlignment="1">
      <alignment horizontal="center"/>
    </xf>
    <xf numFmtId="0" fontId="24" fillId="2" borderId="0" xfId="0" applyFont="1" applyFill="1" applyBorder="1" applyAlignment="1">
      <alignment horizontal="center"/>
    </xf>
    <xf numFmtId="0" fontId="14" fillId="2" borderId="0" xfId="0" applyFont="1" applyFill="1" applyBorder="1" applyAlignment="1" applyProtection="1">
      <alignment horizontal="center" vertical="top" wrapText="1"/>
      <protection hidden="1"/>
    </xf>
    <xf numFmtId="3" fontId="14" fillId="2" borderId="0" xfId="0" applyNumberFormat="1" applyFont="1" applyFill="1" applyAlignment="1" applyProtection="1">
      <alignment horizontal="center" vertical="top" wrapText="1"/>
      <protection hidden="1"/>
    </xf>
    <xf numFmtId="0" fontId="35" fillId="2" borderId="0" xfId="1" applyFont="1" applyFill="1" applyBorder="1" applyAlignment="1" applyProtection="1">
      <alignment horizontal="center" vertical="top"/>
      <protection hidden="1"/>
    </xf>
    <xf numFmtId="0" fontId="21" fillId="2" borderId="0" xfId="0" applyFont="1" applyFill="1" applyBorder="1" applyAlignment="1">
      <alignment horizontal="center" wrapText="1"/>
    </xf>
    <xf numFmtId="0" fontId="21" fillId="2" borderId="0" xfId="0" applyFont="1" applyFill="1" applyBorder="1" applyAlignment="1">
      <alignment horizontal="center" vertical="top" wrapText="1"/>
    </xf>
    <xf numFmtId="0" fontId="1" fillId="2" borderId="0" xfId="0" applyFont="1" applyFill="1" applyBorder="1" applyAlignment="1">
      <alignment horizontal="left" wrapText="1"/>
    </xf>
    <xf numFmtId="0" fontId="14" fillId="2" borderId="0" xfId="0" applyFont="1" applyFill="1" applyBorder="1" applyAlignment="1" applyProtection="1">
      <alignment horizontal="center" vertical="center" wrapText="1"/>
      <protection hidden="1"/>
    </xf>
    <xf numFmtId="0" fontId="7" fillId="2" borderId="0" xfId="0" applyFont="1" applyFill="1" applyBorder="1" applyAlignment="1">
      <alignment horizontal="left" vertical="top" wrapText="1"/>
    </xf>
    <xf numFmtId="9" fontId="25" fillId="2" borderId="0" xfId="0" applyNumberFormat="1" applyFont="1" applyFill="1" applyBorder="1" applyAlignment="1" applyProtection="1">
      <alignment horizontal="center" vertical="center" wrapText="1"/>
      <protection hidden="1"/>
    </xf>
    <xf numFmtId="0" fontId="7" fillId="2" borderId="0" xfId="2" applyFont="1" applyFill="1" applyAlignment="1">
      <alignment horizontal="left" vertical="top" wrapText="1"/>
    </xf>
    <xf numFmtId="0" fontId="7" fillId="2" borderId="0" xfId="0" applyFont="1" applyFill="1" applyBorder="1" applyAlignment="1">
      <alignment horizontal="left" vertical="center" wrapText="1"/>
    </xf>
    <xf numFmtId="0" fontId="20" fillId="2" borderId="0" xfId="0" applyFont="1" applyFill="1" applyBorder="1" applyAlignment="1">
      <alignment horizontal="center" vertical="top" wrapText="1"/>
    </xf>
    <xf numFmtId="3" fontId="14" fillId="2" borderId="0" xfId="0" applyNumberFormat="1" applyFont="1" applyFill="1" applyBorder="1" applyAlignment="1" applyProtection="1">
      <alignment horizontal="center" vertical="center" wrapText="1"/>
      <protection hidden="1"/>
    </xf>
    <xf numFmtId="0" fontId="21" fillId="2" borderId="0" xfId="0" applyFont="1" applyFill="1" applyBorder="1" applyAlignment="1" applyProtection="1">
      <alignment horizontal="center" vertical="center" wrapText="1"/>
      <protection hidden="1"/>
    </xf>
    <xf numFmtId="0" fontId="34" fillId="2" borderId="0" xfId="0" applyFont="1" applyFill="1" applyBorder="1" applyAlignment="1" applyProtection="1">
      <alignment horizontal="center" vertical="center"/>
      <protection hidden="1"/>
    </xf>
    <xf numFmtId="0" fontId="32" fillId="2" borderId="0" xfId="0" applyFont="1" applyFill="1" applyBorder="1" applyAlignment="1" applyProtection="1">
      <alignment horizontal="center" vertical="center"/>
      <protection hidden="1"/>
    </xf>
    <xf numFmtId="3" fontId="7" fillId="2" borderId="0" xfId="0" applyNumberFormat="1" applyFont="1" applyFill="1" applyBorder="1" applyAlignment="1" applyProtection="1">
      <alignment horizontal="center" wrapText="1"/>
      <protection hidden="1"/>
    </xf>
    <xf numFmtId="0" fontId="33" fillId="2" borderId="0" xfId="0" applyFont="1" applyFill="1" applyBorder="1" applyAlignment="1" applyProtection="1">
      <alignment horizontal="center" vertical="center"/>
      <protection hidden="1"/>
    </xf>
    <xf numFmtId="9" fontId="18" fillId="2" borderId="0" xfId="0" applyNumberFormat="1" applyFont="1" applyFill="1" applyBorder="1" applyAlignment="1" applyProtection="1">
      <alignment horizontal="center" vertical="center"/>
      <protection hidden="1"/>
    </xf>
    <xf numFmtId="0" fontId="7" fillId="2" borderId="0" xfId="0" applyFont="1" applyFill="1" applyBorder="1" applyAlignment="1" applyProtection="1">
      <alignment horizontal="left" vertical="top" wrapText="1"/>
      <protection hidden="1"/>
    </xf>
    <xf numFmtId="0" fontId="44" fillId="2" borderId="0" xfId="0" applyFont="1" applyFill="1" applyBorder="1" applyAlignment="1">
      <alignment horizontal="center" wrapText="1"/>
    </xf>
    <xf numFmtId="9" fontId="45" fillId="2" borderId="0" xfId="0" applyNumberFormat="1" applyFont="1" applyFill="1" applyBorder="1" applyAlignment="1" applyProtection="1">
      <alignment horizontal="center" vertical="center" shrinkToFit="1"/>
      <protection hidden="1"/>
    </xf>
    <xf numFmtId="0" fontId="39" fillId="2" borderId="0" xfId="0" applyFont="1" applyFill="1" applyBorder="1" applyAlignment="1" applyProtection="1">
      <alignment horizontal="center" vertical="center"/>
      <protection hidden="1"/>
    </xf>
    <xf numFmtId="0" fontId="46" fillId="2" borderId="0" xfId="0" applyFont="1" applyFill="1" applyBorder="1" applyAlignment="1" applyProtection="1">
      <alignment horizontal="center" vertical="center"/>
      <protection hidden="1"/>
    </xf>
    <xf numFmtId="0" fontId="47" fillId="2" borderId="0" xfId="0" applyFont="1" applyFill="1" applyBorder="1" applyAlignment="1" applyProtection="1">
      <alignment horizontal="center" vertical="center" wrapText="1"/>
      <protection hidden="1"/>
    </xf>
    <xf numFmtId="9" fontId="48" fillId="2" borderId="0" xfId="0" applyNumberFormat="1" applyFont="1" applyFill="1" applyBorder="1" applyAlignment="1" applyProtection="1">
      <alignment horizontal="center" vertical="center"/>
      <protection hidden="1"/>
    </xf>
    <xf numFmtId="0" fontId="48" fillId="2" borderId="0" xfId="0" applyFont="1" applyFill="1" applyBorder="1" applyAlignment="1" applyProtection="1">
      <alignment horizontal="center" vertical="center"/>
      <protection hidden="1"/>
    </xf>
    <xf numFmtId="0" fontId="35" fillId="2" borderId="0" xfId="0" applyFont="1" applyFill="1" applyBorder="1" applyAlignment="1" applyProtection="1">
      <alignment horizontal="center" vertical="center"/>
      <protection hidden="1"/>
    </xf>
    <xf numFmtId="0" fontId="62" fillId="2" borderId="0" xfId="0" applyFont="1" applyFill="1" applyBorder="1" applyAlignment="1" applyProtection="1">
      <alignment horizontal="center" vertical="top" shrinkToFit="1"/>
      <protection hidden="1"/>
    </xf>
    <xf numFmtId="0" fontId="7" fillId="2" borderId="0" xfId="0" applyFont="1" applyFill="1" applyBorder="1" applyAlignment="1">
      <alignment horizontal="right" vertical="center"/>
    </xf>
    <xf numFmtId="0" fontId="34" fillId="2" borderId="0" xfId="0" applyFont="1" applyFill="1" applyBorder="1" applyAlignment="1" applyProtection="1">
      <alignment horizontal="center" vertical="center" shrinkToFit="1"/>
      <protection hidden="1"/>
    </xf>
    <xf numFmtId="9" fontId="6" fillId="2" borderId="0" xfId="0" applyNumberFormat="1" applyFont="1" applyFill="1" applyBorder="1" applyAlignment="1" applyProtection="1">
      <alignment horizontal="center" vertical="center" wrapText="1"/>
      <protection hidden="1"/>
    </xf>
    <xf numFmtId="3" fontId="71" fillId="2" borderId="0" xfId="0" applyNumberFormat="1" applyFont="1" applyFill="1" applyBorder="1" applyAlignment="1" applyProtection="1">
      <alignment horizontal="center" vertical="top"/>
      <protection hidden="1"/>
    </xf>
    <xf numFmtId="3" fontId="51" fillId="2" borderId="0" xfId="0" applyNumberFormat="1" applyFont="1" applyFill="1" applyBorder="1" applyAlignment="1" applyProtection="1">
      <alignment horizontal="center" vertical="center" shrinkToFit="1"/>
      <protection hidden="1"/>
    </xf>
    <xf numFmtId="3" fontId="72" fillId="2" borderId="0" xfId="0" applyNumberFormat="1" applyFont="1" applyFill="1" applyBorder="1" applyAlignment="1" applyProtection="1">
      <alignment horizontal="center" vertical="center"/>
      <protection hidden="1"/>
    </xf>
    <xf numFmtId="3" fontId="53" fillId="2" borderId="0" xfId="0" applyNumberFormat="1" applyFont="1" applyFill="1" applyBorder="1" applyAlignment="1" applyProtection="1">
      <alignment horizontal="center" vertical="center" shrinkToFit="1"/>
      <protection hidden="1"/>
    </xf>
    <xf numFmtId="3" fontId="7" fillId="2" borderId="0" xfId="0" applyNumberFormat="1" applyFont="1" applyFill="1" applyBorder="1" applyAlignment="1" applyProtection="1">
      <alignment horizontal="left" vertical="top" wrapText="1"/>
      <protection hidden="1"/>
    </xf>
    <xf numFmtId="3" fontId="73" fillId="2" borderId="0" xfId="0" applyNumberFormat="1" applyFont="1" applyFill="1" applyBorder="1" applyAlignment="1" applyProtection="1">
      <alignment horizontal="center" vertical="center" wrapText="1"/>
      <protection hidden="1"/>
    </xf>
    <xf numFmtId="0" fontId="73" fillId="2" borderId="0" xfId="0" applyFont="1" applyFill="1" applyBorder="1" applyAlignment="1" applyProtection="1">
      <alignment horizontal="center" vertical="center" wrapText="1"/>
      <protection hidden="1"/>
    </xf>
    <xf numFmtId="3" fontId="50" fillId="2" borderId="0" xfId="0" applyNumberFormat="1" applyFont="1" applyFill="1" applyBorder="1" applyAlignment="1" applyProtection="1">
      <alignment horizontal="center" vertical="top" wrapText="1"/>
      <protection hidden="1"/>
    </xf>
    <xf numFmtId="0" fontId="50" fillId="2" borderId="0" xfId="0" applyFont="1" applyFill="1" applyBorder="1" applyAlignment="1" applyProtection="1">
      <alignment horizontal="center" vertical="top" wrapText="1"/>
      <protection hidden="1"/>
    </xf>
    <xf numFmtId="3" fontId="49" fillId="2" borderId="0" xfId="0" applyNumberFormat="1" applyFont="1" applyFill="1" applyBorder="1" applyAlignment="1" applyProtection="1">
      <alignment horizontal="center" vertical="center" wrapText="1"/>
      <protection hidden="1"/>
    </xf>
    <xf numFmtId="0" fontId="49" fillId="2" borderId="0" xfId="0" applyFont="1" applyFill="1" applyBorder="1" applyAlignment="1" applyProtection="1">
      <alignment horizontal="center" vertical="center" wrapText="1"/>
      <protection hidden="1"/>
    </xf>
    <xf numFmtId="3" fontId="52" fillId="2" borderId="0" xfId="0" applyNumberFormat="1" applyFont="1" applyFill="1" applyBorder="1" applyAlignment="1" applyProtection="1">
      <alignment horizontal="center" vertical="top"/>
      <protection hidden="1"/>
    </xf>
    <xf numFmtId="0" fontId="35" fillId="2" borderId="0" xfId="1" applyFont="1" applyFill="1" applyBorder="1" applyAlignment="1" applyProtection="1">
      <alignment horizontal="center" vertical="center"/>
      <protection hidden="1"/>
    </xf>
    <xf numFmtId="0" fontId="58" fillId="2" borderId="0" xfId="0" applyFont="1" applyFill="1" applyAlignment="1" applyProtection="1">
      <alignment horizontal="center"/>
      <protection hidden="1"/>
    </xf>
    <xf numFmtId="9" fontId="58" fillId="2" borderId="0" xfId="0" applyNumberFormat="1" applyFont="1" applyFill="1" applyBorder="1" applyAlignment="1" applyProtection="1">
      <alignment horizontal="center"/>
      <protection hidden="1"/>
    </xf>
    <xf numFmtId="0" fontId="56" fillId="2" borderId="0" xfId="0" applyFont="1" applyFill="1" applyBorder="1" applyAlignment="1" applyProtection="1">
      <alignment horizontal="center" vertical="center" wrapText="1"/>
      <protection hidden="1"/>
    </xf>
    <xf numFmtId="0" fontId="56" fillId="2" borderId="0" xfId="0" applyFont="1" applyFill="1" applyAlignment="1" applyProtection="1">
      <alignment horizontal="center" vertical="center" wrapText="1"/>
      <protection hidden="1"/>
    </xf>
    <xf numFmtId="0" fontId="60" fillId="2" borderId="0" xfId="0" applyFont="1" applyFill="1" applyAlignment="1" applyProtection="1">
      <alignment horizontal="center" vertical="center" wrapText="1" shrinkToFit="1"/>
      <protection hidden="1"/>
    </xf>
    <xf numFmtId="0" fontId="36" fillId="2" borderId="0" xfId="0" applyFont="1" applyFill="1" applyBorder="1" applyAlignment="1">
      <alignment horizontal="center" vertical="center"/>
    </xf>
    <xf numFmtId="0" fontId="35" fillId="2" borderId="0" xfId="1" applyFont="1" applyFill="1" applyBorder="1" applyAlignment="1">
      <alignment horizontal="center"/>
    </xf>
    <xf numFmtId="9" fontId="68" fillId="2" borderId="0" xfId="0" applyNumberFormat="1" applyFont="1" applyFill="1" applyAlignment="1">
      <alignment horizontal="left" vertical="center" wrapText="1"/>
    </xf>
    <xf numFmtId="0" fontId="57" fillId="2" borderId="0" xfId="0" applyFont="1" applyFill="1" applyAlignment="1">
      <alignment horizontal="left" vertical="center" wrapText="1"/>
    </xf>
    <xf numFmtId="3" fontId="69" fillId="2" borderId="0" xfId="0" applyNumberFormat="1" applyFont="1" applyFill="1" applyAlignment="1" applyProtection="1">
      <alignment horizontal="left" vertical="center" wrapText="1"/>
      <protection hidden="1"/>
    </xf>
    <xf numFmtId="9" fontId="68" fillId="2" borderId="0" xfId="0" applyNumberFormat="1" applyFont="1" applyFill="1" applyBorder="1" applyAlignment="1">
      <alignment horizontal="left" vertical="center"/>
    </xf>
    <xf numFmtId="0" fontId="14" fillId="2" borderId="0" xfId="0" applyFont="1" applyFill="1" applyAlignment="1">
      <alignment horizontal="left" vertical="center" wrapText="1"/>
    </xf>
    <xf numFmtId="0" fontId="41" fillId="2" borderId="0" xfId="1" applyFont="1" applyFill="1" applyBorder="1" applyAlignment="1">
      <alignment horizontal="left" vertical="top" wrapText="1"/>
    </xf>
    <xf numFmtId="0" fontId="41" fillId="2" borderId="0" xfId="1" applyFont="1" applyFill="1" applyBorder="1" applyAlignment="1">
      <alignment horizontal="left" vertical="center"/>
    </xf>
    <xf numFmtId="0" fontId="7" fillId="10" borderId="1" xfId="0" applyFont="1" applyFill="1" applyBorder="1" applyAlignment="1">
      <alignment horizontal="center"/>
    </xf>
    <xf numFmtId="0" fontId="7" fillId="4" borderId="0" xfId="0" applyFont="1" applyFill="1" applyAlignment="1">
      <alignment horizontal="center"/>
    </xf>
    <xf numFmtId="0" fontId="7" fillId="10" borderId="0" xfId="0" applyFont="1" applyFill="1" applyAlignment="1">
      <alignment horizontal="center"/>
    </xf>
    <xf numFmtId="0" fontId="27" fillId="13" borderId="0" xfId="0" applyFont="1" applyFill="1" applyAlignment="1">
      <alignment horizontal="center" wrapText="1"/>
    </xf>
    <xf numFmtId="0" fontId="7" fillId="12" borderId="0" xfId="0" applyFont="1" applyFill="1" applyAlignment="1">
      <alignment horizontal="center"/>
    </xf>
    <xf numFmtId="0" fontId="7" fillId="4" borderId="2" xfId="0" applyFont="1" applyFill="1" applyBorder="1" applyAlignment="1">
      <alignment horizontal="center"/>
    </xf>
    <xf numFmtId="0" fontId="7" fillId="4" borderId="0" xfId="0" applyFont="1" applyFill="1" applyBorder="1" applyAlignment="1">
      <alignment horizontal="center"/>
    </xf>
    <xf numFmtId="0" fontId="7" fillId="5" borderId="2" xfId="0" applyFont="1" applyFill="1" applyBorder="1" applyAlignment="1">
      <alignment horizontal="center"/>
    </xf>
    <xf numFmtId="0" fontId="7" fillId="5" borderId="0" xfId="0" applyFont="1" applyFill="1" applyBorder="1" applyAlignment="1">
      <alignment horizontal="center"/>
    </xf>
    <xf numFmtId="0" fontId="7" fillId="5" borderId="3" xfId="0" applyFont="1" applyFill="1" applyBorder="1" applyAlignment="1">
      <alignment horizontal="center"/>
    </xf>
    <xf numFmtId="0" fontId="7" fillId="11" borderId="0" xfId="0" applyFont="1" applyFill="1" applyAlignment="1">
      <alignment horizontal="center" wrapText="1"/>
    </xf>
    <xf numFmtId="0" fontId="7" fillId="9" borderId="0" xfId="0" applyFont="1" applyFill="1" applyAlignment="1">
      <alignment horizontal="center" wrapText="1"/>
    </xf>
    <xf numFmtId="0" fontId="26" fillId="9" borderId="0" xfId="0" applyFont="1" applyFill="1" applyAlignment="1">
      <alignment horizontal="center" wrapText="1"/>
    </xf>
    <xf numFmtId="0" fontId="7" fillId="5" borderId="0" xfId="0" applyFont="1" applyFill="1" applyAlignment="1">
      <alignment horizontal="center" wrapText="1"/>
    </xf>
    <xf numFmtId="3" fontId="7" fillId="5" borderId="0" xfId="0" applyNumberFormat="1" applyFont="1" applyFill="1" applyAlignment="1">
      <alignment horizontal="center" wrapText="1"/>
    </xf>
    <xf numFmtId="0" fontId="7" fillId="4" borderId="0" xfId="0" applyFont="1" applyFill="1" applyAlignment="1">
      <alignment horizontal="center" wrapText="1"/>
    </xf>
    <xf numFmtId="0" fontId="7" fillId="5" borderId="0" xfId="0" applyFont="1" applyFill="1" applyAlignment="1">
      <alignment horizontal="center"/>
    </xf>
    <xf numFmtId="0" fontId="7" fillId="8" borderId="0" xfId="0" applyFont="1" applyFill="1" applyAlignment="1">
      <alignment horizontal="center" wrapText="1"/>
    </xf>
    <xf numFmtId="0" fontId="7" fillId="6" borderId="0" xfId="0" applyFont="1" applyFill="1" applyAlignment="1">
      <alignment horizontal="center" wrapText="1"/>
    </xf>
    <xf numFmtId="0" fontId="27" fillId="7" borderId="0" xfId="0" applyFont="1" applyFill="1" applyAlignment="1">
      <alignment horizontal="center" wrapText="1"/>
    </xf>
    <xf numFmtId="0" fontId="27" fillId="5" borderId="0" xfId="0" applyFont="1" applyFill="1" applyAlignment="1">
      <alignment horizontal="center"/>
    </xf>
    <xf numFmtId="0" fontId="7" fillId="16" borderId="0" xfId="0" applyFont="1" applyFill="1" applyAlignment="1">
      <alignment horizontal="center" wrapText="1"/>
    </xf>
  </cellXfs>
  <cellStyles count="32">
    <cellStyle name="Comma 2" xfId="3"/>
    <cellStyle name="Hyperlink" xfId="1" builtinId="8"/>
    <cellStyle name="Normal" xfId="0" builtinId="0"/>
    <cellStyle name="Normal 10" xfId="4"/>
    <cellStyle name="Normal 11" xfId="5"/>
    <cellStyle name="Normal 12" xfId="6"/>
    <cellStyle name="Normal 13" xfId="7"/>
    <cellStyle name="Normal 14" xfId="8"/>
    <cellStyle name="Normal 15" xfId="9"/>
    <cellStyle name="Normal 16" xfId="10"/>
    <cellStyle name="Normal 17" xfId="11"/>
    <cellStyle name="Normal 18" xfId="12"/>
    <cellStyle name="Normal 19" xfId="13"/>
    <cellStyle name="Normal 2" xfId="14"/>
    <cellStyle name="Normal 2 2" xfId="15"/>
    <cellStyle name="Normal 20" xfId="16"/>
    <cellStyle name="Normal 21" xfId="17"/>
    <cellStyle name="Normal 22" xfId="18"/>
    <cellStyle name="Normal 23" xfId="19"/>
    <cellStyle name="Normal 24" xfId="20"/>
    <cellStyle name="Normal 25" xfId="2"/>
    <cellStyle name="Normal 26" xfId="21"/>
    <cellStyle name="Normal 3" xfId="22"/>
    <cellStyle name="Normal 4" xfId="23"/>
    <cellStyle name="Normal 5" xfId="24"/>
    <cellStyle name="Normal 6" xfId="25"/>
    <cellStyle name="Normal 7" xfId="26"/>
    <cellStyle name="Normal 8" xfId="27"/>
    <cellStyle name="Normal 9" xfId="28"/>
    <cellStyle name="Normal_Sheet1 2" xfId="31"/>
    <cellStyle name="Percent 2" xfId="29"/>
    <cellStyle name="Percent 3" xfId="30"/>
  </cellStyles>
  <dxfs count="2">
    <dxf>
      <numFmt numFmtId="13" formatCode="0%"/>
    </dxf>
    <dxf>
      <numFmt numFmtId="3" formatCode="#,##0"/>
    </dxf>
  </dxfs>
  <tableStyles count="0" defaultTableStyle="TableStyleMedium2" defaultPivotStyle="PivotStyleLight16"/>
  <colors>
    <mruColors>
      <color rgb="FF0000FF"/>
      <color rgb="FF6EC2F6"/>
      <color rgb="FF1599DB"/>
      <color rgb="FF3174C5"/>
      <color rgb="FF406B9E"/>
      <color rgb="FF385D8A"/>
      <color rgb="FF37658B"/>
      <color rgb="FFCFCDFF"/>
      <color rgb="FFFFCDEE"/>
      <color rgb="FFECCD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'Button control data'!$D$8</c:f>
              <c:strCache>
                <c:ptCount val="1"/>
                <c:pt idx="0">
                  <c:v>Chart 1c: New CVIs with glaucoma per 100,000 Welsh residents aged 40+</c:v>
                </c:pt>
              </c:strCache>
            </c:strRef>
          </c:tx>
          <c:spPr>
            <a:solidFill>
              <a:srgbClr val="032163"/>
            </a:solidFill>
          </c:spPr>
          <c:invertIfNegative val="0"/>
          <c:dLbls>
            <c:txPr>
              <a:bodyPr/>
              <a:lstStyle/>
              <a:p>
                <a:pPr>
                  <a:defRPr>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strRef>
              <c:f>'Button control data'!$G$2:$I$2</c:f>
              <c:strCache>
                <c:ptCount val="3"/>
                <c:pt idx="0">
                  <c:v>2013-14</c:v>
                </c:pt>
                <c:pt idx="1">
                  <c:v>2014-15</c:v>
                </c:pt>
                <c:pt idx="2">
                  <c:v>2015-16</c:v>
                </c:pt>
              </c:strCache>
            </c:strRef>
          </c:cat>
          <c:val>
            <c:numRef>
              <c:f>'Button control data'!$G$8:$I$8</c:f>
              <c:numCache>
                <c:formatCode>0</c:formatCode>
                <c:ptCount val="3"/>
                <c:pt idx="0">
                  <c:v>11.760038275829841</c:v>
                </c:pt>
                <c:pt idx="1">
                  <c:v>11.015377836690563</c:v>
                </c:pt>
                <c:pt idx="2">
                  <c:v>11.714140623658393</c:v>
                </c:pt>
              </c:numCache>
            </c:numRef>
          </c:val>
        </c:ser>
        <c:dLbls>
          <c:showLegendKey val="0"/>
          <c:showVal val="0"/>
          <c:showCatName val="0"/>
          <c:showSerName val="0"/>
          <c:showPercent val="0"/>
          <c:showBubbleSize val="0"/>
        </c:dLbls>
        <c:gapWidth val="120"/>
        <c:axId val="221505024"/>
        <c:axId val="221506560"/>
      </c:barChart>
      <c:catAx>
        <c:axId val="22150502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1506560"/>
        <c:crosses val="autoZero"/>
        <c:auto val="1"/>
        <c:lblAlgn val="ctr"/>
        <c:lblOffset val="100"/>
        <c:noMultiLvlLbl val="0"/>
      </c:catAx>
      <c:valAx>
        <c:axId val="221506560"/>
        <c:scaling>
          <c:orientation val="minMax"/>
          <c:min val="0"/>
        </c:scaling>
        <c:delete val="0"/>
        <c:axPos val="l"/>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1505024"/>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'Button control data'!$B$51</c:f>
          <c:strCache>
            <c:ptCount val="1"/>
            <c:pt idx="0">
              <c:v>Chart 9a: Number of Ophthalmic Practitioners by gender</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stacked"/>
        <c:varyColors val="0"/>
        <c:ser>
          <c:idx val="0"/>
          <c:order val="0"/>
          <c:tx>
            <c:strRef>
              <c:f>'Button control data'!$D$49</c:f>
              <c:strCache>
                <c:ptCount val="1"/>
                <c:pt idx="0">
                  <c:v>Female</c:v>
                </c:pt>
              </c:strCache>
            </c:strRef>
          </c:tx>
          <c:spPr>
            <a:solidFill>
              <a:srgbClr val="385D8A"/>
            </a:solidFill>
          </c:spPr>
          <c:invertIfNegative val="0"/>
          <c:dLbls>
            <c:numFmt formatCode="#,##0;;;" sourceLinked="0"/>
            <c:txPr>
              <a:bodyPr/>
              <a:lstStyle/>
              <a:p>
                <a:pPr>
                  <a:defRPr>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'Button control data'!$E$40:$I$40</c:f>
              <c:numCache>
                <c:formatCode>General</c:formatCode>
                <c:ptCount val="5"/>
                <c:pt idx="0">
                  <c:v>2012</c:v>
                </c:pt>
                <c:pt idx="1">
                  <c:v>2013</c:v>
                </c:pt>
                <c:pt idx="2">
                  <c:v>2014</c:v>
                </c:pt>
                <c:pt idx="3">
                  <c:v>2015</c:v>
                </c:pt>
                <c:pt idx="4">
                  <c:v>2016</c:v>
                </c:pt>
              </c:numCache>
            </c:numRef>
          </c:cat>
          <c:val>
            <c:numRef>
              <c:f>'Button control data'!$E$49:$I$49</c:f>
              <c:numCache>
                <c:formatCode>General</c:formatCode>
                <c:ptCount val="5"/>
                <c:pt idx="0">
                  <c:v>395</c:v>
                </c:pt>
                <c:pt idx="1">
                  <c:v>395</c:v>
                </c:pt>
                <c:pt idx="2">
                  <c:v>407</c:v>
                </c:pt>
                <c:pt idx="3">
                  <c:v>433</c:v>
                </c:pt>
                <c:pt idx="4">
                  <c:v>441</c:v>
                </c:pt>
              </c:numCache>
            </c:numRef>
          </c:val>
        </c:ser>
        <c:ser>
          <c:idx val="1"/>
          <c:order val="1"/>
          <c:tx>
            <c:strRef>
              <c:f>'Button control data'!$D$50</c:f>
              <c:strCache>
                <c:ptCount val="1"/>
                <c:pt idx="0">
                  <c:v>Male</c:v>
                </c:pt>
              </c:strCache>
            </c:strRef>
          </c:tx>
          <c:spPr>
            <a:solidFill>
              <a:schemeClr val="tx2">
                <a:lumMod val="40000"/>
                <a:lumOff val="60000"/>
              </a:schemeClr>
            </a:solidFill>
          </c:spPr>
          <c:invertIfNegative val="0"/>
          <c:dLbls>
            <c:numFmt formatCode="#,##0;;;" sourceLinked="0"/>
            <c:spPr>
              <a:noFill/>
            </c:spPr>
            <c:txPr>
              <a:bodyPr/>
              <a:lstStyle/>
              <a:p>
                <a:pPr>
                  <a:defRPr>
                    <a:solidFill>
                      <a:schemeClr val="tx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numRef>
              <c:f>'Button control data'!$E$40:$I$40</c:f>
              <c:numCache>
                <c:formatCode>General</c:formatCode>
                <c:ptCount val="5"/>
                <c:pt idx="0">
                  <c:v>2012</c:v>
                </c:pt>
                <c:pt idx="1">
                  <c:v>2013</c:v>
                </c:pt>
                <c:pt idx="2">
                  <c:v>2014</c:v>
                </c:pt>
                <c:pt idx="3">
                  <c:v>2015</c:v>
                </c:pt>
                <c:pt idx="4">
                  <c:v>2016</c:v>
                </c:pt>
              </c:numCache>
            </c:numRef>
          </c:cat>
          <c:val>
            <c:numRef>
              <c:f>'Button control data'!$E$50:$I$50</c:f>
              <c:numCache>
                <c:formatCode>General</c:formatCode>
                <c:ptCount val="5"/>
                <c:pt idx="0">
                  <c:v>414</c:v>
                </c:pt>
                <c:pt idx="1">
                  <c:v>386</c:v>
                </c:pt>
                <c:pt idx="2">
                  <c:v>369</c:v>
                </c:pt>
                <c:pt idx="3">
                  <c:v>385</c:v>
                </c:pt>
                <c:pt idx="4">
                  <c:v>378</c:v>
                </c:pt>
              </c:numCache>
            </c:numRef>
          </c:val>
        </c:ser>
        <c:dLbls>
          <c:showLegendKey val="0"/>
          <c:showVal val="0"/>
          <c:showCatName val="0"/>
          <c:showSerName val="0"/>
          <c:showPercent val="0"/>
          <c:showBubbleSize val="0"/>
        </c:dLbls>
        <c:gapWidth val="100"/>
        <c:overlap val="100"/>
        <c:axId val="237670784"/>
        <c:axId val="237672320"/>
      </c:barChart>
      <c:catAx>
        <c:axId val="23767078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672320"/>
        <c:crosses val="autoZero"/>
        <c:auto val="1"/>
        <c:lblAlgn val="ctr"/>
        <c:lblOffset val="100"/>
        <c:noMultiLvlLbl val="0"/>
      </c:catAx>
      <c:valAx>
        <c:axId val="237672320"/>
        <c:scaling>
          <c:orientation val="minMax"/>
          <c:min val="0"/>
        </c:scaling>
        <c:delete val="0"/>
        <c:axPos val="l"/>
        <c:majorGridlines/>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67078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lineChart>
        <c:grouping val="standard"/>
        <c:varyColors val="0"/>
        <c:ser>
          <c:idx val="0"/>
          <c:order val="0"/>
          <c:tx>
            <c:strRef>
              <c:f>'Button control data'!$D$59</c:f>
              <c:strCache>
                <c:ptCount val="1"/>
                <c:pt idx="0">
                  <c:v>Chart 10a: Ophthalmology doctors directly employed by the NHS </c:v>
                </c:pt>
              </c:strCache>
            </c:strRef>
          </c:tx>
          <c:spPr>
            <a:ln>
              <a:solidFill>
                <a:srgbClr val="385D8A"/>
              </a:solidFill>
            </a:ln>
          </c:spPr>
          <c:marker>
            <c:symbol val="none"/>
          </c:marker>
          <c:dLbls>
            <c:numFmt formatCode="#,##0.0;;;" sourceLinked="0"/>
            <c:txPr>
              <a:bodyPr/>
              <a:lstStyle/>
              <a:p>
                <a:pPr>
                  <a:defRPr sz="9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dLbls>
          <c:cat>
            <c:numRef>
              <c:f>'Button control data'!$E$54:$I$54</c:f>
              <c:numCache>
                <c:formatCode>General</c:formatCode>
                <c:ptCount val="5"/>
                <c:pt idx="0">
                  <c:v>2012</c:v>
                </c:pt>
                <c:pt idx="1">
                  <c:v>2013</c:v>
                </c:pt>
                <c:pt idx="2">
                  <c:v>2014</c:v>
                </c:pt>
                <c:pt idx="3">
                  <c:v>2015</c:v>
                </c:pt>
                <c:pt idx="4">
                  <c:v>2016</c:v>
                </c:pt>
              </c:numCache>
            </c:numRef>
          </c:cat>
          <c:val>
            <c:numRef>
              <c:f>'Button control data'!$E$59:$I$59</c:f>
              <c:numCache>
                <c:formatCode>#,##0.0</c:formatCode>
                <c:ptCount val="5"/>
                <c:pt idx="0">
                  <c:v>143.61364</c:v>
                </c:pt>
                <c:pt idx="1">
                  <c:v>143.62272999999999</c:v>
                </c:pt>
                <c:pt idx="2">
                  <c:v>143.02841000000001</c:v>
                </c:pt>
                <c:pt idx="3">
                  <c:v>134.14090999999999</c:v>
                </c:pt>
                <c:pt idx="4">
                  <c:v>137.69091</c:v>
                </c:pt>
              </c:numCache>
            </c:numRef>
          </c:val>
          <c:smooth val="0"/>
        </c:ser>
        <c:dLbls>
          <c:showLegendKey val="0"/>
          <c:showVal val="0"/>
          <c:showCatName val="0"/>
          <c:showSerName val="0"/>
          <c:showPercent val="0"/>
          <c:showBubbleSize val="0"/>
        </c:dLbls>
        <c:marker val="1"/>
        <c:smooth val="0"/>
        <c:axId val="237732224"/>
        <c:axId val="237733760"/>
      </c:lineChart>
      <c:catAx>
        <c:axId val="23773222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733760"/>
        <c:crosses val="autoZero"/>
        <c:auto val="1"/>
        <c:lblAlgn val="ctr"/>
        <c:lblOffset val="100"/>
        <c:noMultiLvlLbl val="0"/>
      </c:catAx>
      <c:valAx>
        <c:axId val="237733760"/>
        <c:scaling>
          <c:orientation val="minMax"/>
          <c:min val="0"/>
        </c:scaling>
        <c:delete val="0"/>
        <c:axPos val="l"/>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732224"/>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960">
                <a:latin typeface="Arial" panose="020B0604020202020204" pitchFamily="34" charset="0"/>
                <a:cs typeface="Arial" panose="020B0604020202020204" pitchFamily="34" charset="0"/>
              </a:rPr>
              <a:t>Chart 12: </a:t>
            </a:r>
            <a:r>
              <a:rPr lang="en-GB" sz="960" b="1" i="0" u="none" strike="noStrike" baseline="0">
                <a:effectLst/>
                <a:latin typeface="Arial" panose="020B0604020202020204" pitchFamily="34" charset="0"/>
                <a:cs typeface="Arial" panose="020B0604020202020204" pitchFamily="34" charset="0"/>
              </a:rPr>
              <a:t>NHS waiting time for an Adult Hearing aid by grouped weeks as at 31 March</a:t>
            </a:r>
            <a:endParaRPr lang="en-GB" sz="960">
              <a:latin typeface="Arial" panose="020B0604020202020204" pitchFamily="34" charset="0"/>
              <a:cs typeface="Arial" panose="020B0604020202020204" pitchFamily="34" charset="0"/>
            </a:endParaRPr>
          </a:p>
        </c:rich>
      </c:tx>
      <c:layout>
        <c:manualLayout>
          <c:xMode val="edge"/>
          <c:yMode val="edge"/>
          <c:x val="0.13306618406346624"/>
          <c:y val="1.8577157921567094E-2"/>
        </c:manualLayout>
      </c:layout>
      <c:overlay val="0"/>
    </c:title>
    <c:autoTitleDeleted val="0"/>
    <c:plotArea>
      <c:layout>
        <c:manualLayout>
          <c:layoutTarget val="inner"/>
          <c:xMode val="edge"/>
          <c:yMode val="edge"/>
          <c:x val="0.11135702086555271"/>
          <c:y val="0.15821924045022548"/>
          <c:w val="0.84826016801726301"/>
          <c:h val="0.65992028188594887"/>
        </c:manualLayout>
      </c:layout>
      <c:barChart>
        <c:barDir val="col"/>
        <c:grouping val="clustered"/>
        <c:varyColors val="0"/>
        <c:ser>
          <c:idx val="0"/>
          <c:order val="0"/>
          <c:tx>
            <c:strRef>
              <c:f>'Lookup data'!$A$85</c:f>
              <c:strCache>
                <c:ptCount val="1"/>
                <c:pt idx="0">
                  <c:v>≤8 weeks</c:v>
                </c:pt>
              </c:strCache>
            </c:strRef>
          </c:tx>
          <c:spPr>
            <a:solidFill>
              <a:schemeClr val="tx2">
                <a:lumMod val="20000"/>
                <a:lumOff val="80000"/>
              </a:schemeClr>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numRef>
              <c:f>'Lookup data'!$B$83:$F$83</c:f>
              <c:numCache>
                <c:formatCode>General</c:formatCode>
                <c:ptCount val="5"/>
                <c:pt idx="0">
                  <c:v>2012</c:v>
                </c:pt>
                <c:pt idx="1">
                  <c:v>2013</c:v>
                </c:pt>
                <c:pt idx="2">
                  <c:v>2014</c:v>
                </c:pt>
                <c:pt idx="3">
                  <c:v>2015</c:v>
                </c:pt>
                <c:pt idx="4">
                  <c:v>2016</c:v>
                </c:pt>
              </c:numCache>
            </c:numRef>
          </c:cat>
          <c:val>
            <c:numRef>
              <c:f>'Lookup data'!$B$85:$F$85</c:f>
              <c:numCache>
                <c:formatCode>#,##0</c:formatCode>
                <c:ptCount val="5"/>
                <c:pt idx="0">
                  <c:v>2629</c:v>
                </c:pt>
                <c:pt idx="1">
                  <c:v>2835</c:v>
                </c:pt>
                <c:pt idx="2">
                  <c:v>2876</c:v>
                </c:pt>
                <c:pt idx="3">
                  <c:v>3159</c:v>
                </c:pt>
                <c:pt idx="4">
                  <c:v>3442</c:v>
                </c:pt>
              </c:numCache>
            </c:numRef>
          </c:val>
        </c:ser>
        <c:ser>
          <c:idx val="1"/>
          <c:order val="1"/>
          <c:tx>
            <c:strRef>
              <c:f>'Lookup data'!$A$86</c:f>
              <c:strCache>
                <c:ptCount val="1"/>
                <c:pt idx="0">
                  <c:v>&gt;8 &amp; ≤14 weeks</c:v>
                </c:pt>
              </c:strCache>
            </c:strRef>
          </c:tx>
          <c:spPr>
            <a:solidFill>
              <a:schemeClr val="tx2">
                <a:lumMod val="40000"/>
                <a:lumOff val="60000"/>
              </a:schemeClr>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numRef>
              <c:f>'Lookup data'!$B$83:$F$83</c:f>
              <c:numCache>
                <c:formatCode>General</c:formatCode>
                <c:ptCount val="5"/>
                <c:pt idx="0">
                  <c:v>2012</c:v>
                </c:pt>
                <c:pt idx="1">
                  <c:v>2013</c:v>
                </c:pt>
                <c:pt idx="2">
                  <c:v>2014</c:v>
                </c:pt>
                <c:pt idx="3">
                  <c:v>2015</c:v>
                </c:pt>
                <c:pt idx="4">
                  <c:v>2016</c:v>
                </c:pt>
              </c:numCache>
            </c:numRef>
          </c:cat>
          <c:val>
            <c:numRef>
              <c:f>'Lookup data'!$B$86:$F$86</c:f>
              <c:numCache>
                <c:formatCode>#,##0</c:formatCode>
                <c:ptCount val="5"/>
                <c:pt idx="0">
                  <c:v>622</c:v>
                </c:pt>
                <c:pt idx="1">
                  <c:v>771</c:v>
                </c:pt>
                <c:pt idx="2">
                  <c:v>876</c:v>
                </c:pt>
                <c:pt idx="3">
                  <c:v>1139</c:v>
                </c:pt>
                <c:pt idx="4">
                  <c:v>1119</c:v>
                </c:pt>
              </c:numCache>
            </c:numRef>
          </c:val>
        </c:ser>
        <c:ser>
          <c:idx val="2"/>
          <c:order val="2"/>
          <c:tx>
            <c:strRef>
              <c:f>'Lookup data'!$A$87</c:f>
              <c:strCache>
                <c:ptCount val="1"/>
                <c:pt idx="0">
                  <c:v>&gt;14 &amp; ≤24 weeks</c:v>
                </c:pt>
              </c:strCache>
            </c:strRef>
          </c:tx>
          <c:spPr>
            <a:solidFill>
              <a:schemeClr val="tx2">
                <a:lumMod val="60000"/>
                <a:lumOff val="40000"/>
              </a:schemeClr>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'Lookup data'!$B$83:$F$83</c:f>
              <c:numCache>
                <c:formatCode>General</c:formatCode>
                <c:ptCount val="5"/>
                <c:pt idx="0">
                  <c:v>2012</c:v>
                </c:pt>
                <c:pt idx="1">
                  <c:v>2013</c:v>
                </c:pt>
                <c:pt idx="2">
                  <c:v>2014</c:v>
                </c:pt>
                <c:pt idx="3">
                  <c:v>2015</c:v>
                </c:pt>
                <c:pt idx="4">
                  <c:v>2016</c:v>
                </c:pt>
              </c:numCache>
            </c:numRef>
          </c:cat>
          <c:val>
            <c:numRef>
              <c:f>'Lookup data'!$B$87:$F$87</c:f>
              <c:numCache>
                <c:formatCode>#,##0</c:formatCode>
                <c:ptCount val="5"/>
                <c:pt idx="0">
                  <c:v>2</c:v>
                </c:pt>
                <c:pt idx="1">
                  <c:v>73</c:v>
                </c:pt>
                <c:pt idx="2">
                  <c:v>2</c:v>
                </c:pt>
                <c:pt idx="3">
                  <c:v>232</c:v>
                </c:pt>
                <c:pt idx="4">
                  <c:v>276</c:v>
                </c:pt>
              </c:numCache>
            </c:numRef>
          </c:val>
        </c:ser>
        <c:ser>
          <c:idx val="3"/>
          <c:order val="3"/>
          <c:tx>
            <c:strRef>
              <c:f>'Lookup data'!$A$88</c:f>
              <c:strCache>
                <c:ptCount val="1"/>
                <c:pt idx="0">
                  <c:v>&gt;24 weeks</c:v>
                </c:pt>
              </c:strCache>
            </c:strRef>
          </c:tx>
          <c:spPr>
            <a:solidFill>
              <a:srgbClr val="002060"/>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'Lookup data'!$B$83:$F$83</c:f>
              <c:numCache>
                <c:formatCode>General</c:formatCode>
                <c:ptCount val="5"/>
                <c:pt idx="0">
                  <c:v>2012</c:v>
                </c:pt>
                <c:pt idx="1">
                  <c:v>2013</c:v>
                </c:pt>
                <c:pt idx="2">
                  <c:v>2014</c:v>
                </c:pt>
                <c:pt idx="3">
                  <c:v>2015</c:v>
                </c:pt>
                <c:pt idx="4">
                  <c:v>2016</c:v>
                </c:pt>
              </c:numCache>
            </c:numRef>
          </c:cat>
          <c:val>
            <c:numRef>
              <c:f>'Lookup data'!$B$88:$F$88</c:f>
              <c:numCache>
                <c:formatCode>#,##0</c:formatCode>
                <c:ptCount val="5"/>
                <c:pt idx="0">
                  <c:v>0</c:v>
                </c:pt>
                <c:pt idx="1">
                  <c:v>5</c:v>
                </c:pt>
                <c:pt idx="2">
                  <c:v>0</c:v>
                </c:pt>
                <c:pt idx="3">
                  <c:v>127</c:v>
                </c:pt>
                <c:pt idx="4">
                  <c:v>114</c:v>
                </c:pt>
              </c:numCache>
            </c:numRef>
          </c:val>
        </c:ser>
        <c:dLbls>
          <c:showLegendKey val="0"/>
          <c:showVal val="0"/>
          <c:showCatName val="0"/>
          <c:showSerName val="0"/>
          <c:showPercent val="0"/>
          <c:showBubbleSize val="0"/>
        </c:dLbls>
        <c:gapWidth val="75"/>
        <c:axId val="239356544"/>
        <c:axId val="239378816"/>
      </c:barChart>
      <c:catAx>
        <c:axId val="239356544"/>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9378816"/>
        <c:crosses val="autoZero"/>
        <c:auto val="1"/>
        <c:lblAlgn val="ctr"/>
        <c:lblOffset val="100"/>
        <c:noMultiLvlLbl val="0"/>
      </c:catAx>
      <c:valAx>
        <c:axId val="239378816"/>
        <c:scaling>
          <c:orientation val="minMax"/>
          <c:min val="0"/>
        </c:scaling>
        <c:delete val="0"/>
        <c:axPos val="l"/>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9356544"/>
        <c:crosses val="autoZero"/>
        <c:crossBetween val="between"/>
      </c:valAx>
      <c:spPr>
        <a:ln>
          <a:noFill/>
        </a:ln>
      </c:spPr>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'Button control data'!$B$92</c:f>
          <c:strCache>
            <c:ptCount val="1"/>
            <c:pt idx="0">
              <c:v>Chart 13b: Patient pathways for ophthalmology waiting to start treatment, by grouped weeks wait as at 31 March </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135702086555271"/>
          <c:y val="0.15129450888975551"/>
          <c:w val="0.84826016801726301"/>
          <c:h val="0.66684556982997645"/>
        </c:manualLayout>
      </c:layout>
      <c:barChart>
        <c:barDir val="col"/>
        <c:grouping val="clustered"/>
        <c:varyColors val="0"/>
        <c:ser>
          <c:idx val="0"/>
          <c:order val="0"/>
          <c:tx>
            <c:strRef>
              <c:f>'Button control data'!$D$91</c:f>
              <c:strCache>
                <c:ptCount val="1"/>
                <c:pt idx="0">
                  <c:v>Up to 26 weeks </c:v>
                </c:pt>
              </c:strCache>
            </c:strRef>
          </c:tx>
          <c:spPr>
            <a:solidFill>
              <a:schemeClr val="tx2">
                <a:lumMod val="20000"/>
                <a:lumOff val="80000"/>
              </a:schemeClr>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dLbls>
          <c:cat>
            <c:numRef>
              <c:f>'Button control data'!$E$90:$I$90</c:f>
              <c:numCache>
                <c:formatCode>General</c:formatCode>
                <c:ptCount val="5"/>
                <c:pt idx="0">
                  <c:v>2013</c:v>
                </c:pt>
                <c:pt idx="1">
                  <c:v>2014</c:v>
                </c:pt>
                <c:pt idx="2">
                  <c:v>2015</c:v>
                </c:pt>
                <c:pt idx="3">
                  <c:v>2016</c:v>
                </c:pt>
                <c:pt idx="4">
                  <c:v>2017</c:v>
                </c:pt>
              </c:numCache>
            </c:numRef>
          </c:cat>
          <c:val>
            <c:numRef>
              <c:f>'Button control data'!$E$91:$I$91</c:f>
              <c:numCache>
                <c:formatCode>#,##0</c:formatCode>
                <c:ptCount val="5"/>
                <c:pt idx="0">
                  <c:v>28987</c:v>
                </c:pt>
                <c:pt idx="1">
                  <c:v>30583</c:v>
                </c:pt>
                <c:pt idx="2">
                  <c:v>29799</c:v>
                </c:pt>
                <c:pt idx="3">
                  <c:v>32479</c:v>
                </c:pt>
                <c:pt idx="4">
                  <c:v>35633</c:v>
                </c:pt>
              </c:numCache>
            </c:numRef>
          </c:val>
        </c:ser>
        <c:ser>
          <c:idx val="1"/>
          <c:order val="1"/>
          <c:tx>
            <c:strRef>
              <c:f>'Button control data'!$D$92</c:f>
              <c:strCache>
                <c:ptCount val="1"/>
                <c:pt idx="0">
                  <c:v>26 to 36 weeks </c:v>
                </c:pt>
              </c:strCache>
            </c:strRef>
          </c:tx>
          <c:spPr>
            <a:solidFill>
              <a:schemeClr val="tx2">
                <a:lumMod val="60000"/>
                <a:lumOff val="40000"/>
              </a:schemeClr>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numRef>
              <c:f>'Button control data'!$E$90:$I$90</c:f>
              <c:numCache>
                <c:formatCode>General</c:formatCode>
                <c:ptCount val="5"/>
                <c:pt idx="0">
                  <c:v>2013</c:v>
                </c:pt>
                <c:pt idx="1">
                  <c:v>2014</c:v>
                </c:pt>
                <c:pt idx="2">
                  <c:v>2015</c:v>
                </c:pt>
                <c:pt idx="3">
                  <c:v>2016</c:v>
                </c:pt>
                <c:pt idx="4">
                  <c:v>2017</c:v>
                </c:pt>
              </c:numCache>
            </c:numRef>
          </c:cat>
          <c:val>
            <c:numRef>
              <c:f>'Button control data'!$E$92:$I$92</c:f>
              <c:numCache>
                <c:formatCode>#,##0</c:formatCode>
                <c:ptCount val="5"/>
                <c:pt idx="0">
                  <c:v>3891</c:v>
                </c:pt>
                <c:pt idx="1">
                  <c:v>4331</c:v>
                </c:pt>
                <c:pt idx="2">
                  <c:v>5455</c:v>
                </c:pt>
                <c:pt idx="3">
                  <c:v>5234</c:v>
                </c:pt>
                <c:pt idx="4">
                  <c:v>5401</c:v>
                </c:pt>
              </c:numCache>
            </c:numRef>
          </c:val>
        </c:ser>
        <c:ser>
          <c:idx val="2"/>
          <c:order val="2"/>
          <c:tx>
            <c:strRef>
              <c:f>'Button control data'!$D$93</c:f>
              <c:strCache>
                <c:ptCount val="1"/>
                <c:pt idx="0">
                  <c:v>Over 36 weeks </c:v>
                </c:pt>
              </c:strCache>
            </c:strRef>
          </c:tx>
          <c:spPr>
            <a:solidFill>
              <a:srgbClr val="002060"/>
            </a:solidFill>
          </c:spPr>
          <c:invertIfNegative val="0"/>
          <c:dLbls>
            <c:numFmt formatCode="#,##0;;;" sourceLinked="0"/>
            <c:txPr>
              <a:bodyPr rot="-5400000" vert="horz"/>
              <a:lstStyle/>
              <a:p>
                <a:pPr>
                  <a:defRPr sz="900">
                    <a:latin typeface="Arial" panose="020B0604020202020204" pitchFamily="34" charset="0"/>
                    <a:cs typeface="Arial" panose="020B0604020202020204" pitchFamily="34" charset="0"/>
                  </a:defRPr>
                </a:pPr>
                <a:endParaRPr lang="en-US"/>
              </a:p>
            </c:txPr>
            <c:dLblPos val="outEnd"/>
            <c:showLegendKey val="0"/>
            <c:showVal val="1"/>
            <c:showCatName val="0"/>
            <c:showSerName val="0"/>
            <c:showPercent val="0"/>
            <c:showBubbleSize val="0"/>
            <c:showLeaderLines val="0"/>
          </c:dLbls>
          <c:cat>
            <c:numRef>
              <c:f>'Button control data'!$E$90:$I$90</c:f>
              <c:numCache>
                <c:formatCode>General</c:formatCode>
                <c:ptCount val="5"/>
                <c:pt idx="0">
                  <c:v>2013</c:v>
                </c:pt>
                <c:pt idx="1">
                  <c:v>2014</c:v>
                </c:pt>
                <c:pt idx="2">
                  <c:v>2015</c:v>
                </c:pt>
                <c:pt idx="3">
                  <c:v>2016</c:v>
                </c:pt>
                <c:pt idx="4">
                  <c:v>2017</c:v>
                </c:pt>
              </c:numCache>
            </c:numRef>
          </c:cat>
          <c:val>
            <c:numRef>
              <c:f>'Button control data'!$E$93:$I$93</c:f>
              <c:numCache>
                <c:formatCode>#,##0</c:formatCode>
                <c:ptCount val="5"/>
                <c:pt idx="0">
                  <c:v>905</c:v>
                </c:pt>
                <c:pt idx="1">
                  <c:v>1417</c:v>
                </c:pt>
                <c:pt idx="2">
                  <c:v>3515</c:v>
                </c:pt>
                <c:pt idx="3">
                  <c:v>2809</c:v>
                </c:pt>
                <c:pt idx="4">
                  <c:v>756</c:v>
                </c:pt>
              </c:numCache>
            </c:numRef>
          </c:val>
        </c:ser>
        <c:dLbls>
          <c:showLegendKey val="0"/>
          <c:showVal val="0"/>
          <c:showCatName val="0"/>
          <c:showSerName val="0"/>
          <c:showPercent val="0"/>
          <c:showBubbleSize val="0"/>
        </c:dLbls>
        <c:gapWidth val="82"/>
        <c:axId val="240435968"/>
        <c:axId val="240437504"/>
      </c:barChart>
      <c:catAx>
        <c:axId val="24043596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0437504"/>
        <c:crosses val="autoZero"/>
        <c:auto val="1"/>
        <c:lblAlgn val="ctr"/>
        <c:lblOffset val="100"/>
        <c:noMultiLvlLbl val="0"/>
      </c:catAx>
      <c:valAx>
        <c:axId val="240437504"/>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0435968"/>
        <c:crosses val="autoZero"/>
        <c:crossBetween val="between"/>
      </c:valAx>
      <c:spPr>
        <a:ln>
          <a:noFill/>
        </a:ln>
      </c:spPr>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GB" sz="960" b="1" i="0" u="none" strike="noStrike" baseline="0">
                <a:effectLst/>
                <a:latin typeface="Arial" panose="020B0604020202020204" pitchFamily="34" charset="0"/>
                <a:cs typeface="Arial" panose="020B0604020202020204" pitchFamily="34" charset="0"/>
              </a:rPr>
              <a:t>Number of people registered with a visual impairment, hearing impairment or both, at 31 March 2017</a:t>
            </a:r>
            <a:endParaRPr lang="en-GB" sz="960">
              <a:latin typeface="Arial" panose="020B0604020202020204" pitchFamily="34" charset="0"/>
              <a:cs typeface="Arial" panose="020B0604020202020204" pitchFamily="34" charset="0"/>
            </a:endParaRPr>
          </a:p>
        </c:rich>
      </c:tx>
      <c:layout/>
      <c:overlay val="0"/>
    </c:title>
    <c:autoTitleDeleted val="0"/>
    <c:plotArea>
      <c:layout>
        <c:manualLayout>
          <c:layoutTarget val="inner"/>
          <c:xMode val="edge"/>
          <c:yMode val="edge"/>
          <c:x val="0.11601443569553806"/>
          <c:y val="0.16705882352941176"/>
          <c:w val="0.8534300087489064"/>
          <c:h val="0.65512428593484628"/>
        </c:manualLayout>
      </c:layout>
      <c:barChart>
        <c:barDir val="col"/>
        <c:grouping val="clustered"/>
        <c:varyColors val="0"/>
        <c:ser>
          <c:idx val="0"/>
          <c:order val="0"/>
          <c:tx>
            <c:strRef>
              <c:f>'Button control data'!$E$61</c:f>
              <c:strCache>
                <c:ptCount val="1"/>
                <c:pt idx="0">
                  <c:v>Under 18</c:v>
                </c:pt>
              </c:strCache>
            </c:strRef>
          </c:tx>
          <c:spPr>
            <a:solidFill>
              <a:schemeClr val="tx2">
                <a:lumMod val="20000"/>
                <a:lumOff val="8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data'!$D$63:$D$65</c:f>
              <c:strCache>
                <c:ptCount val="3"/>
                <c:pt idx="0">
                  <c:v>Sight impaired only</c:v>
                </c:pt>
                <c:pt idx="1">
                  <c:v>Hearing impaired only</c:v>
                </c:pt>
                <c:pt idx="2">
                  <c:v>Hearing and sight impaired</c:v>
                </c:pt>
              </c:strCache>
            </c:strRef>
          </c:cat>
          <c:val>
            <c:numRef>
              <c:f>'Button control data'!$E$63:$E$65</c:f>
              <c:numCache>
                <c:formatCode>#,##0</c:formatCode>
                <c:ptCount val="3"/>
                <c:pt idx="0">
                  <c:v>421</c:v>
                </c:pt>
                <c:pt idx="1">
                  <c:v>184</c:v>
                </c:pt>
                <c:pt idx="2">
                  <c:v>15</c:v>
                </c:pt>
              </c:numCache>
            </c:numRef>
          </c:val>
        </c:ser>
        <c:ser>
          <c:idx val="1"/>
          <c:order val="1"/>
          <c:tx>
            <c:strRef>
              <c:f>'Button control data'!$F$61</c:f>
              <c:strCache>
                <c:ptCount val="1"/>
                <c:pt idx="0">
                  <c:v>18-64</c:v>
                </c:pt>
              </c:strCache>
            </c:strRef>
          </c:tx>
          <c:spPr>
            <a:solidFill>
              <a:schemeClr val="tx2">
                <a:lumMod val="60000"/>
                <a:lumOff val="4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data'!$D$63:$D$65</c:f>
              <c:strCache>
                <c:ptCount val="3"/>
                <c:pt idx="0">
                  <c:v>Sight impaired only</c:v>
                </c:pt>
                <c:pt idx="1">
                  <c:v>Hearing impaired only</c:v>
                </c:pt>
                <c:pt idx="2">
                  <c:v>Hearing and sight impaired</c:v>
                </c:pt>
              </c:strCache>
            </c:strRef>
          </c:cat>
          <c:val>
            <c:numRef>
              <c:f>'Button control data'!$F$63:$F$65</c:f>
              <c:numCache>
                <c:formatCode>#,##0</c:formatCode>
                <c:ptCount val="3"/>
                <c:pt idx="0">
                  <c:v>3940</c:v>
                </c:pt>
                <c:pt idx="1">
                  <c:v>3038</c:v>
                </c:pt>
                <c:pt idx="2">
                  <c:v>195</c:v>
                </c:pt>
              </c:numCache>
            </c:numRef>
          </c:val>
        </c:ser>
        <c:ser>
          <c:idx val="2"/>
          <c:order val="2"/>
          <c:tx>
            <c:strRef>
              <c:f>'Button control data'!$G$61</c:f>
              <c:strCache>
                <c:ptCount val="1"/>
                <c:pt idx="0">
                  <c:v>65 and over</c:v>
                </c:pt>
              </c:strCache>
            </c:strRef>
          </c:tx>
          <c:spPr>
            <a:solidFill>
              <a:srgbClr val="002060"/>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data'!$D$63:$D$65</c:f>
              <c:strCache>
                <c:ptCount val="3"/>
                <c:pt idx="0">
                  <c:v>Sight impaired only</c:v>
                </c:pt>
                <c:pt idx="1">
                  <c:v>Hearing impaired only</c:v>
                </c:pt>
                <c:pt idx="2">
                  <c:v>Hearing and sight impaired</c:v>
                </c:pt>
              </c:strCache>
            </c:strRef>
          </c:cat>
          <c:val>
            <c:numRef>
              <c:f>'Button control data'!$G$63:$G$65</c:f>
              <c:numCache>
                <c:formatCode>#,##0</c:formatCode>
                <c:ptCount val="3"/>
                <c:pt idx="0">
                  <c:v>10132</c:v>
                </c:pt>
                <c:pt idx="1">
                  <c:v>10258</c:v>
                </c:pt>
                <c:pt idx="2">
                  <c:v>1335</c:v>
                </c:pt>
              </c:numCache>
            </c:numRef>
          </c:val>
        </c:ser>
        <c:dLbls>
          <c:showLegendKey val="0"/>
          <c:showVal val="0"/>
          <c:showCatName val="0"/>
          <c:showSerName val="0"/>
          <c:showPercent val="0"/>
          <c:showBubbleSize val="0"/>
        </c:dLbls>
        <c:gapWidth val="150"/>
        <c:axId val="229402880"/>
        <c:axId val="229408768"/>
      </c:barChart>
      <c:catAx>
        <c:axId val="229402880"/>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9408768"/>
        <c:crosses val="autoZero"/>
        <c:auto val="1"/>
        <c:lblAlgn val="ctr"/>
        <c:lblOffset val="100"/>
        <c:noMultiLvlLbl val="0"/>
      </c:catAx>
      <c:valAx>
        <c:axId val="229408768"/>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9402880"/>
        <c:crosses val="autoZero"/>
        <c:crossBetween val="between"/>
      </c:valAx>
    </c:plotArea>
    <c:legend>
      <c:legendPos val="b"/>
      <c:layout>
        <c:manualLayout>
          <c:xMode val="edge"/>
          <c:yMode val="edge"/>
          <c:x val="0.2754984689413823"/>
          <c:y val="0.92181604137718076"/>
          <c:w val="0.43364459724224613"/>
          <c:h val="6.6146314829406916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pPr>
            <a:r>
              <a:rPr lang="en-GB" sz="960" b="1" i="0" baseline="0">
                <a:effectLst/>
                <a:latin typeface="Arial" panose="020B0604020202020204" pitchFamily="34" charset="0"/>
                <a:cs typeface="Arial" panose="020B0604020202020204" pitchFamily="34" charset="0"/>
              </a:rPr>
              <a:t>Number of people registered with a visual impairment without a hearing impairment, at 31 March 2017</a:t>
            </a:r>
            <a:endParaRPr lang="en-GB" sz="96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1601443569553806"/>
          <c:y val="0.15134259259259258"/>
          <c:w val="0.8534300087489064"/>
          <c:h val="0.59578813065033531"/>
        </c:manualLayout>
      </c:layout>
      <c:barChart>
        <c:barDir val="col"/>
        <c:grouping val="clustered"/>
        <c:varyColors val="0"/>
        <c:ser>
          <c:idx val="0"/>
          <c:order val="0"/>
          <c:tx>
            <c:strRef>
              <c:f>'Button control data'!$E$61</c:f>
              <c:strCache>
                <c:ptCount val="1"/>
                <c:pt idx="0">
                  <c:v>Under 18</c:v>
                </c:pt>
              </c:strCache>
            </c:strRef>
          </c:tx>
          <c:spPr>
            <a:solidFill>
              <a:schemeClr val="tx2">
                <a:lumMod val="20000"/>
                <a:lumOff val="8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data'!$D$66:$D$68</c:f>
              <c:strCache>
                <c:ptCount val="3"/>
                <c:pt idx="0">
                  <c:v>Sight impaired without hearing impairment</c:v>
                </c:pt>
                <c:pt idx="1">
                  <c:v>Severly sight impaired without hearing impairment</c:v>
                </c:pt>
                <c:pt idx="2">
                  <c:v>All sight impaired without hearing impairment</c:v>
                </c:pt>
              </c:strCache>
            </c:strRef>
          </c:cat>
          <c:val>
            <c:numRef>
              <c:f>'Button control data'!$E$66:$E$68</c:f>
              <c:numCache>
                <c:formatCode>#,##0</c:formatCode>
                <c:ptCount val="3"/>
                <c:pt idx="0">
                  <c:v>262</c:v>
                </c:pt>
                <c:pt idx="1">
                  <c:v>159</c:v>
                </c:pt>
                <c:pt idx="2">
                  <c:v>421</c:v>
                </c:pt>
              </c:numCache>
            </c:numRef>
          </c:val>
        </c:ser>
        <c:ser>
          <c:idx val="1"/>
          <c:order val="1"/>
          <c:tx>
            <c:strRef>
              <c:f>'Button control data'!$F$61</c:f>
              <c:strCache>
                <c:ptCount val="1"/>
                <c:pt idx="0">
                  <c:v>18-64</c:v>
                </c:pt>
              </c:strCache>
            </c:strRef>
          </c:tx>
          <c:spPr>
            <a:solidFill>
              <a:schemeClr val="tx2">
                <a:lumMod val="60000"/>
                <a:lumOff val="4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data'!$D$66:$D$68</c:f>
              <c:strCache>
                <c:ptCount val="3"/>
                <c:pt idx="0">
                  <c:v>Sight impaired without hearing impairment</c:v>
                </c:pt>
                <c:pt idx="1">
                  <c:v>Severly sight impaired without hearing impairment</c:v>
                </c:pt>
                <c:pt idx="2">
                  <c:v>All sight impaired without hearing impairment</c:v>
                </c:pt>
              </c:strCache>
            </c:strRef>
          </c:cat>
          <c:val>
            <c:numRef>
              <c:f>'Button control data'!$F$66:$F$68</c:f>
              <c:numCache>
                <c:formatCode>#,##0</c:formatCode>
                <c:ptCount val="3"/>
                <c:pt idx="0">
                  <c:v>2006</c:v>
                </c:pt>
                <c:pt idx="1">
                  <c:v>1934</c:v>
                </c:pt>
                <c:pt idx="2">
                  <c:v>3940</c:v>
                </c:pt>
              </c:numCache>
            </c:numRef>
          </c:val>
        </c:ser>
        <c:ser>
          <c:idx val="2"/>
          <c:order val="2"/>
          <c:tx>
            <c:strRef>
              <c:f>'Button control data'!$G$61</c:f>
              <c:strCache>
                <c:ptCount val="1"/>
                <c:pt idx="0">
                  <c:v>65 and over</c:v>
                </c:pt>
              </c:strCache>
            </c:strRef>
          </c:tx>
          <c:spPr>
            <a:solidFill>
              <a:srgbClr val="002060"/>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data'!$D$66:$D$68</c:f>
              <c:strCache>
                <c:ptCount val="3"/>
                <c:pt idx="0">
                  <c:v>Sight impaired without hearing impairment</c:v>
                </c:pt>
                <c:pt idx="1">
                  <c:v>Severly sight impaired without hearing impairment</c:v>
                </c:pt>
                <c:pt idx="2">
                  <c:v>All sight impaired without hearing impairment</c:v>
                </c:pt>
              </c:strCache>
            </c:strRef>
          </c:cat>
          <c:val>
            <c:numRef>
              <c:f>'Button control data'!$G$66:$G$68</c:f>
              <c:numCache>
                <c:formatCode>#,##0</c:formatCode>
                <c:ptCount val="3"/>
                <c:pt idx="0">
                  <c:v>5274</c:v>
                </c:pt>
                <c:pt idx="1">
                  <c:v>4858</c:v>
                </c:pt>
                <c:pt idx="2">
                  <c:v>10132</c:v>
                </c:pt>
              </c:numCache>
            </c:numRef>
          </c:val>
        </c:ser>
        <c:dLbls>
          <c:showLegendKey val="0"/>
          <c:showVal val="0"/>
          <c:showCatName val="0"/>
          <c:showSerName val="0"/>
          <c:showPercent val="0"/>
          <c:showBubbleSize val="0"/>
        </c:dLbls>
        <c:gapWidth val="150"/>
        <c:axId val="240196224"/>
        <c:axId val="240214400"/>
      </c:barChart>
      <c:catAx>
        <c:axId val="24019622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0214400"/>
        <c:crosses val="autoZero"/>
        <c:auto val="1"/>
        <c:lblAlgn val="ctr"/>
        <c:lblOffset val="100"/>
        <c:noMultiLvlLbl val="0"/>
      </c:catAx>
      <c:valAx>
        <c:axId val="24021440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0196224"/>
        <c:crosses val="autoZero"/>
        <c:crossBetween val="between"/>
      </c:valAx>
    </c:plotArea>
    <c:legend>
      <c:legendPos val="b"/>
      <c:layout>
        <c:manualLayout>
          <c:xMode val="edge"/>
          <c:yMode val="edge"/>
          <c:x val="0.2754984689413823"/>
          <c:y val="0.9261595946340041"/>
          <c:w val="0.43451888070442807"/>
          <c:h val="6.6043592377039828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pPr>
            <a:r>
              <a:rPr lang="en-GB" sz="960" b="1" i="0" baseline="0">
                <a:effectLst/>
                <a:latin typeface="Arial" panose="020B0604020202020204" pitchFamily="34" charset="0"/>
                <a:cs typeface="Arial" panose="020B0604020202020204" pitchFamily="34" charset="0"/>
              </a:rPr>
              <a:t>Number of people registered with a hearing impairment without a visual impairment, at 31 March 2017</a:t>
            </a:r>
            <a:endParaRPr lang="en-GB" sz="96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1601443569553806"/>
          <c:y val="0.16060185185185186"/>
          <c:w val="0.8534300087489064"/>
          <c:h val="0.62979330708661418"/>
        </c:manualLayout>
      </c:layout>
      <c:barChart>
        <c:barDir val="col"/>
        <c:grouping val="clustered"/>
        <c:varyColors val="0"/>
        <c:ser>
          <c:idx val="0"/>
          <c:order val="0"/>
          <c:tx>
            <c:strRef>
              <c:f>'Button control data'!$E$61</c:f>
              <c:strCache>
                <c:ptCount val="1"/>
                <c:pt idx="0">
                  <c:v>Under 18</c:v>
                </c:pt>
              </c:strCache>
            </c:strRef>
          </c:tx>
          <c:spPr>
            <a:solidFill>
              <a:schemeClr val="tx2">
                <a:lumMod val="20000"/>
                <a:lumOff val="8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data'!$D$69:$D$71</c:f>
              <c:strCache>
                <c:ptCount val="3"/>
                <c:pt idx="0">
                  <c:v>Deaf without sight impairment</c:v>
                </c:pt>
                <c:pt idx="1">
                  <c:v>Hard of hearing without sight impairment</c:v>
                </c:pt>
                <c:pt idx="2">
                  <c:v>All hearing impairment without sight impairment</c:v>
                </c:pt>
              </c:strCache>
            </c:strRef>
          </c:cat>
          <c:val>
            <c:numRef>
              <c:f>'Button control data'!$E$69:$E$71</c:f>
              <c:numCache>
                <c:formatCode>#,##0</c:formatCode>
                <c:ptCount val="3"/>
                <c:pt idx="0">
                  <c:v>76</c:v>
                </c:pt>
                <c:pt idx="1">
                  <c:v>108</c:v>
                </c:pt>
                <c:pt idx="2">
                  <c:v>184</c:v>
                </c:pt>
              </c:numCache>
            </c:numRef>
          </c:val>
        </c:ser>
        <c:ser>
          <c:idx val="1"/>
          <c:order val="1"/>
          <c:tx>
            <c:strRef>
              <c:f>'Button control data'!$F$61</c:f>
              <c:strCache>
                <c:ptCount val="1"/>
                <c:pt idx="0">
                  <c:v>18-64</c:v>
                </c:pt>
              </c:strCache>
            </c:strRef>
          </c:tx>
          <c:spPr>
            <a:solidFill>
              <a:schemeClr val="tx2">
                <a:lumMod val="60000"/>
                <a:lumOff val="4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data'!$D$69:$D$71</c:f>
              <c:strCache>
                <c:ptCount val="3"/>
                <c:pt idx="0">
                  <c:v>Deaf without sight impairment</c:v>
                </c:pt>
                <c:pt idx="1">
                  <c:v>Hard of hearing without sight impairment</c:v>
                </c:pt>
                <c:pt idx="2">
                  <c:v>All hearing impairment without sight impairment</c:v>
                </c:pt>
              </c:strCache>
            </c:strRef>
          </c:cat>
          <c:val>
            <c:numRef>
              <c:f>'Button control data'!$F$69:$F$71</c:f>
              <c:numCache>
                <c:formatCode>#,##0</c:formatCode>
                <c:ptCount val="3"/>
                <c:pt idx="0">
                  <c:v>1207</c:v>
                </c:pt>
                <c:pt idx="1">
                  <c:v>1831</c:v>
                </c:pt>
                <c:pt idx="2">
                  <c:v>3038</c:v>
                </c:pt>
              </c:numCache>
            </c:numRef>
          </c:val>
        </c:ser>
        <c:ser>
          <c:idx val="2"/>
          <c:order val="2"/>
          <c:tx>
            <c:strRef>
              <c:f>'Button control data'!$G$61</c:f>
              <c:strCache>
                <c:ptCount val="1"/>
                <c:pt idx="0">
                  <c:v>65 and over</c:v>
                </c:pt>
              </c:strCache>
            </c:strRef>
          </c:tx>
          <c:spPr>
            <a:solidFill>
              <a:srgbClr val="002060"/>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data'!$D$69:$D$71</c:f>
              <c:strCache>
                <c:ptCount val="3"/>
                <c:pt idx="0">
                  <c:v>Deaf without sight impairment</c:v>
                </c:pt>
                <c:pt idx="1">
                  <c:v>Hard of hearing without sight impairment</c:v>
                </c:pt>
                <c:pt idx="2">
                  <c:v>All hearing impairment without sight impairment</c:v>
                </c:pt>
              </c:strCache>
            </c:strRef>
          </c:cat>
          <c:val>
            <c:numRef>
              <c:f>'Button control data'!$G$69:$G$71</c:f>
              <c:numCache>
                <c:formatCode>#,##0</c:formatCode>
                <c:ptCount val="3"/>
                <c:pt idx="0">
                  <c:v>981</c:v>
                </c:pt>
                <c:pt idx="1">
                  <c:v>9277</c:v>
                </c:pt>
                <c:pt idx="2">
                  <c:v>10258</c:v>
                </c:pt>
              </c:numCache>
            </c:numRef>
          </c:val>
        </c:ser>
        <c:dLbls>
          <c:showLegendKey val="0"/>
          <c:showVal val="0"/>
          <c:showCatName val="0"/>
          <c:showSerName val="0"/>
          <c:showPercent val="0"/>
          <c:showBubbleSize val="0"/>
        </c:dLbls>
        <c:gapWidth val="150"/>
        <c:axId val="240245760"/>
        <c:axId val="200221440"/>
      </c:barChart>
      <c:catAx>
        <c:axId val="240245760"/>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0221440"/>
        <c:crosses val="autoZero"/>
        <c:auto val="1"/>
        <c:lblAlgn val="ctr"/>
        <c:lblOffset val="100"/>
        <c:noMultiLvlLbl val="0"/>
      </c:catAx>
      <c:valAx>
        <c:axId val="20022144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0245760"/>
        <c:crosses val="autoZero"/>
        <c:crossBetween val="between"/>
      </c:valAx>
    </c:plotArea>
    <c:legend>
      <c:legendPos val="b"/>
      <c:layout>
        <c:manualLayout>
          <c:xMode val="edge"/>
          <c:yMode val="edge"/>
          <c:x val="0.2754984689413823"/>
          <c:y val="0.9261595946340041"/>
          <c:w val="0.4345187887311005"/>
          <c:h val="6.6249335655472974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pPr>
            <a:r>
              <a:rPr lang="en-GB" sz="960" b="1" i="0" baseline="0">
                <a:effectLst/>
                <a:latin typeface="Arial" panose="020B0604020202020204" pitchFamily="34" charset="0"/>
                <a:cs typeface="Arial" panose="020B0604020202020204" pitchFamily="34" charset="0"/>
              </a:rPr>
              <a:t>Number of people registered with a hearing impairment and a visual impairment, at 31 March 2017</a:t>
            </a:r>
            <a:endParaRPr lang="en-GB" sz="96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8.1264216972878389E-2"/>
          <c:y val="0.16523148148148148"/>
          <c:w val="0.88818022747156611"/>
          <c:h val="0.62979330708661418"/>
        </c:manualLayout>
      </c:layout>
      <c:barChart>
        <c:barDir val="col"/>
        <c:grouping val="clustered"/>
        <c:varyColors val="0"/>
        <c:ser>
          <c:idx val="0"/>
          <c:order val="0"/>
          <c:tx>
            <c:strRef>
              <c:f>'Button control data'!$E$61</c:f>
              <c:strCache>
                <c:ptCount val="1"/>
                <c:pt idx="0">
                  <c:v>Under 18</c:v>
                </c:pt>
              </c:strCache>
            </c:strRef>
          </c:tx>
          <c:spPr>
            <a:solidFill>
              <a:schemeClr val="tx2">
                <a:lumMod val="20000"/>
                <a:lumOff val="8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data'!$D$72:$D$74</c:f>
              <c:strCache>
                <c:ptCount val="3"/>
                <c:pt idx="0">
                  <c:v>Severly sight impaired with hearing impairment</c:v>
                </c:pt>
                <c:pt idx="1">
                  <c:v>Deaf and sight impaired</c:v>
                </c:pt>
                <c:pt idx="2">
                  <c:v>Hard of hearing and sight impaired</c:v>
                </c:pt>
              </c:strCache>
            </c:strRef>
          </c:cat>
          <c:val>
            <c:numRef>
              <c:f>'Button control data'!$E$72:$E$74</c:f>
              <c:numCache>
                <c:formatCode>#,##0</c:formatCode>
                <c:ptCount val="3"/>
                <c:pt idx="0">
                  <c:v>10</c:v>
                </c:pt>
                <c:pt idx="1">
                  <c:v>0</c:v>
                </c:pt>
                <c:pt idx="2">
                  <c:v>5</c:v>
                </c:pt>
              </c:numCache>
            </c:numRef>
          </c:val>
        </c:ser>
        <c:ser>
          <c:idx val="1"/>
          <c:order val="1"/>
          <c:tx>
            <c:strRef>
              <c:f>'Button control data'!$F$61</c:f>
              <c:strCache>
                <c:ptCount val="1"/>
                <c:pt idx="0">
                  <c:v>18-64</c:v>
                </c:pt>
              </c:strCache>
            </c:strRef>
          </c:tx>
          <c:spPr>
            <a:solidFill>
              <a:schemeClr val="tx2">
                <a:lumMod val="60000"/>
                <a:lumOff val="40000"/>
              </a:schemeClr>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data'!$D$72:$D$74</c:f>
              <c:strCache>
                <c:ptCount val="3"/>
                <c:pt idx="0">
                  <c:v>Severly sight impaired with hearing impairment</c:v>
                </c:pt>
                <c:pt idx="1">
                  <c:v>Deaf and sight impaired</c:v>
                </c:pt>
                <c:pt idx="2">
                  <c:v>Hard of hearing and sight impaired</c:v>
                </c:pt>
              </c:strCache>
            </c:strRef>
          </c:cat>
          <c:val>
            <c:numRef>
              <c:f>'Button control data'!$F$72:$F$74</c:f>
              <c:numCache>
                <c:formatCode>#,##0</c:formatCode>
                <c:ptCount val="3"/>
                <c:pt idx="0">
                  <c:v>127</c:v>
                </c:pt>
                <c:pt idx="1">
                  <c:v>17</c:v>
                </c:pt>
                <c:pt idx="2">
                  <c:v>51</c:v>
                </c:pt>
              </c:numCache>
            </c:numRef>
          </c:val>
        </c:ser>
        <c:ser>
          <c:idx val="2"/>
          <c:order val="2"/>
          <c:tx>
            <c:strRef>
              <c:f>'Button control data'!$G$61</c:f>
              <c:strCache>
                <c:ptCount val="1"/>
                <c:pt idx="0">
                  <c:v>65 and over</c:v>
                </c:pt>
              </c:strCache>
            </c:strRef>
          </c:tx>
          <c:spPr>
            <a:solidFill>
              <a:srgbClr val="002060"/>
            </a:solidFill>
          </c:spPr>
          <c:invertIfNegative val="0"/>
          <c:dLbls>
            <c:numFmt formatCode="#,##0;;;" sourceLinked="0"/>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'Button control data'!$D$72:$D$74</c:f>
              <c:strCache>
                <c:ptCount val="3"/>
                <c:pt idx="0">
                  <c:v>Severly sight impaired with hearing impairment</c:v>
                </c:pt>
                <c:pt idx="1">
                  <c:v>Deaf and sight impaired</c:v>
                </c:pt>
                <c:pt idx="2">
                  <c:v>Hard of hearing and sight impaired</c:v>
                </c:pt>
              </c:strCache>
            </c:strRef>
          </c:cat>
          <c:val>
            <c:numRef>
              <c:f>'Button control data'!$G$72:$G$74</c:f>
              <c:numCache>
                <c:formatCode>#,##0</c:formatCode>
                <c:ptCount val="3"/>
                <c:pt idx="0">
                  <c:v>702</c:v>
                </c:pt>
                <c:pt idx="1">
                  <c:v>50</c:v>
                </c:pt>
                <c:pt idx="2">
                  <c:v>583</c:v>
                </c:pt>
              </c:numCache>
            </c:numRef>
          </c:val>
        </c:ser>
        <c:dLbls>
          <c:showLegendKey val="0"/>
          <c:showVal val="0"/>
          <c:showCatName val="0"/>
          <c:showSerName val="0"/>
          <c:showPercent val="0"/>
          <c:showBubbleSize val="0"/>
        </c:dLbls>
        <c:gapWidth val="150"/>
        <c:axId val="246890496"/>
        <c:axId val="246892032"/>
      </c:barChart>
      <c:catAx>
        <c:axId val="246890496"/>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6892032"/>
        <c:crosses val="autoZero"/>
        <c:auto val="1"/>
        <c:lblAlgn val="ctr"/>
        <c:lblOffset val="100"/>
        <c:noMultiLvlLbl val="0"/>
      </c:catAx>
      <c:valAx>
        <c:axId val="246892032"/>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6890496"/>
        <c:crosses val="autoZero"/>
        <c:crossBetween val="between"/>
      </c:valAx>
    </c:plotArea>
    <c:legend>
      <c:legendPos val="b"/>
      <c:layout>
        <c:manualLayout>
          <c:xMode val="edge"/>
          <c:yMode val="edge"/>
          <c:x val="0.28105402449693789"/>
          <c:y val="0.9261595946340041"/>
          <c:w val="0.43451888070442807"/>
          <c:h val="6.6249335655472974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960">
                <a:latin typeface="Arial" panose="020B0604020202020204" pitchFamily="34" charset="0"/>
                <a:cs typeface="Arial" panose="020B0604020202020204" pitchFamily="34" charset="0"/>
              </a:rPr>
              <a:t>Chart 14a: Number of Hospital admissions for cataract procedures (1st and 2nd eye)</a:t>
            </a:r>
          </a:p>
        </c:rich>
      </c:tx>
      <c:layout>
        <c:manualLayout>
          <c:xMode val="edge"/>
          <c:yMode val="edge"/>
          <c:x val="0.14193380911130843"/>
          <c:y val="1.8779349665206339E-2"/>
        </c:manualLayout>
      </c:layout>
      <c:overlay val="0"/>
    </c:title>
    <c:autoTitleDeleted val="0"/>
    <c:plotArea>
      <c:layout>
        <c:manualLayout>
          <c:layoutTarget val="inner"/>
          <c:xMode val="edge"/>
          <c:yMode val="edge"/>
          <c:x val="0.10340407690087669"/>
          <c:y val="0.16000005914755799"/>
          <c:w val="0.86565359521277663"/>
          <c:h val="0.75558676410733949"/>
        </c:manualLayout>
      </c:layout>
      <c:barChart>
        <c:barDir val="col"/>
        <c:grouping val="stacked"/>
        <c:varyColors val="0"/>
        <c:ser>
          <c:idx val="0"/>
          <c:order val="0"/>
          <c:tx>
            <c:strRef>
              <c:f>'Button control data'!$D$97</c:f>
              <c:strCache>
                <c:ptCount val="1"/>
                <c:pt idx="0">
                  <c:v>Chart 14a: Number of Hospital admissions for cataract procedures (1st and 2nd eye)</c:v>
                </c:pt>
              </c:strCache>
            </c:strRef>
          </c:tx>
          <c:spPr>
            <a:solidFill>
              <a:srgbClr val="002060"/>
            </a:solidFill>
          </c:spPr>
          <c:invertIfNegative val="0"/>
          <c:dLbls>
            <c:txPr>
              <a:bodyPr rot="0" vert="horz"/>
              <a:lstStyle/>
              <a:p>
                <a:pPr>
                  <a:defRPr>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'Button control data'!$E$96:$I$96</c:f>
              <c:strCache>
                <c:ptCount val="5"/>
                <c:pt idx="0">
                  <c:v>2011-12</c:v>
                </c:pt>
                <c:pt idx="1">
                  <c:v>2012-13</c:v>
                </c:pt>
                <c:pt idx="2">
                  <c:v>2013-14</c:v>
                </c:pt>
                <c:pt idx="3">
                  <c:v>2014-15</c:v>
                </c:pt>
                <c:pt idx="4">
                  <c:v>2015-16</c:v>
                </c:pt>
              </c:strCache>
            </c:strRef>
          </c:cat>
          <c:val>
            <c:numRef>
              <c:f>'Button control data'!$E$97:$I$97</c:f>
              <c:numCache>
                <c:formatCode>#,##0</c:formatCode>
                <c:ptCount val="5"/>
                <c:pt idx="0">
                  <c:v>16119</c:v>
                </c:pt>
                <c:pt idx="1">
                  <c:v>16033</c:v>
                </c:pt>
                <c:pt idx="2">
                  <c:v>16927</c:v>
                </c:pt>
                <c:pt idx="3">
                  <c:v>16319</c:v>
                </c:pt>
                <c:pt idx="4">
                  <c:v>18150</c:v>
                </c:pt>
              </c:numCache>
            </c:numRef>
          </c:val>
        </c:ser>
        <c:dLbls>
          <c:showLegendKey val="0"/>
          <c:showVal val="0"/>
          <c:showCatName val="0"/>
          <c:showSerName val="0"/>
          <c:showPercent val="0"/>
          <c:showBubbleSize val="0"/>
        </c:dLbls>
        <c:gapWidth val="100"/>
        <c:overlap val="100"/>
        <c:axId val="200374144"/>
        <c:axId val="200375680"/>
      </c:barChart>
      <c:catAx>
        <c:axId val="20037414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0375680"/>
        <c:crosses val="autoZero"/>
        <c:auto val="1"/>
        <c:lblAlgn val="ctr"/>
        <c:lblOffset val="100"/>
        <c:noMultiLvlLbl val="0"/>
      </c:catAx>
      <c:valAx>
        <c:axId val="20037568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037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'Button control data'!$D$98</c:f>
          <c:strCache>
            <c:ptCount val="1"/>
            <c:pt idx="0">
              <c:v>Chart 14b: Number of outpatient attendances (new and follow up) for ophthalmology</c:v>
            </c:pt>
          </c:strCache>
        </c:strRef>
      </c:tx>
      <c:layout>
        <c:manualLayout>
          <c:xMode val="edge"/>
          <c:yMode val="edge"/>
          <c:x val="0.15733333333333333"/>
          <c:y val="9.5238059528286647E-3"/>
        </c:manualLayout>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1723564028180689"/>
          <c:y val="0.13371423557771445"/>
          <c:w val="0.85188716673573694"/>
          <c:h val="0.78542865188277022"/>
        </c:manualLayout>
      </c:layout>
      <c:barChart>
        <c:barDir val="col"/>
        <c:grouping val="stacked"/>
        <c:varyColors val="0"/>
        <c:ser>
          <c:idx val="0"/>
          <c:order val="0"/>
          <c:tx>
            <c:strRef>
              <c:f>'Button control data'!$C$103</c:f>
              <c:strCache>
                <c:ptCount val="1"/>
                <c:pt idx="0">
                  <c:v>New</c:v>
                </c:pt>
              </c:strCache>
            </c:strRef>
          </c:tx>
          <c:spPr>
            <a:solidFill>
              <a:srgbClr val="002060"/>
            </a:solidFill>
          </c:spPr>
          <c:invertIfNegative val="0"/>
          <c:dLbls>
            <c:txPr>
              <a:bodyPr rot="0" vert="horz"/>
              <a:lstStyle/>
              <a:p>
                <a:pPr>
                  <a:defRPr sz="8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'Button control data'!$E$96:$I$96</c:f>
              <c:strCache>
                <c:ptCount val="5"/>
                <c:pt idx="0">
                  <c:v>2011-12</c:v>
                </c:pt>
                <c:pt idx="1">
                  <c:v>2012-13</c:v>
                </c:pt>
                <c:pt idx="2">
                  <c:v>2013-14</c:v>
                </c:pt>
                <c:pt idx="3">
                  <c:v>2014-15</c:v>
                </c:pt>
                <c:pt idx="4">
                  <c:v>2015-16</c:v>
                </c:pt>
              </c:strCache>
            </c:strRef>
          </c:cat>
          <c:val>
            <c:numRef>
              <c:f>'Button control data'!$E$98:$I$98</c:f>
              <c:numCache>
                <c:formatCode>#,##0</c:formatCode>
                <c:ptCount val="5"/>
                <c:pt idx="0">
                  <c:v>85770</c:v>
                </c:pt>
                <c:pt idx="1">
                  <c:v>83169</c:v>
                </c:pt>
                <c:pt idx="2">
                  <c:v>80582</c:v>
                </c:pt>
                <c:pt idx="3">
                  <c:v>76346</c:v>
                </c:pt>
                <c:pt idx="4">
                  <c:v>78656</c:v>
                </c:pt>
              </c:numCache>
            </c:numRef>
          </c:val>
        </c:ser>
        <c:ser>
          <c:idx val="1"/>
          <c:order val="1"/>
          <c:tx>
            <c:strRef>
              <c:f>'Button control data'!$C$104</c:f>
              <c:strCache>
                <c:ptCount val="1"/>
                <c:pt idx="0">
                  <c:v>Follow up</c:v>
                </c:pt>
              </c:strCache>
            </c:strRef>
          </c:tx>
          <c:spPr>
            <a:solidFill>
              <a:schemeClr val="tx2">
                <a:lumMod val="40000"/>
                <a:lumOff val="60000"/>
              </a:schemeClr>
            </a:solidFill>
          </c:spPr>
          <c:invertIfNegative val="0"/>
          <c:dLbls>
            <c:txPr>
              <a:bodyPr rot="0" vert="horz"/>
              <a:lstStyle/>
              <a:p>
                <a:pPr>
                  <a:defRPr sz="800">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'Button control data'!$E$96:$I$96</c:f>
              <c:strCache>
                <c:ptCount val="5"/>
                <c:pt idx="0">
                  <c:v>2011-12</c:v>
                </c:pt>
                <c:pt idx="1">
                  <c:v>2012-13</c:v>
                </c:pt>
                <c:pt idx="2">
                  <c:v>2013-14</c:v>
                </c:pt>
                <c:pt idx="3">
                  <c:v>2014-15</c:v>
                </c:pt>
                <c:pt idx="4">
                  <c:v>2015-16</c:v>
                </c:pt>
              </c:strCache>
            </c:strRef>
          </c:cat>
          <c:val>
            <c:numRef>
              <c:f>'Button control data'!$E$99:$I$99</c:f>
              <c:numCache>
                <c:formatCode>#,##0</c:formatCode>
                <c:ptCount val="5"/>
                <c:pt idx="0">
                  <c:v>254434</c:v>
                </c:pt>
                <c:pt idx="1">
                  <c:v>247697</c:v>
                </c:pt>
                <c:pt idx="2">
                  <c:v>249110</c:v>
                </c:pt>
                <c:pt idx="3">
                  <c:v>246266</c:v>
                </c:pt>
                <c:pt idx="4">
                  <c:v>243483</c:v>
                </c:pt>
              </c:numCache>
            </c:numRef>
          </c:val>
        </c:ser>
        <c:dLbls>
          <c:showLegendKey val="0"/>
          <c:showVal val="0"/>
          <c:showCatName val="0"/>
          <c:showSerName val="0"/>
          <c:showPercent val="0"/>
          <c:showBubbleSize val="0"/>
        </c:dLbls>
        <c:gapWidth val="100"/>
        <c:overlap val="100"/>
        <c:axId val="252580608"/>
        <c:axId val="252582144"/>
      </c:barChart>
      <c:catAx>
        <c:axId val="2525806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2582144"/>
        <c:crosses val="autoZero"/>
        <c:auto val="1"/>
        <c:lblAlgn val="ctr"/>
        <c:lblOffset val="100"/>
        <c:noMultiLvlLbl val="0"/>
      </c:catAx>
      <c:valAx>
        <c:axId val="252582144"/>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2580608"/>
        <c:crosses val="autoZero"/>
        <c:crossBetween val="between"/>
      </c:valAx>
    </c:plotArea>
    <c:legend>
      <c:legendPos val="t"/>
      <c:layout>
        <c:manualLayout>
          <c:xMode val="edge"/>
          <c:yMode val="edge"/>
          <c:x val="0.72520933830639589"/>
          <c:y val="0.12419042962488577"/>
          <c:w val="0.251335488327117"/>
          <c:h val="7.5950102755866986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Arial" panose="020B0604020202020204" pitchFamily="34" charset="0"/>
              <a:cs typeface="Arial" panose="020B0604020202020204" pitchFamily="34" charset="0"/>
            </a:defRPr>
          </a:pPr>
          <a:endParaRPr lang="en-US"/>
        </a:p>
      </c:txPr>
    </c:title>
    <c:autoTitleDeleted val="0"/>
    <c:plotArea>
      <c:layout/>
      <c:lineChart>
        <c:grouping val="standard"/>
        <c:varyColors val="0"/>
        <c:ser>
          <c:idx val="0"/>
          <c:order val="0"/>
          <c:tx>
            <c:strRef>
              <c:f>'Button control data'!$D$19</c:f>
              <c:strCache>
                <c:ptCount val="1"/>
                <c:pt idx="0">
                  <c:v>Chart 2c: Sight tests paid by NHS in adults on income support* per 1,000 Welsh residents (16-59)</c:v>
                </c:pt>
              </c:strCache>
            </c:strRef>
          </c:tx>
          <c:spPr>
            <a:ln>
              <a:solidFill>
                <a:srgbClr val="000066"/>
              </a:solidFill>
            </a:ln>
          </c:spPr>
          <c:marker>
            <c:symbol val="none"/>
          </c:marker>
          <c:dLbls>
            <c:dLbl>
              <c:idx val="2"/>
              <c:layout>
                <c:manualLayout>
                  <c:x val="-4.690570957540361E-2"/>
                  <c:y val="5.1982336764620357E-2"/>
                </c:manualLayout>
              </c:layout>
              <c:dLblPos val="r"/>
              <c:showLegendKey val="0"/>
              <c:showVal val="1"/>
              <c:showCatName val="0"/>
              <c:showSerName val="0"/>
              <c:showPercent val="0"/>
              <c:showBubbleSize val="0"/>
            </c:dLbl>
            <c:dLbl>
              <c:idx val="3"/>
              <c:layout>
                <c:manualLayout>
                  <c:x val="-6.5399002184019339E-2"/>
                  <c:y val="4.5387702200842449E-2"/>
                </c:manualLayout>
              </c:layout>
              <c:dLblPos val="r"/>
              <c:showLegendKey val="0"/>
              <c:showVal val="1"/>
              <c:showCatName val="0"/>
              <c:showSerName val="0"/>
              <c:showPercent val="0"/>
              <c:showBubbleSize val="0"/>
            </c:dLbl>
            <c:numFmt formatCode="#,##0" sourceLinked="0"/>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dLbls>
          <c:cat>
            <c:strRef>
              <c:f>'Button control data'!$G$12:$I$12</c:f>
              <c:strCache>
                <c:ptCount val="3"/>
                <c:pt idx="0">
                  <c:v>2014-15</c:v>
                </c:pt>
                <c:pt idx="1">
                  <c:v>2015-16</c:v>
                </c:pt>
                <c:pt idx="2">
                  <c:v>2016-17</c:v>
                </c:pt>
              </c:strCache>
            </c:strRef>
          </c:cat>
          <c:val>
            <c:numRef>
              <c:f>'Button control data'!$G$19:$I$19</c:f>
              <c:numCache>
                <c:formatCode>0</c:formatCode>
                <c:ptCount val="3"/>
                <c:pt idx="0">
                  <c:v>67.88738494003654</c:v>
                </c:pt>
                <c:pt idx="1">
                  <c:v>68.091111393601224</c:v>
                </c:pt>
                <c:pt idx="2">
                  <c:v>65.314051147069137</c:v>
                </c:pt>
              </c:numCache>
            </c:numRef>
          </c:val>
          <c:smooth val="0"/>
        </c:ser>
        <c:dLbls>
          <c:dLblPos val="b"/>
          <c:showLegendKey val="0"/>
          <c:showVal val="1"/>
          <c:showCatName val="0"/>
          <c:showSerName val="0"/>
          <c:showPercent val="0"/>
          <c:showBubbleSize val="0"/>
        </c:dLbls>
        <c:marker val="1"/>
        <c:smooth val="0"/>
        <c:axId val="226996608"/>
        <c:axId val="226999296"/>
      </c:lineChart>
      <c:catAx>
        <c:axId val="22699660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6999296"/>
        <c:crosses val="autoZero"/>
        <c:auto val="1"/>
        <c:lblAlgn val="ctr"/>
        <c:lblOffset val="100"/>
        <c:noMultiLvlLbl val="0"/>
      </c:catAx>
      <c:valAx>
        <c:axId val="226999296"/>
        <c:scaling>
          <c:orientation val="minMax"/>
          <c:min val="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6996608"/>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'Button control data'!$D$100</c:f>
          <c:strCache>
            <c:ptCount val="1"/>
            <c:pt idx="0">
              <c:v>Chart 14c: Number of admissions (inpatients and day cases) due to selected hearing related procedures</c:v>
            </c:pt>
          </c:strCache>
        </c:strRef>
      </c:tx>
      <c:layout>
        <c:manualLayout>
          <c:xMode val="edge"/>
          <c:yMode val="edge"/>
          <c:x val="0.10449111755767372"/>
          <c:y val="1.4336917562724014E-2"/>
        </c:manualLayout>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8.2119629783119222E-2"/>
          <c:y val="0.14853046594982078"/>
          <c:w val="0.88700317723442468"/>
          <c:h val="0.77032258064516124"/>
        </c:manualLayout>
      </c:layout>
      <c:barChart>
        <c:barDir val="col"/>
        <c:grouping val="stacked"/>
        <c:varyColors val="0"/>
        <c:ser>
          <c:idx val="0"/>
          <c:order val="0"/>
          <c:tx>
            <c:strRef>
              <c:f>'Button control data'!$D$100</c:f>
              <c:strCache>
                <c:ptCount val="1"/>
                <c:pt idx="0">
                  <c:v>Chart 14c: Number of admissions (inpatients and day cases) due to selected hearing related procedures</c:v>
                </c:pt>
              </c:strCache>
            </c:strRef>
          </c:tx>
          <c:spPr>
            <a:solidFill>
              <a:srgbClr val="002060"/>
            </a:solidFill>
          </c:spPr>
          <c:invertIfNegative val="0"/>
          <c:dLbls>
            <c:txPr>
              <a:bodyPr rot="0" vert="horz"/>
              <a:lstStyle/>
              <a:p>
                <a:pPr>
                  <a:defRPr>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'Button control data'!$E$96:$I$96</c:f>
              <c:strCache>
                <c:ptCount val="5"/>
                <c:pt idx="0">
                  <c:v>2011-12</c:v>
                </c:pt>
                <c:pt idx="1">
                  <c:v>2012-13</c:v>
                </c:pt>
                <c:pt idx="2">
                  <c:v>2013-14</c:v>
                </c:pt>
                <c:pt idx="3">
                  <c:v>2014-15</c:v>
                </c:pt>
                <c:pt idx="4">
                  <c:v>2015-16</c:v>
                </c:pt>
              </c:strCache>
            </c:strRef>
          </c:cat>
          <c:val>
            <c:numRef>
              <c:f>'Button control data'!$E$100:$I$100</c:f>
              <c:numCache>
                <c:formatCode>#,##0</c:formatCode>
                <c:ptCount val="5"/>
                <c:pt idx="0">
                  <c:v>3305</c:v>
                </c:pt>
                <c:pt idx="1">
                  <c:v>2872</c:v>
                </c:pt>
                <c:pt idx="2">
                  <c:v>2968</c:v>
                </c:pt>
                <c:pt idx="3">
                  <c:v>3119</c:v>
                </c:pt>
                <c:pt idx="4">
                  <c:v>3086</c:v>
                </c:pt>
              </c:numCache>
            </c:numRef>
          </c:val>
        </c:ser>
        <c:dLbls>
          <c:showLegendKey val="0"/>
          <c:showVal val="0"/>
          <c:showCatName val="0"/>
          <c:showSerName val="0"/>
          <c:showPercent val="0"/>
          <c:showBubbleSize val="0"/>
        </c:dLbls>
        <c:gapWidth val="100"/>
        <c:overlap val="100"/>
        <c:axId val="252603008"/>
        <c:axId val="252621184"/>
      </c:barChart>
      <c:catAx>
        <c:axId val="252603008"/>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2621184"/>
        <c:crosses val="autoZero"/>
        <c:auto val="1"/>
        <c:lblAlgn val="ctr"/>
        <c:lblOffset val="100"/>
        <c:noMultiLvlLbl val="0"/>
      </c:catAx>
      <c:valAx>
        <c:axId val="252621184"/>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2603008"/>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'Button control data'!$D$101</c:f>
          <c:strCache>
            <c:ptCount val="1"/>
            <c:pt idx="0">
              <c:v>Chart 14d: Number of admissions due to selected diagnoses relating to hearing loss</c:v>
            </c:pt>
          </c:strCache>
        </c:strRef>
      </c:tx>
      <c:layout>
        <c:manualLayout>
          <c:xMode val="edge"/>
          <c:yMode val="edge"/>
          <c:x val="0.10375422019615969"/>
          <c:y val="1.4285714285714285E-2"/>
        </c:manualLayout>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8.2119629783119222E-2"/>
          <c:y val="0.15276190476190477"/>
          <c:w val="0.88700317723442468"/>
          <c:h val="0.75685714285714289"/>
        </c:manualLayout>
      </c:layout>
      <c:barChart>
        <c:barDir val="col"/>
        <c:grouping val="stacked"/>
        <c:varyColors val="0"/>
        <c:ser>
          <c:idx val="0"/>
          <c:order val="0"/>
          <c:tx>
            <c:strRef>
              <c:f>'Button control data'!$D$101</c:f>
              <c:strCache>
                <c:ptCount val="1"/>
                <c:pt idx="0">
                  <c:v>Chart 14d: Number of admissions due to selected diagnoses relating to hearing loss</c:v>
                </c:pt>
              </c:strCache>
            </c:strRef>
          </c:tx>
          <c:spPr>
            <a:solidFill>
              <a:srgbClr val="002060"/>
            </a:solidFill>
          </c:spPr>
          <c:invertIfNegative val="0"/>
          <c:dLbls>
            <c:txPr>
              <a:bodyPr rot="0" vert="horz"/>
              <a:lstStyle/>
              <a:p>
                <a:pPr>
                  <a:defRPr>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'Button control data'!$E$96:$I$96</c:f>
              <c:strCache>
                <c:ptCount val="5"/>
                <c:pt idx="0">
                  <c:v>2011-12</c:v>
                </c:pt>
                <c:pt idx="1">
                  <c:v>2012-13</c:v>
                </c:pt>
                <c:pt idx="2">
                  <c:v>2013-14</c:v>
                </c:pt>
                <c:pt idx="3">
                  <c:v>2014-15</c:v>
                </c:pt>
                <c:pt idx="4">
                  <c:v>2015-16</c:v>
                </c:pt>
              </c:strCache>
            </c:strRef>
          </c:cat>
          <c:val>
            <c:numRef>
              <c:f>'Button control data'!$E$101:$I$101</c:f>
              <c:numCache>
                <c:formatCode>#,##0</c:formatCode>
                <c:ptCount val="5"/>
                <c:pt idx="0">
                  <c:v>4641</c:v>
                </c:pt>
                <c:pt idx="1">
                  <c:v>4715</c:v>
                </c:pt>
                <c:pt idx="2">
                  <c:v>4902</c:v>
                </c:pt>
                <c:pt idx="3">
                  <c:v>5617</c:v>
                </c:pt>
                <c:pt idx="4">
                  <c:v>6165</c:v>
                </c:pt>
              </c:numCache>
            </c:numRef>
          </c:val>
        </c:ser>
        <c:dLbls>
          <c:showLegendKey val="0"/>
          <c:showVal val="0"/>
          <c:showCatName val="0"/>
          <c:showSerName val="0"/>
          <c:showPercent val="0"/>
          <c:showBubbleSize val="0"/>
        </c:dLbls>
        <c:gapWidth val="100"/>
        <c:overlap val="100"/>
        <c:axId val="255012864"/>
        <c:axId val="255014400"/>
      </c:barChart>
      <c:catAx>
        <c:axId val="255012864"/>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5014400"/>
        <c:crosses val="autoZero"/>
        <c:auto val="1"/>
        <c:lblAlgn val="ctr"/>
        <c:lblOffset val="100"/>
        <c:noMultiLvlLbl val="0"/>
      </c:catAx>
      <c:valAx>
        <c:axId val="25501440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5012864"/>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data'!$K$24</c:f>
          <c:strCache>
            <c:ptCount val="1"/>
            <c:pt idx="0">
              <c:v>Chart 15a: New CVIs per 100,000 population in 2015-16</c:v>
            </c:pt>
          </c:strCache>
        </c:strRef>
      </c:tx>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data'!$K$24</c:f>
              <c:strCache>
                <c:ptCount val="1"/>
                <c:pt idx="0">
                  <c:v>Chart 15a: New CVIs per 100,000 population in 2015-16</c:v>
                </c:pt>
              </c:strCache>
            </c:strRef>
          </c:tx>
          <c:spPr>
            <a:solidFill>
              <a:schemeClr val="tx2">
                <a:lumMod val="60000"/>
                <a:lumOff val="40000"/>
              </a:schemeClr>
            </a:solidFill>
          </c:spPr>
          <c:invertIfNegative val="0"/>
          <c:dPt>
            <c:idx val="4"/>
            <c:invertIfNegative val="0"/>
            <c:bubble3D val="0"/>
            <c:spPr>
              <a:solidFill>
                <a:srgbClr val="002060"/>
              </a:solidFill>
            </c:spPr>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data'!$J$25:$J$32</c:f>
              <c:strCache>
                <c:ptCount val="8"/>
                <c:pt idx="0">
                  <c:v>Cardiff &amp; Vale</c:v>
                </c:pt>
                <c:pt idx="1">
                  <c:v>Hywel Dda</c:v>
                </c:pt>
                <c:pt idx="2">
                  <c:v>Cwm Taf</c:v>
                </c:pt>
                <c:pt idx="3">
                  <c:v>Aneurin Bevan</c:v>
                </c:pt>
                <c:pt idx="4">
                  <c:v>Wales</c:v>
                </c:pt>
                <c:pt idx="5">
                  <c:v>Betsi Cadwaladr</c:v>
                </c:pt>
                <c:pt idx="6">
                  <c:v>ABM</c:v>
                </c:pt>
                <c:pt idx="7">
                  <c:v>Powys</c:v>
                </c:pt>
              </c:strCache>
            </c:strRef>
          </c:cat>
          <c:val>
            <c:numRef>
              <c:f>'Comparison data'!$K$25:$K$32</c:f>
              <c:numCache>
                <c:formatCode>#,##0</c:formatCode>
                <c:ptCount val="8"/>
                <c:pt idx="0">
                  <c:v>32.593986203254453</c:v>
                </c:pt>
                <c:pt idx="1">
                  <c:v>40.184850311432591</c:v>
                </c:pt>
                <c:pt idx="2">
                  <c:v>41.788127453788732</c:v>
                </c:pt>
                <c:pt idx="3">
                  <c:v>44.00220698569413</c:v>
                </c:pt>
                <c:pt idx="4">
                  <c:v>44.787398607202256</c:v>
                </c:pt>
                <c:pt idx="5">
                  <c:v>47.950028294836514</c:v>
                </c:pt>
                <c:pt idx="6">
                  <c:v>51.953884742304922</c:v>
                </c:pt>
                <c:pt idx="7">
                  <c:v>58.804903424254761</c:v>
                </c:pt>
              </c:numCache>
            </c:numRef>
          </c:val>
        </c:ser>
        <c:dLbls>
          <c:showLegendKey val="0"/>
          <c:showVal val="0"/>
          <c:showCatName val="0"/>
          <c:showSerName val="0"/>
          <c:showPercent val="0"/>
          <c:showBubbleSize val="0"/>
        </c:dLbls>
        <c:gapWidth val="100"/>
        <c:axId val="256395520"/>
        <c:axId val="256430080"/>
      </c:barChart>
      <c:catAx>
        <c:axId val="25639552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430080"/>
        <c:crosses val="autoZero"/>
        <c:auto val="1"/>
        <c:lblAlgn val="ctr"/>
        <c:lblOffset val="100"/>
        <c:noMultiLvlLbl val="0"/>
      </c:catAx>
      <c:valAx>
        <c:axId val="25643008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395520"/>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data'!$K$40</c:f>
          <c:strCache>
            <c:ptCount val="1"/>
            <c:pt idx="0">
              <c:v>Chart 15b: Sight tests paid by NHS per 1,000 population in 2016-17</c:v>
            </c:pt>
          </c:strCache>
        </c:strRef>
      </c:tx>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data'!$K$40</c:f>
              <c:strCache>
                <c:ptCount val="1"/>
                <c:pt idx="0">
                  <c:v>Chart 15b: Sight tests paid by NHS per 1,000 population in 2016-17</c:v>
                </c:pt>
              </c:strCache>
            </c:strRef>
          </c:tx>
          <c:spPr>
            <a:solidFill>
              <a:schemeClr val="tx2">
                <a:lumMod val="60000"/>
                <a:lumOff val="40000"/>
              </a:schemeClr>
            </a:solidFill>
          </c:spPr>
          <c:invertIfNegative val="0"/>
          <c:dPt>
            <c:idx val="3"/>
            <c:invertIfNegative val="0"/>
            <c:bubble3D val="0"/>
            <c:spPr>
              <a:solidFill>
                <a:srgbClr val="002060"/>
              </a:solidFill>
            </c:spPr>
          </c:dPt>
          <c:dPt>
            <c:idx val="4"/>
            <c:invertIfNegative val="0"/>
            <c:bubble3D val="0"/>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data'!$J$41:$J$48</c:f>
              <c:strCache>
                <c:ptCount val="8"/>
                <c:pt idx="0">
                  <c:v>Powys</c:v>
                </c:pt>
                <c:pt idx="1">
                  <c:v>Betsi Cadwaladr</c:v>
                </c:pt>
                <c:pt idx="2">
                  <c:v>Cardiff &amp; Vale</c:v>
                </c:pt>
                <c:pt idx="3">
                  <c:v>Wales</c:v>
                </c:pt>
                <c:pt idx="4">
                  <c:v>ABM</c:v>
                </c:pt>
                <c:pt idx="5">
                  <c:v>Aneurin Bevan</c:v>
                </c:pt>
                <c:pt idx="6">
                  <c:v>Hywel Dda</c:v>
                </c:pt>
                <c:pt idx="7">
                  <c:v>Cwm Taf</c:v>
                </c:pt>
              </c:strCache>
            </c:strRef>
          </c:cat>
          <c:val>
            <c:numRef>
              <c:f>'Comparison data'!$K$41:$K$48</c:f>
              <c:numCache>
                <c:formatCode>#,##0</c:formatCode>
                <c:ptCount val="8"/>
                <c:pt idx="0">
                  <c:v>205.25173022119688</c:v>
                </c:pt>
                <c:pt idx="1">
                  <c:v>224.80211613698444</c:v>
                </c:pt>
                <c:pt idx="2">
                  <c:v>241.98765554345317</c:v>
                </c:pt>
                <c:pt idx="3">
                  <c:v>250.66326007087252</c:v>
                </c:pt>
                <c:pt idx="4">
                  <c:v>256.99474371319934</c:v>
                </c:pt>
                <c:pt idx="5">
                  <c:v>261.01387272705404</c:v>
                </c:pt>
                <c:pt idx="6">
                  <c:v>271.957497997281</c:v>
                </c:pt>
                <c:pt idx="7">
                  <c:v>286.65307429187652</c:v>
                </c:pt>
              </c:numCache>
            </c:numRef>
          </c:val>
        </c:ser>
        <c:dLbls>
          <c:showLegendKey val="0"/>
          <c:showVal val="0"/>
          <c:showCatName val="0"/>
          <c:showSerName val="0"/>
          <c:showPercent val="0"/>
          <c:showBubbleSize val="0"/>
        </c:dLbls>
        <c:gapWidth val="100"/>
        <c:axId val="200245632"/>
        <c:axId val="200247168"/>
      </c:barChart>
      <c:catAx>
        <c:axId val="20024563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0247168"/>
        <c:crosses val="autoZero"/>
        <c:auto val="1"/>
        <c:lblAlgn val="ctr"/>
        <c:lblOffset val="100"/>
        <c:noMultiLvlLbl val="0"/>
      </c:catAx>
      <c:valAx>
        <c:axId val="200247168"/>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0245632"/>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data'!$K$56</c:f>
          <c:strCache>
            <c:ptCount val="1"/>
            <c:pt idx="0">
              <c:v>Chart 15c: Number of EHEW examinations carried out per 10,000 population in 2016-17</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data'!$K$56</c:f>
              <c:strCache>
                <c:ptCount val="1"/>
                <c:pt idx="0">
                  <c:v>Chart 15c: Number of EHEW examinations carried out per 10,000 population in 2016-17</c:v>
                </c:pt>
              </c:strCache>
            </c:strRef>
          </c:tx>
          <c:spPr>
            <a:solidFill>
              <a:schemeClr val="tx2">
                <a:lumMod val="60000"/>
                <a:lumOff val="40000"/>
              </a:schemeClr>
            </a:solidFill>
          </c:spPr>
          <c:invertIfNegative val="0"/>
          <c:dPt>
            <c:idx val="3"/>
            <c:invertIfNegative val="0"/>
            <c:bubble3D val="0"/>
            <c:spPr>
              <a:solidFill>
                <a:srgbClr val="002060"/>
              </a:solidFill>
            </c:spPr>
          </c:dPt>
          <c:dPt>
            <c:idx val="4"/>
            <c:invertIfNegative val="0"/>
            <c:bubble3D val="0"/>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data'!$J$57:$J$64</c:f>
              <c:strCache>
                <c:ptCount val="8"/>
                <c:pt idx="0">
                  <c:v>Betsi Cadwaladr</c:v>
                </c:pt>
                <c:pt idx="1">
                  <c:v>ABM</c:v>
                </c:pt>
                <c:pt idx="2">
                  <c:v>Powys</c:v>
                </c:pt>
                <c:pt idx="3">
                  <c:v>Wales</c:v>
                </c:pt>
                <c:pt idx="4">
                  <c:v>Hywel Dda</c:v>
                </c:pt>
                <c:pt idx="5">
                  <c:v>Aneurin Bevan</c:v>
                </c:pt>
                <c:pt idx="6">
                  <c:v>Cardiff &amp; Vale</c:v>
                </c:pt>
                <c:pt idx="7">
                  <c:v>Cwm Taf</c:v>
                </c:pt>
              </c:strCache>
            </c:strRef>
          </c:cat>
          <c:val>
            <c:numRef>
              <c:f>'Comparison data'!$K$57:$K$64</c:f>
              <c:numCache>
                <c:formatCode>#,##0</c:formatCode>
                <c:ptCount val="8"/>
                <c:pt idx="0">
                  <c:v>361.22354648776837</c:v>
                </c:pt>
                <c:pt idx="1">
                  <c:v>437.53544472905958</c:v>
                </c:pt>
                <c:pt idx="2">
                  <c:v>438.09653051069796</c:v>
                </c:pt>
                <c:pt idx="3">
                  <c:v>485.05914324416943</c:v>
                </c:pt>
                <c:pt idx="4">
                  <c:v>505.36363375423048</c:v>
                </c:pt>
                <c:pt idx="5">
                  <c:v>525.89512692745996</c:v>
                </c:pt>
                <c:pt idx="6">
                  <c:v>591.43644585272466</c:v>
                </c:pt>
                <c:pt idx="7">
                  <c:v>599.96292988693608</c:v>
                </c:pt>
              </c:numCache>
            </c:numRef>
          </c:val>
        </c:ser>
        <c:dLbls>
          <c:showLegendKey val="0"/>
          <c:showVal val="0"/>
          <c:showCatName val="0"/>
          <c:showSerName val="0"/>
          <c:showPercent val="0"/>
          <c:showBubbleSize val="0"/>
        </c:dLbls>
        <c:gapWidth val="100"/>
        <c:axId val="202737920"/>
        <c:axId val="202752000"/>
      </c:barChart>
      <c:catAx>
        <c:axId val="20273792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752000"/>
        <c:crosses val="autoZero"/>
        <c:auto val="1"/>
        <c:lblAlgn val="ctr"/>
        <c:lblOffset val="100"/>
        <c:noMultiLvlLbl val="0"/>
      </c:catAx>
      <c:valAx>
        <c:axId val="20275200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737920"/>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data'!$K$72</c:f>
          <c:strCache>
            <c:ptCount val="1"/>
            <c:pt idx="0">
              <c:v>Chart 15d: Number of total referrals to the hospital eye service per 100,000 population in 2016-17</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data'!$K$72</c:f>
              <c:strCache>
                <c:ptCount val="1"/>
                <c:pt idx="0">
                  <c:v>Chart 15d: Number of total referrals to the hospital eye service per 100,000 population in 2016-17</c:v>
                </c:pt>
              </c:strCache>
            </c:strRef>
          </c:tx>
          <c:spPr>
            <a:solidFill>
              <a:schemeClr val="tx2">
                <a:lumMod val="60000"/>
                <a:lumOff val="40000"/>
              </a:schemeClr>
            </a:solidFill>
          </c:spPr>
          <c:invertIfNegative val="0"/>
          <c:dPt>
            <c:idx val="3"/>
            <c:invertIfNegative val="0"/>
            <c:bubble3D val="0"/>
          </c:dPt>
          <c:dPt>
            <c:idx val="4"/>
            <c:invertIfNegative val="0"/>
            <c:bubble3D val="0"/>
            <c:spPr>
              <a:solidFill>
                <a:srgbClr val="002060"/>
              </a:solidFill>
            </c:spPr>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data'!$J$73:$J$80</c:f>
              <c:strCache>
                <c:ptCount val="8"/>
                <c:pt idx="0">
                  <c:v>Betsi Cadwaladr</c:v>
                </c:pt>
                <c:pt idx="1">
                  <c:v>Powys</c:v>
                </c:pt>
                <c:pt idx="2">
                  <c:v>Cwm Taf</c:v>
                </c:pt>
                <c:pt idx="3">
                  <c:v>Wales</c:v>
                </c:pt>
                <c:pt idx="4">
                  <c:v>Cardiff &amp; Vale</c:v>
                </c:pt>
                <c:pt idx="5">
                  <c:v>Aneurin Bevan</c:v>
                </c:pt>
                <c:pt idx="6">
                  <c:v>ABM</c:v>
                </c:pt>
                <c:pt idx="7">
                  <c:v>Hywel Dda</c:v>
                </c:pt>
              </c:strCache>
            </c:strRef>
          </c:cat>
          <c:val>
            <c:numRef>
              <c:f>'Comparison data'!$K$73:$K$80</c:f>
              <c:numCache>
                <c:formatCode>#,##0</c:formatCode>
                <c:ptCount val="8"/>
                <c:pt idx="0">
                  <c:v>1977.4706864053751</c:v>
                </c:pt>
                <c:pt idx="1">
                  <c:v>2435.8800379970144</c:v>
                </c:pt>
                <c:pt idx="2">
                  <c:v>2482.3495711661922</c:v>
                </c:pt>
                <c:pt idx="3">
                  <c:v>2963.6479916981975</c:v>
                </c:pt>
                <c:pt idx="4">
                  <c:v>2974.7169686767666</c:v>
                </c:pt>
                <c:pt idx="5">
                  <c:v>3056.262665674325</c:v>
                </c:pt>
                <c:pt idx="6">
                  <c:v>3298.405605690949</c:v>
                </c:pt>
                <c:pt idx="7">
                  <c:v>4692.4945659122877</c:v>
                </c:pt>
              </c:numCache>
            </c:numRef>
          </c:val>
        </c:ser>
        <c:dLbls>
          <c:showLegendKey val="0"/>
          <c:showVal val="0"/>
          <c:showCatName val="0"/>
          <c:showSerName val="0"/>
          <c:showPercent val="0"/>
          <c:showBubbleSize val="0"/>
        </c:dLbls>
        <c:gapWidth val="100"/>
        <c:axId val="202572160"/>
        <c:axId val="202573696"/>
      </c:barChart>
      <c:catAx>
        <c:axId val="20257216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573696"/>
        <c:crosses val="autoZero"/>
        <c:auto val="1"/>
        <c:lblAlgn val="ctr"/>
        <c:lblOffset val="100"/>
        <c:noMultiLvlLbl val="0"/>
      </c:catAx>
      <c:valAx>
        <c:axId val="202573696"/>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572160"/>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data'!$K$88</c:f>
          <c:strCache>
            <c:ptCount val="1"/>
            <c:pt idx="0">
              <c:v>Chart 15e: Number of new low vision assessments per 10,000 population in 2016-17</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data'!$K$88</c:f>
              <c:strCache>
                <c:ptCount val="1"/>
                <c:pt idx="0">
                  <c:v>Chart 15e: Number of new low vision assessments per 10,000 population in 2016-17</c:v>
                </c:pt>
              </c:strCache>
            </c:strRef>
          </c:tx>
          <c:spPr>
            <a:solidFill>
              <a:schemeClr val="tx2">
                <a:lumMod val="60000"/>
                <a:lumOff val="40000"/>
              </a:schemeClr>
            </a:solidFill>
          </c:spPr>
          <c:invertIfNegative val="0"/>
          <c:dPt>
            <c:idx val="3"/>
            <c:invertIfNegative val="0"/>
            <c:bubble3D val="0"/>
          </c:dPt>
          <c:dPt>
            <c:idx val="4"/>
            <c:invertIfNegative val="0"/>
            <c:bubble3D val="0"/>
            <c:spPr>
              <a:solidFill>
                <a:srgbClr val="002060"/>
              </a:solidFill>
            </c:spPr>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data'!$J$89:$J$96</c:f>
              <c:strCache>
                <c:ptCount val="8"/>
                <c:pt idx="0">
                  <c:v>Cwm Taf</c:v>
                </c:pt>
                <c:pt idx="1">
                  <c:v>Powys</c:v>
                </c:pt>
                <c:pt idx="2">
                  <c:v>Betsi Cadwaladr</c:v>
                </c:pt>
                <c:pt idx="3">
                  <c:v>ABM</c:v>
                </c:pt>
                <c:pt idx="4">
                  <c:v>Wales</c:v>
                </c:pt>
                <c:pt idx="5">
                  <c:v>Cardiff &amp; Vale</c:v>
                </c:pt>
                <c:pt idx="6">
                  <c:v>Aneurin Bevan</c:v>
                </c:pt>
                <c:pt idx="7">
                  <c:v>Hywel Dda</c:v>
                </c:pt>
              </c:strCache>
            </c:strRef>
          </c:cat>
          <c:val>
            <c:numRef>
              <c:f>'Comparison data'!$K$89:$K$96</c:f>
              <c:numCache>
                <c:formatCode>#,##0</c:formatCode>
                <c:ptCount val="8"/>
                <c:pt idx="0">
                  <c:v>21.264764857532818</c:v>
                </c:pt>
                <c:pt idx="1">
                  <c:v>23.748134075179806</c:v>
                </c:pt>
                <c:pt idx="2">
                  <c:v>25.645345463394545</c:v>
                </c:pt>
                <c:pt idx="3">
                  <c:v>27.822922891300294</c:v>
                </c:pt>
                <c:pt idx="4">
                  <c:v>28.369654794994396</c:v>
                </c:pt>
                <c:pt idx="5">
                  <c:v>28.880747268706479</c:v>
                </c:pt>
                <c:pt idx="6">
                  <c:v>30.268705664768497</c:v>
                </c:pt>
                <c:pt idx="7">
                  <c:v>37.627632564341425</c:v>
                </c:pt>
              </c:numCache>
            </c:numRef>
          </c:val>
        </c:ser>
        <c:dLbls>
          <c:showLegendKey val="0"/>
          <c:showVal val="0"/>
          <c:showCatName val="0"/>
          <c:showSerName val="0"/>
          <c:showPercent val="0"/>
          <c:showBubbleSize val="0"/>
        </c:dLbls>
        <c:gapWidth val="100"/>
        <c:axId val="202602752"/>
        <c:axId val="202608640"/>
      </c:barChart>
      <c:catAx>
        <c:axId val="20260275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08640"/>
        <c:crosses val="autoZero"/>
        <c:auto val="1"/>
        <c:lblAlgn val="ctr"/>
        <c:lblOffset val="100"/>
        <c:noMultiLvlLbl val="0"/>
      </c:catAx>
      <c:valAx>
        <c:axId val="202608640"/>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02752"/>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data'!$K$104</c:f>
          <c:strCache>
            <c:ptCount val="1"/>
            <c:pt idx="0">
              <c:v>Chart 15f: The percentage of scheduled DESW appointments where results were reported in 2016-17</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data'!$K$104</c:f>
              <c:strCache>
                <c:ptCount val="1"/>
                <c:pt idx="0">
                  <c:v>Chart 15f: The percentage of scheduled DESW appointments where results were reported in 2016-17</c:v>
                </c:pt>
              </c:strCache>
            </c:strRef>
          </c:tx>
          <c:spPr>
            <a:solidFill>
              <a:schemeClr val="tx2">
                <a:lumMod val="60000"/>
                <a:lumOff val="40000"/>
              </a:schemeClr>
            </a:solidFill>
          </c:spPr>
          <c:invertIfNegative val="0"/>
          <c:dPt>
            <c:idx val="3"/>
            <c:invertIfNegative val="0"/>
            <c:bubble3D val="0"/>
          </c:dPt>
          <c:dPt>
            <c:idx val="4"/>
            <c:invertIfNegative val="0"/>
            <c:bubble3D val="0"/>
            <c:spPr>
              <a:solidFill>
                <a:srgbClr val="002060"/>
              </a:solidFill>
            </c:spPr>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data'!$J$105:$J$112</c:f>
              <c:strCache>
                <c:ptCount val="8"/>
                <c:pt idx="0">
                  <c:v>Cardiff &amp; Vale</c:v>
                </c:pt>
                <c:pt idx="1">
                  <c:v>Aneurin Bevan</c:v>
                </c:pt>
                <c:pt idx="2">
                  <c:v>Hywel Dda</c:v>
                </c:pt>
                <c:pt idx="3">
                  <c:v>Cwm Taf</c:v>
                </c:pt>
                <c:pt idx="4">
                  <c:v>Wales</c:v>
                </c:pt>
                <c:pt idx="5">
                  <c:v>Betsi Cadwaladr</c:v>
                </c:pt>
                <c:pt idx="6">
                  <c:v>ABM</c:v>
                </c:pt>
                <c:pt idx="7">
                  <c:v>Powys</c:v>
                </c:pt>
              </c:strCache>
            </c:strRef>
          </c:cat>
          <c:val>
            <c:numRef>
              <c:f>'Comparison data'!$K$105:$K$112</c:f>
              <c:numCache>
                <c:formatCode>0%</c:formatCode>
                <c:ptCount val="8"/>
                <c:pt idx="0">
                  <c:v>0.81102290768881835</c:v>
                </c:pt>
                <c:pt idx="1">
                  <c:v>0.82420138377741792</c:v>
                </c:pt>
                <c:pt idx="2">
                  <c:v>0.84439890710382515</c:v>
                </c:pt>
                <c:pt idx="3">
                  <c:v>0.84593057694585949</c:v>
                </c:pt>
                <c:pt idx="4">
                  <c:v>0.84759957152595189</c:v>
                </c:pt>
                <c:pt idx="5">
                  <c:v>0.84967068177772498</c:v>
                </c:pt>
                <c:pt idx="6">
                  <c:v>0.88775116597117509</c:v>
                </c:pt>
                <c:pt idx="7">
                  <c:v>0.91464932909116059</c:v>
                </c:pt>
              </c:numCache>
            </c:numRef>
          </c:val>
        </c:ser>
        <c:dLbls>
          <c:showLegendKey val="0"/>
          <c:showVal val="0"/>
          <c:showCatName val="0"/>
          <c:showSerName val="0"/>
          <c:showPercent val="0"/>
          <c:showBubbleSize val="0"/>
        </c:dLbls>
        <c:gapWidth val="100"/>
        <c:axId val="202641792"/>
        <c:axId val="202643328"/>
      </c:barChart>
      <c:catAx>
        <c:axId val="2026417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43328"/>
        <c:crosses val="autoZero"/>
        <c:auto val="1"/>
        <c:lblAlgn val="ctr"/>
        <c:lblOffset val="100"/>
        <c:noMultiLvlLbl val="0"/>
      </c:catAx>
      <c:valAx>
        <c:axId val="202643328"/>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41792"/>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data'!$K$120</c:f>
          <c:strCache>
            <c:ptCount val="1"/>
            <c:pt idx="0">
              <c:v>Chart 15g: Ophthalmic practitioners per 10,000 population at 31 December 2016</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data'!$K$120</c:f>
              <c:strCache>
                <c:ptCount val="1"/>
                <c:pt idx="0">
                  <c:v>Chart 15g: Ophthalmic practitioners per 10,000 population at 31 December 2016</c:v>
                </c:pt>
              </c:strCache>
            </c:strRef>
          </c:tx>
          <c:spPr>
            <a:solidFill>
              <a:schemeClr val="tx2">
                <a:lumMod val="60000"/>
                <a:lumOff val="40000"/>
              </a:schemeClr>
            </a:solidFill>
          </c:spPr>
          <c:invertIfNegative val="0"/>
          <c:dPt>
            <c:idx val="3"/>
            <c:invertIfNegative val="0"/>
            <c:bubble3D val="0"/>
          </c:dPt>
          <c:dPt>
            <c:idx val="4"/>
            <c:invertIfNegative val="0"/>
            <c:bubble3D val="0"/>
          </c:dPt>
          <c:dPt>
            <c:idx val="5"/>
            <c:invertIfNegative val="0"/>
            <c:bubble3D val="0"/>
            <c:spPr>
              <a:solidFill>
                <a:srgbClr val="002060"/>
              </a:solidFill>
            </c:spPr>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data'!$J$121:$J$128</c:f>
              <c:strCache>
                <c:ptCount val="8"/>
                <c:pt idx="0">
                  <c:v>Hywel Dda</c:v>
                </c:pt>
                <c:pt idx="1">
                  <c:v>ABM</c:v>
                </c:pt>
                <c:pt idx="2">
                  <c:v>Powys</c:v>
                </c:pt>
                <c:pt idx="3">
                  <c:v>Cwm Taf</c:v>
                </c:pt>
                <c:pt idx="4">
                  <c:v>Betsi Cadwaladr</c:v>
                </c:pt>
                <c:pt idx="5">
                  <c:v>Wales</c:v>
                </c:pt>
                <c:pt idx="6">
                  <c:v>Aneurin Bevan</c:v>
                </c:pt>
                <c:pt idx="7">
                  <c:v>Cardiff &amp; Vale</c:v>
                </c:pt>
              </c:strCache>
            </c:strRef>
          </c:cat>
          <c:val>
            <c:numRef>
              <c:f>'Comparison data'!$K$121:$K$128</c:f>
              <c:numCache>
                <c:formatCode>#,##0.00</c:formatCode>
                <c:ptCount val="8"/>
                <c:pt idx="0">
                  <c:v>2.2179949847219285</c:v>
                </c:pt>
                <c:pt idx="1">
                  <c:v>2.2265950603844971</c:v>
                </c:pt>
                <c:pt idx="2">
                  <c:v>2.5632906620828999</c:v>
                </c:pt>
                <c:pt idx="3">
                  <c:v>2.5949079144691387</c:v>
                </c:pt>
                <c:pt idx="4">
                  <c:v>2.6206922371352088</c:v>
                </c:pt>
                <c:pt idx="5">
                  <c:v>2.6427146584509109</c:v>
                </c:pt>
                <c:pt idx="6">
                  <c:v>2.7329495745020962</c:v>
                </c:pt>
                <c:pt idx="7">
                  <c:v>3.8163844605076411</c:v>
                </c:pt>
              </c:numCache>
            </c:numRef>
          </c:val>
        </c:ser>
        <c:dLbls>
          <c:showLegendKey val="0"/>
          <c:showVal val="0"/>
          <c:showCatName val="0"/>
          <c:showSerName val="0"/>
          <c:showPercent val="0"/>
          <c:showBubbleSize val="0"/>
        </c:dLbls>
        <c:gapWidth val="100"/>
        <c:axId val="202680576"/>
        <c:axId val="202682368"/>
      </c:barChart>
      <c:catAx>
        <c:axId val="20268057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82368"/>
        <c:crosses val="autoZero"/>
        <c:auto val="1"/>
        <c:lblAlgn val="ctr"/>
        <c:lblOffset val="100"/>
        <c:noMultiLvlLbl val="0"/>
      </c:catAx>
      <c:valAx>
        <c:axId val="202682368"/>
        <c:scaling>
          <c:orientation val="minMax"/>
          <c:min val="0"/>
        </c:scaling>
        <c:delete val="0"/>
        <c:axPos val="l"/>
        <c:majorGridlines/>
        <c:numFmt formatCode="#,##0.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680576"/>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data'!$K$136</c:f>
          <c:strCache>
            <c:ptCount val="1"/>
            <c:pt idx="0">
              <c:v>Chart 15h: People with visual and/or hearing impairments per 100,000 population at 31 March 2016</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data'!$K$136</c:f>
              <c:strCache>
                <c:ptCount val="1"/>
                <c:pt idx="0">
                  <c:v>Chart 15h: People with visual and/or hearing impairments per 100,000 population at 31 March 2016</c:v>
                </c:pt>
              </c:strCache>
            </c:strRef>
          </c:tx>
          <c:spPr>
            <a:solidFill>
              <a:schemeClr val="tx2">
                <a:lumMod val="60000"/>
                <a:lumOff val="40000"/>
              </a:schemeClr>
            </a:solidFill>
          </c:spPr>
          <c:invertIfNegative val="0"/>
          <c:dPt>
            <c:idx val="3"/>
            <c:invertIfNegative val="0"/>
            <c:bubble3D val="0"/>
            <c:spPr>
              <a:solidFill>
                <a:srgbClr val="002060"/>
              </a:solidFill>
            </c:spPr>
          </c:dPt>
          <c:dPt>
            <c:idx val="4"/>
            <c:invertIfNegative val="0"/>
            <c:bubble3D val="0"/>
          </c:dPt>
          <c:dPt>
            <c:idx val="5"/>
            <c:invertIfNegative val="0"/>
            <c:bubble3D val="0"/>
          </c:dPt>
          <c:dPt>
            <c:idx val="7"/>
            <c:invertIfNegative val="0"/>
            <c:bubble3D val="0"/>
          </c:dPt>
          <c:dLbls>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data'!$J$137:$J$144</c:f>
              <c:strCache>
                <c:ptCount val="8"/>
                <c:pt idx="0">
                  <c:v>Cardiff &amp; Vale</c:v>
                </c:pt>
                <c:pt idx="1">
                  <c:v>Betsi Cadwaladr</c:v>
                </c:pt>
                <c:pt idx="2">
                  <c:v>Aneurin Bevan</c:v>
                </c:pt>
                <c:pt idx="3">
                  <c:v>Wales</c:v>
                </c:pt>
                <c:pt idx="4">
                  <c:v>Hywel Dda</c:v>
                </c:pt>
                <c:pt idx="5">
                  <c:v>ABM</c:v>
                </c:pt>
                <c:pt idx="6">
                  <c:v>Cwm Taf</c:v>
                </c:pt>
                <c:pt idx="7">
                  <c:v>Powys</c:v>
                </c:pt>
              </c:strCache>
            </c:strRef>
          </c:cat>
          <c:val>
            <c:numRef>
              <c:f>'Comparison data'!$K$137:$K$144</c:f>
              <c:numCache>
                <c:formatCode>#,##0</c:formatCode>
                <c:ptCount val="8"/>
                <c:pt idx="0">
                  <c:v>510.57035350034658</c:v>
                </c:pt>
                <c:pt idx="1">
                  <c:v>696.49935994631903</c:v>
                </c:pt>
                <c:pt idx="2">
                  <c:v>861.65259226283069</c:v>
                </c:pt>
                <c:pt idx="3">
                  <c:v>952.47437470273496</c:v>
                </c:pt>
                <c:pt idx="4">
                  <c:v>1134.5696698318759</c:v>
                </c:pt>
                <c:pt idx="5">
                  <c:v>1247.6544628957915</c:v>
                </c:pt>
                <c:pt idx="6">
                  <c:v>1401.2502738133351</c:v>
                </c:pt>
                <c:pt idx="7">
                  <c:v>1606.5801179113705</c:v>
                </c:pt>
              </c:numCache>
            </c:numRef>
          </c:val>
        </c:ser>
        <c:dLbls>
          <c:showLegendKey val="0"/>
          <c:showVal val="0"/>
          <c:showCatName val="0"/>
          <c:showSerName val="0"/>
          <c:showPercent val="0"/>
          <c:showBubbleSize val="0"/>
        </c:dLbls>
        <c:gapWidth val="100"/>
        <c:axId val="202789248"/>
        <c:axId val="202790784"/>
      </c:barChart>
      <c:catAx>
        <c:axId val="20278924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790784"/>
        <c:crosses val="autoZero"/>
        <c:auto val="1"/>
        <c:lblAlgn val="ctr"/>
        <c:lblOffset val="100"/>
        <c:noMultiLvlLbl val="0"/>
      </c:catAx>
      <c:valAx>
        <c:axId val="202790784"/>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789248"/>
        <c:crosses val="autoZero"/>
        <c:crossBetween val="between"/>
      </c:valAx>
    </c:plotArea>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en-US" sz="960">
                <a:latin typeface="Arial" panose="020B0604020202020204" pitchFamily="34" charset="0"/>
                <a:cs typeface="Arial" panose="020B0604020202020204" pitchFamily="34" charset="0"/>
              </a:rPr>
              <a:t>Chart 3: Number of examinations claimed for under the EHEW** scheme by age of patient, 2016-17</a:t>
            </a:r>
          </a:p>
        </c:rich>
      </c:tx>
      <c:overlay val="0"/>
    </c:title>
    <c:autoTitleDeleted val="0"/>
    <c:plotArea>
      <c:layout>
        <c:manualLayout>
          <c:layoutTarget val="inner"/>
          <c:xMode val="edge"/>
          <c:yMode val="edge"/>
          <c:x val="0.10709029157693986"/>
          <c:y val="0.1821106827685311"/>
          <c:w val="0.86470456882881841"/>
          <c:h val="0.70978273796440849"/>
        </c:manualLayout>
      </c:layout>
      <c:barChart>
        <c:barDir val="col"/>
        <c:grouping val="stacked"/>
        <c:varyColors val="0"/>
        <c:ser>
          <c:idx val="0"/>
          <c:order val="0"/>
          <c:tx>
            <c:strRef>
              <c:f>'Lookup data'!$A$28</c:f>
              <c:strCache>
                <c:ptCount val="1"/>
                <c:pt idx="0">
                  <c:v>EHEW Band 1</c:v>
                </c:pt>
              </c:strCache>
            </c:strRef>
          </c:tx>
          <c:spPr>
            <a:solidFill>
              <a:srgbClr val="002060"/>
            </a:solidFill>
          </c:spPr>
          <c:invertIfNegative val="0"/>
          <c:dLbls>
            <c:txPr>
              <a:bodyPr/>
              <a:lstStyle/>
              <a:p>
                <a:pPr>
                  <a:defRPr sz="8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'Lookup data'!$E$27:$I$27</c:f>
              <c:strCache>
                <c:ptCount val="5"/>
                <c:pt idx="0">
                  <c:v>&lt;20</c:v>
                </c:pt>
                <c:pt idx="1">
                  <c:v>20-59</c:v>
                </c:pt>
                <c:pt idx="2">
                  <c:v>60-69</c:v>
                </c:pt>
                <c:pt idx="3">
                  <c:v>70-79</c:v>
                </c:pt>
                <c:pt idx="4">
                  <c:v>80+</c:v>
                </c:pt>
              </c:strCache>
            </c:strRef>
          </c:cat>
          <c:val>
            <c:numRef>
              <c:f>'Lookup data'!$E$28:$I$28</c:f>
              <c:numCache>
                <c:formatCode>#,##0</c:formatCode>
                <c:ptCount val="5"/>
                <c:pt idx="0">
                  <c:v>7616</c:v>
                </c:pt>
                <c:pt idx="1">
                  <c:v>40424</c:v>
                </c:pt>
                <c:pt idx="2">
                  <c:v>19226</c:v>
                </c:pt>
                <c:pt idx="3">
                  <c:v>16396</c:v>
                </c:pt>
                <c:pt idx="4">
                  <c:v>9888</c:v>
                </c:pt>
              </c:numCache>
            </c:numRef>
          </c:val>
        </c:ser>
        <c:ser>
          <c:idx val="1"/>
          <c:order val="1"/>
          <c:tx>
            <c:strRef>
              <c:f>'Lookup data'!$A$29</c:f>
              <c:strCache>
                <c:ptCount val="1"/>
                <c:pt idx="0">
                  <c:v>EHEW Band 2</c:v>
                </c:pt>
              </c:strCache>
            </c:strRef>
          </c:tx>
          <c:spPr>
            <a:solidFill>
              <a:schemeClr val="tx2">
                <a:lumMod val="60000"/>
                <a:lumOff val="40000"/>
              </a:schemeClr>
            </a:solidFill>
          </c:spPr>
          <c:invertIfNegative val="0"/>
          <c:dLbls>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'Lookup data'!$E$27:$I$27</c:f>
              <c:strCache>
                <c:ptCount val="5"/>
                <c:pt idx="0">
                  <c:v>&lt;20</c:v>
                </c:pt>
                <c:pt idx="1">
                  <c:v>20-59</c:v>
                </c:pt>
                <c:pt idx="2">
                  <c:v>60-69</c:v>
                </c:pt>
                <c:pt idx="3">
                  <c:v>70-79</c:v>
                </c:pt>
                <c:pt idx="4">
                  <c:v>80+</c:v>
                </c:pt>
              </c:strCache>
            </c:strRef>
          </c:cat>
          <c:val>
            <c:numRef>
              <c:f>'Lookup data'!$E$29:$I$29</c:f>
              <c:numCache>
                <c:formatCode>#,##0</c:formatCode>
                <c:ptCount val="5"/>
                <c:pt idx="0">
                  <c:v>5275</c:v>
                </c:pt>
                <c:pt idx="1">
                  <c:v>7281</c:v>
                </c:pt>
                <c:pt idx="2">
                  <c:v>7644</c:v>
                </c:pt>
                <c:pt idx="3">
                  <c:v>10459</c:v>
                </c:pt>
                <c:pt idx="4">
                  <c:v>6786</c:v>
                </c:pt>
              </c:numCache>
            </c:numRef>
          </c:val>
        </c:ser>
        <c:ser>
          <c:idx val="2"/>
          <c:order val="2"/>
          <c:tx>
            <c:strRef>
              <c:f>'Lookup data'!$A$30</c:f>
              <c:strCache>
                <c:ptCount val="1"/>
                <c:pt idx="0">
                  <c:v>EHEW Band 3</c:v>
                </c:pt>
              </c:strCache>
            </c:strRef>
          </c:tx>
          <c:spPr>
            <a:solidFill>
              <a:schemeClr val="tx2">
                <a:lumMod val="20000"/>
                <a:lumOff val="80000"/>
              </a:schemeClr>
            </a:solidFill>
          </c:spPr>
          <c:invertIfNegative val="0"/>
          <c:dLbls>
            <c:dLbl>
              <c:idx val="0"/>
              <c:layout>
                <c:manualLayout>
                  <c:x val="0"/>
                  <c:y val="-3.4621802807705451E-2"/>
                </c:manualLayout>
              </c:layout>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'Lookup data'!$E$27:$I$27</c:f>
              <c:strCache>
                <c:ptCount val="5"/>
                <c:pt idx="0">
                  <c:v>&lt;20</c:v>
                </c:pt>
                <c:pt idx="1">
                  <c:v>20-59</c:v>
                </c:pt>
                <c:pt idx="2">
                  <c:v>60-69</c:v>
                </c:pt>
                <c:pt idx="3">
                  <c:v>70-79</c:v>
                </c:pt>
                <c:pt idx="4">
                  <c:v>80+</c:v>
                </c:pt>
              </c:strCache>
            </c:strRef>
          </c:cat>
          <c:val>
            <c:numRef>
              <c:f>'Lookup data'!$E$30:$I$30</c:f>
              <c:numCache>
                <c:formatCode>#,##0</c:formatCode>
                <c:ptCount val="5"/>
                <c:pt idx="0">
                  <c:v>1158</c:v>
                </c:pt>
                <c:pt idx="1">
                  <c:v>6484</c:v>
                </c:pt>
                <c:pt idx="2">
                  <c:v>4118</c:v>
                </c:pt>
                <c:pt idx="3">
                  <c:v>4583</c:v>
                </c:pt>
                <c:pt idx="4">
                  <c:v>2965</c:v>
                </c:pt>
              </c:numCache>
            </c:numRef>
          </c:val>
        </c:ser>
        <c:dLbls>
          <c:showLegendKey val="0"/>
          <c:showVal val="0"/>
          <c:showCatName val="0"/>
          <c:showSerName val="0"/>
          <c:showPercent val="0"/>
          <c:showBubbleSize val="0"/>
        </c:dLbls>
        <c:gapWidth val="100"/>
        <c:overlap val="100"/>
        <c:axId val="234729472"/>
        <c:axId val="234731008"/>
      </c:barChart>
      <c:catAx>
        <c:axId val="234729472"/>
        <c:scaling>
          <c:orientation val="minMax"/>
        </c:scaling>
        <c:delete val="0"/>
        <c:axPos val="b"/>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34731008"/>
        <c:crosses val="autoZero"/>
        <c:auto val="1"/>
        <c:lblAlgn val="ctr"/>
        <c:lblOffset val="100"/>
        <c:noMultiLvlLbl val="0"/>
      </c:catAx>
      <c:valAx>
        <c:axId val="234731008"/>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34729472"/>
        <c:crosses val="autoZero"/>
        <c:crossBetween val="between"/>
      </c:valAx>
    </c:plotArea>
    <c:legend>
      <c:legendPos val="b"/>
      <c:layout>
        <c:manualLayout>
          <c:xMode val="edge"/>
          <c:yMode val="edge"/>
          <c:x val="0.45302784293472359"/>
          <c:y val="0.20003905175789136"/>
          <c:w val="0.52214941334521037"/>
          <c:h val="5.1264462525476499E-2"/>
        </c:manualLayout>
      </c:layout>
      <c:overlay val="0"/>
      <c:txPr>
        <a:bodyPr/>
        <a:lstStyle/>
        <a:p>
          <a:pPr>
            <a:defRPr sz="8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data'!$K$152</c:f>
          <c:strCache>
            <c:ptCount val="1"/>
            <c:pt idx="0">
              <c:v>Chart 15i: Percentage of optometry practices that were accredited to provide Eye Health Examinations Wales (EHEW) and Low Vision Service (LVS) Wales services</c:v>
            </c:pt>
          </c:strCache>
        </c:strRef>
      </c:tx>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barChart>
        <c:barDir val="col"/>
        <c:grouping val="clustered"/>
        <c:varyColors val="0"/>
        <c:ser>
          <c:idx val="0"/>
          <c:order val="0"/>
          <c:tx>
            <c:strRef>
              <c:f>'Comparison data'!$K$161</c:f>
              <c:strCache>
                <c:ptCount val="1"/>
                <c:pt idx="0">
                  <c:v>EHEW</c:v>
                </c:pt>
              </c:strCache>
            </c:strRef>
          </c:tx>
          <c:spPr>
            <a:solidFill>
              <a:schemeClr val="tx2">
                <a:lumMod val="60000"/>
                <a:lumOff val="40000"/>
              </a:schemeClr>
            </a:solidFill>
          </c:spPr>
          <c:invertIfNegative val="0"/>
          <c:dPt>
            <c:idx val="2"/>
            <c:invertIfNegative val="0"/>
            <c:bubble3D val="0"/>
            <c:spPr>
              <a:solidFill>
                <a:srgbClr val="002060"/>
              </a:solidFill>
            </c:spPr>
          </c:dPt>
          <c:dPt>
            <c:idx val="3"/>
            <c:invertIfNegative val="0"/>
            <c:bubble3D val="0"/>
          </c:dPt>
          <c:dPt>
            <c:idx val="4"/>
            <c:invertIfNegative val="0"/>
            <c:bubble3D val="0"/>
          </c:dPt>
          <c:dPt>
            <c:idx val="5"/>
            <c:invertIfNegative val="0"/>
            <c:bubble3D val="0"/>
          </c:dPt>
          <c:dPt>
            <c:idx val="7"/>
            <c:invertIfNegative val="0"/>
            <c:bubble3D val="0"/>
          </c:dPt>
          <c:dLbls>
            <c:txPr>
              <a:bodyPr/>
              <a:lstStyle/>
              <a:p>
                <a:pPr>
                  <a:defRPr sz="8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data'!$J$153:$J$160</c:f>
              <c:strCache>
                <c:ptCount val="8"/>
                <c:pt idx="0">
                  <c:v>ABM</c:v>
                </c:pt>
                <c:pt idx="1">
                  <c:v>Betsi Cadwaladr</c:v>
                </c:pt>
                <c:pt idx="2">
                  <c:v>Wales</c:v>
                </c:pt>
                <c:pt idx="3">
                  <c:v>Hywel Dda</c:v>
                </c:pt>
                <c:pt idx="4">
                  <c:v>Aneurin Bevan</c:v>
                </c:pt>
                <c:pt idx="5">
                  <c:v>Cardiff &amp; Vale</c:v>
                </c:pt>
                <c:pt idx="6">
                  <c:v>Powys</c:v>
                </c:pt>
                <c:pt idx="7">
                  <c:v>Cwm Taf</c:v>
                </c:pt>
              </c:strCache>
            </c:strRef>
          </c:cat>
          <c:val>
            <c:numRef>
              <c:f>'Comparison data'!$K$153:$K$160</c:f>
              <c:numCache>
                <c:formatCode>0%</c:formatCode>
                <c:ptCount val="8"/>
                <c:pt idx="0">
                  <c:v>0.85185185185185186</c:v>
                </c:pt>
                <c:pt idx="1">
                  <c:v>0.92592592592592593</c:v>
                </c:pt>
                <c:pt idx="2">
                  <c:v>0.92602739726027394</c:v>
                </c:pt>
                <c:pt idx="3">
                  <c:v>0.93478260869565222</c:v>
                </c:pt>
                <c:pt idx="4">
                  <c:v>0.94117647058823528</c:v>
                </c:pt>
                <c:pt idx="5">
                  <c:v>0.94202898550724634</c:v>
                </c:pt>
                <c:pt idx="6">
                  <c:v>0.94736842105263153</c:v>
                </c:pt>
                <c:pt idx="7">
                  <c:v>0.9642857142857143</c:v>
                </c:pt>
              </c:numCache>
            </c:numRef>
          </c:val>
        </c:ser>
        <c:ser>
          <c:idx val="1"/>
          <c:order val="1"/>
          <c:tx>
            <c:strRef>
              <c:f>'Comparison data'!$L$161</c:f>
              <c:strCache>
                <c:ptCount val="1"/>
                <c:pt idx="0">
                  <c:v>LVS</c:v>
                </c:pt>
              </c:strCache>
            </c:strRef>
          </c:tx>
          <c:spPr>
            <a:solidFill>
              <a:schemeClr val="tx2">
                <a:lumMod val="20000"/>
                <a:lumOff val="80000"/>
              </a:schemeClr>
            </a:solidFill>
          </c:spPr>
          <c:invertIfNegative val="0"/>
          <c:dPt>
            <c:idx val="2"/>
            <c:invertIfNegative val="0"/>
            <c:bubble3D val="0"/>
            <c:spPr>
              <a:solidFill>
                <a:srgbClr val="6EC2F6"/>
              </a:solidFill>
            </c:spPr>
          </c:dPt>
          <c:dPt>
            <c:idx val="4"/>
            <c:invertIfNegative val="0"/>
            <c:bubble3D val="0"/>
          </c:dPt>
          <c:dLbls>
            <c:spPr>
              <a:noFill/>
            </c:spPr>
            <c:txPr>
              <a:bodyPr/>
              <a:lstStyle/>
              <a:p>
                <a:pPr>
                  <a:defRPr sz="800">
                    <a:solidFill>
                      <a:sysClr val="windowText" lastClr="000000"/>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'Comparison data'!$J$153:$J$160</c:f>
              <c:strCache>
                <c:ptCount val="8"/>
                <c:pt idx="0">
                  <c:v>ABM</c:v>
                </c:pt>
                <c:pt idx="1">
                  <c:v>Betsi Cadwaladr</c:v>
                </c:pt>
                <c:pt idx="2">
                  <c:v>Wales</c:v>
                </c:pt>
                <c:pt idx="3">
                  <c:v>Hywel Dda</c:v>
                </c:pt>
                <c:pt idx="4">
                  <c:v>Aneurin Bevan</c:v>
                </c:pt>
                <c:pt idx="5">
                  <c:v>Cardiff &amp; Vale</c:v>
                </c:pt>
                <c:pt idx="6">
                  <c:v>Powys</c:v>
                </c:pt>
                <c:pt idx="7">
                  <c:v>Cwm Taf</c:v>
                </c:pt>
              </c:strCache>
            </c:strRef>
          </c:cat>
          <c:val>
            <c:numRef>
              <c:f>'Comparison data'!$L$153:$L$160</c:f>
              <c:numCache>
                <c:formatCode>0%</c:formatCode>
                <c:ptCount val="8"/>
                <c:pt idx="0">
                  <c:v>0.46296296296296297</c:v>
                </c:pt>
                <c:pt idx="1">
                  <c:v>0.50617283950617287</c:v>
                </c:pt>
                <c:pt idx="2">
                  <c:v>0.57534246575342463</c:v>
                </c:pt>
                <c:pt idx="3">
                  <c:v>0.69565217391304346</c:v>
                </c:pt>
                <c:pt idx="4">
                  <c:v>0.63235294117647056</c:v>
                </c:pt>
                <c:pt idx="5">
                  <c:v>0.52173913043478259</c:v>
                </c:pt>
                <c:pt idx="6">
                  <c:v>0.78947368421052633</c:v>
                </c:pt>
                <c:pt idx="7">
                  <c:v>0.6428571428571429</c:v>
                </c:pt>
              </c:numCache>
            </c:numRef>
          </c:val>
        </c:ser>
        <c:dLbls>
          <c:showLegendKey val="0"/>
          <c:showVal val="0"/>
          <c:showCatName val="0"/>
          <c:showSerName val="0"/>
          <c:showPercent val="0"/>
          <c:showBubbleSize val="0"/>
        </c:dLbls>
        <c:gapWidth val="100"/>
        <c:axId val="202825728"/>
        <c:axId val="202827264"/>
      </c:barChart>
      <c:catAx>
        <c:axId val="20282572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827264"/>
        <c:crosses val="autoZero"/>
        <c:auto val="1"/>
        <c:lblAlgn val="ctr"/>
        <c:lblOffset val="100"/>
        <c:noMultiLvlLbl val="0"/>
      </c:catAx>
      <c:valAx>
        <c:axId val="202827264"/>
        <c:scaling>
          <c:orientation val="minMax"/>
          <c:max val="1"/>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02825728"/>
        <c:crosses val="autoZero"/>
        <c:crossBetween val="between"/>
      </c:valAx>
    </c:plotArea>
    <c:legend>
      <c:legendPos val="b"/>
      <c:overlay val="0"/>
    </c:legend>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data'!$K$167</c:f>
          <c:strCache>
            <c:ptCount val="1"/>
            <c:pt idx="0">
              <c:v>Chart 15j: Percentage of patients waiting for hearing aids at 31 March 2017 by weeks waiting</c:v>
            </c:pt>
          </c:strCache>
        </c:strRef>
      </c:tx>
      <c:layout>
        <c:manualLayout>
          <c:xMode val="edge"/>
          <c:yMode val="edge"/>
          <c:x val="0.13340901154199544"/>
          <c:y val="9.2592592592592587E-3"/>
        </c:manualLayout>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5.5400265952291416E-2"/>
          <c:y val="0.13444444444444445"/>
          <c:w val="0.923769090904211"/>
          <c:h val="0.65571704578594348"/>
        </c:manualLayout>
      </c:layout>
      <c:barChart>
        <c:barDir val="col"/>
        <c:grouping val="stacked"/>
        <c:varyColors val="0"/>
        <c:ser>
          <c:idx val="0"/>
          <c:order val="0"/>
          <c:tx>
            <c:strRef>
              <c:f>'Comparison data'!$K$168</c:f>
              <c:strCache>
                <c:ptCount val="1"/>
                <c:pt idx="0">
                  <c:v>≤8 weeks</c:v>
                </c:pt>
              </c:strCache>
            </c:strRef>
          </c:tx>
          <c:spPr>
            <a:solidFill>
              <a:srgbClr val="002060"/>
            </a:solidFill>
          </c:spPr>
          <c:invertIfNegative val="0"/>
          <c:dPt>
            <c:idx val="3"/>
            <c:invertIfNegative val="0"/>
            <c:bubble3D val="0"/>
          </c:dPt>
          <c:dPt>
            <c:idx val="4"/>
            <c:invertIfNegative val="0"/>
            <c:bubble3D val="0"/>
          </c:dPt>
          <c:dPt>
            <c:idx val="5"/>
            <c:invertIfNegative val="0"/>
            <c:bubble3D val="0"/>
          </c:dPt>
          <c:dPt>
            <c:idx val="7"/>
            <c:invertIfNegative val="0"/>
            <c:bubble3D val="0"/>
          </c:dPt>
          <c:dLbls>
            <c:numFmt formatCode="0.0%;;;" sourceLinked="0"/>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'Comparison data'!$J$169:$J$176</c:f>
              <c:strCache>
                <c:ptCount val="8"/>
                <c:pt idx="0">
                  <c:v>Hywel Dda</c:v>
                </c:pt>
                <c:pt idx="1">
                  <c:v>Cardiff &amp; Vale</c:v>
                </c:pt>
                <c:pt idx="2">
                  <c:v>Wales</c:v>
                </c:pt>
                <c:pt idx="3">
                  <c:v>Aneurin Bevan</c:v>
                </c:pt>
                <c:pt idx="4">
                  <c:v>Powys</c:v>
                </c:pt>
                <c:pt idx="5">
                  <c:v>Cwm Taf</c:v>
                </c:pt>
                <c:pt idx="6">
                  <c:v>ABM</c:v>
                </c:pt>
                <c:pt idx="7">
                  <c:v>Betsi Cadwaladr</c:v>
                </c:pt>
              </c:strCache>
            </c:strRef>
          </c:cat>
          <c:val>
            <c:numRef>
              <c:f>'Comparison data'!$K$169:$K$176</c:f>
              <c:numCache>
                <c:formatCode>0.0%</c:formatCode>
                <c:ptCount val="8"/>
                <c:pt idx="0">
                  <c:v>0.43025362318840582</c:v>
                </c:pt>
                <c:pt idx="1">
                  <c:v>0.5907590759075908</c:v>
                </c:pt>
                <c:pt idx="2">
                  <c:v>0.69521308826499695</c:v>
                </c:pt>
                <c:pt idx="3">
                  <c:v>0.7</c:v>
                </c:pt>
                <c:pt idx="4">
                  <c:v>0.75203252032520329</c:v>
                </c:pt>
                <c:pt idx="5">
                  <c:v>0.76771653543307083</c:v>
                </c:pt>
                <c:pt idx="6">
                  <c:v>0.82602739726027397</c:v>
                </c:pt>
                <c:pt idx="7">
                  <c:v>0.86470588235294121</c:v>
                </c:pt>
              </c:numCache>
            </c:numRef>
          </c:val>
        </c:ser>
        <c:ser>
          <c:idx val="1"/>
          <c:order val="1"/>
          <c:tx>
            <c:strRef>
              <c:f>'Comparison data'!$L$168</c:f>
              <c:strCache>
                <c:ptCount val="1"/>
                <c:pt idx="0">
                  <c:v>&gt;8 &amp; ≤14 weeks</c:v>
                </c:pt>
              </c:strCache>
            </c:strRef>
          </c:tx>
          <c:spPr>
            <a:solidFill>
              <a:schemeClr val="tx2">
                <a:lumMod val="60000"/>
                <a:lumOff val="40000"/>
              </a:schemeClr>
            </a:solidFill>
          </c:spPr>
          <c:invertIfNegative val="0"/>
          <c:dLbls>
            <c:numFmt formatCode="0.0%;;;" sourceLinked="0"/>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'Comparison data'!$J$169:$J$176</c:f>
              <c:strCache>
                <c:ptCount val="8"/>
                <c:pt idx="0">
                  <c:v>Hywel Dda</c:v>
                </c:pt>
                <c:pt idx="1">
                  <c:v>Cardiff &amp; Vale</c:v>
                </c:pt>
                <c:pt idx="2">
                  <c:v>Wales</c:v>
                </c:pt>
                <c:pt idx="3">
                  <c:v>Aneurin Bevan</c:v>
                </c:pt>
                <c:pt idx="4">
                  <c:v>Powys</c:v>
                </c:pt>
                <c:pt idx="5">
                  <c:v>Cwm Taf</c:v>
                </c:pt>
                <c:pt idx="6">
                  <c:v>ABM</c:v>
                </c:pt>
                <c:pt idx="7">
                  <c:v>Betsi Cadwaladr</c:v>
                </c:pt>
              </c:strCache>
            </c:strRef>
          </c:cat>
          <c:val>
            <c:numRef>
              <c:f>'Comparison data'!$L$169:$L$176</c:f>
              <c:numCache>
                <c:formatCode>0.0%</c:formatCode>
                <c:ptCount val="8"/>
                <c:pt idx="0">
                  <c:v>0.23369565217391305</c:v>
                </c:pt>
                <c:pt idx="1">
                  <c:v>0.36963696369636961</c:v>
                </c:pt>
                <c:pt idx="2">
                  <c:v>0.2260149464754595</c:v>
                </c:pt>
                <c:pt idx="3">
                  <c:v>0.3</c:v>
                </c:pt>
                <c:pt idx="4">
                  <c:v>0.21951219512195122</c:v>
                </c:pt>
                <c:pt idx="5">
                  <c:v>0.23228346456692914</c:v>
                </c:pt>
                <c:pt idx="6">
                  <c:v>0.17397260273972603</c:v>
                </c:pt>
                <c:pt idx="7">
                  <c:v>0.13529411764705881</c:v>
                </c:pt>
              </c:numCache>
            </c:numRef>
          </c:val>
        </c:ser>
        <c:ser>
          <c:idx val="2"/>
          <c:order val="2"/>
          <c:tx>
            <c:strRef>
              <c:f>'Comparison data'!$M$168</c:f>
              <c:strCache>
                <c:ptCount val="1"/>
                <c:pt idx="0">
                  <c:v>&gt;14 &amp; ≤24 weeks</c:v>
                </c:pt>
              </c:strCache>
            </c:strRef>
          </c:tx>
          <c:spPr>
            <a:solidFill>
              <a:schemeClr val="tx2">
                <a:lumMod val="40000"/>
                <a:lumOff val="60000"/>
              </a:schemeClr>
            </a:solidFill>
          </c:spPr>
          <c:invertIfNegative val="0"/>
          <c:dLbls>
            <c:numFmt formatCode="0.0%;;;" sourceLinked="0"/>
            <c:txPr>
              <a:bodyPr/>
              <a:lstStyle/>
              <a:p>
                <a:pPr>
                  <a:defRPr sz="900">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'Comparison data'!$J$169:$J$176</c:f>
              <c:strCache>
                <c:ptCount val="8"/>
                <c:pt idx="0">
                  <c:v>Hywel Dda</c:v>
                </c:pt>
                <c:pt idx="1">
                  <c:v>Cardiff &amp; Vale</c:v>
                </c:pt>
                <c:pt idx="2">
                  <c:v>Wales</c:v>
                </c:pt>
                <c:pt idx="3">
                  <c:v>Aneurin Bevan</c:v>
                </c:pt>
                <c:pt idx="4">
                  <c:v>Powys</c:v>
                </c:pt>
                <c:pt idx="5">
                  <c:v>Cwm Taf</c:v>
                </c:pt>
                <c:pt idx="6">
                  <c:v>ABM</c:v>
                </c:pt>
                <c:pt idx="7">
                  <c:v>Betsi Cadwaladr</c:v>
                </c:pt>
              </c:strCache>
            </c:strRef>
          </c:cat>
          <c:val>
            <c:numRef>
              <c:f>'Comparison data'!$M$169:$M$176</c:f>
              <c:numCache>
                <c:formatCode>0.0%</c:formatCode>
                <c:ptCount val="8"/>
                <c:pt idx="0">
                  <c:v>0.23278985507246377</c:v>
                </c:pt>
                <c:pt idx="1">
                  <c:v>3.9603960396039604E-2</c:v>
                </c:pt>
                <c:pt idx="2">
                  <c:v>5.5746313875984652E-2</c:v>
                </c:pt>
                <c:pt idx="3">
                  <c:v>0</c:v>
                </c:pt>
                <c:pt idx="4">
                  <c:v>2.8455284552845527E-2</c:v>
                </c:pt>
                <c:pt idx="5">
                  <c:v>0</c:v>
                </c:pt>
                <c:pt idx="6">
                  <c:v>0</c:v>
                </c:pt>
                <c:pt idx="7">
                  <c:v>0</c:v>
                </c:pt>
              </c:numCache>
            </c:numRef>
          </c:val>
        </c:ser>
        <c:ser>
          <c:idx val="3"/>
          <c:order val="3"/>
          <c:tx>
            <c:strRef>
              <c:f>'Comparison data'!$N$168</c:f>
              <c:strCache>
                <c:ptCount val="1"/>
                <c:pt idx="0">
                  <c:v>&gt;24 weeks</c:v>
                </c:pt>
              </c:strCache>
            </c:strRef>
          </c:tx>
          <c:spPr>
            <a:solidFill>
              <a:schemeClr val="tx2">
                <a:lumMod val="20000"/>
                <a:lumOff val="80000"/>
              </a:schemeClr>
            </a:solidFill>
          </c:spPr>
          <c:invertIfNegative val="0"/>
          <c:dLbls>
            <c:dLbl>
              <c:idx val="2"/>
              <c:layout>
                <c:manualLayout>
                  <c:x val="0"/>
                  <c:y val="-1.3888888888888888E-2"/>
                </c:manualLayout>
              </c:layout>
              <c:showLegendKey val="0"/>
              <c:showVal val="1"/>
              <c:showCatName val="0"/>
              <c:showSerName val="0"/>
              <c:showPercent val="0"/>
              <c:showBubbleSize val="0"/>
            </c:dLbl>
            <c:dLbl>
              <c:idx val="3"/>
              <c:layout>
                <c:manualLayout>
                  <c:x val="0"/>
                  <c:y val="-4.1666666666666664E-2"/>
                </c:manualLayout>
              </c:layout>
              <c:showLegendKey val="0"/>
              <c:showVal val="1"/>
              <c:showCatName val="0"/>
              <c:showSerName val="0"/>
              <c:showPercent val="0"/>
              <c:showBubbleSize val="0"/>
            </c:dLbl>
            <c:numFmt formatCode="0.0%;;;" sourceLinked="0"/>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'Comparison data'!$J$169:$J$176</c:f>
              <c:strCache>
                <c:ptCount val="8"/>
                <c:pt idx="0">
                  <c:v>Hywel Dda</c:v>
                </c:pt>
                <c:pt idx="1">
                  <c:v>Cardiff &amp; Vale</c:v>
                </c:pt>
                <c:pt idx="2">
                  <c:v>Wales</c:v>
                </c:pt>
                <c:pt idx="3">
                  <c:v>Aneurin Bevan</c:v>
                </c:pt>
                <c:pt idx="4">
                  <c:v>Powys</c:v>
                </c:pt>
                <c:pt idx="5">
                  <c:v>Cwm Taf</c:v>
                </c:pt>
                <c:pt idx="6">
                  <c:v>ABM</c:v>
                </c:pt>
                <c:pt idx="7">
                  <c:v>Betsi Cadwaladr</c:v>
                </c:pt>
              </c:strCache>
            </c:strRef>
          </c:cat>
          <c:val>
            <c:numRef>
              <c:f>'Comparison data'!$N$169:$N$176</c:f>
              <c:numCache>
                <c:formatCode>0.0%</c:formatCode>
                <c:ptCount val="8"/>
                <c:pt idx="0">
                  <c:v>0.10326086956521739</c:v>
                </c:pt>
                <c:pt idx="1">
                  <c:v>0</c:v>
                </c:pt>
                <c:pt idx="2">
                  <c:v>2.3025651383558877E-2</c:v>
                </c:pt>
                <c:pt idx="3">
                  <c:v>0</c:v>
                </c:pt>
                <c:pt idx="4">
                  <c:v>0</c:v>
                </c:pt>
                <c:pt idx="5">
                  <c:v>0</c:v>
                </c:pt>
                <c:pt idx="6">
                  <c:v>0</c:v>
                </c:pt>
                <c:pt idx="7">
                  <c:v>0</c:v>
                </c:pt>
              </c:numCache>
            </c:numRef>
          </c:val>
        </c:ser>
        <c:dLbls>
          <c:showLegendKey val="0"/>
          <c:showVal val="0"/>
          <c:showCatName val="0"/>
          <c:showSerName val="0"/>
          <c:showPercent val="0"/>
          <c:showBubbleSize val="0"/>
        </c:dLbls>
        <c:gapWidth val="100"/>
        <c:overlap val="100"/>
        <c:axId val="256218624"/>
        <c:axId val="256220160"/>
      </c:barChart>
      <c:catAx>
        <c:axId val="25621862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220160"/>
        <c:crosses val="autoZero"/>
        <c:auto val="1"/>
        <c:lblAlgn val="ctr"/>
        <c:lblOffset val="100"/>
        <c:noMultiLvlLbl val="0"/>
      </c:catAx>
      <c:valAx>
        <c:axId val="256220160"/>
        <c:scaling>
          <c:orientation val="minMax"/>
          <c:max val="1"/>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218624"/>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'Comparison data'!$K$183</c:f>
          <c:strCache>
            <c:ptCount val="1"/>
            <c:pt idx="0">
              <c:v>Chart 15k: Percentage of patients waiting for ophthalmology at 31 March 2017 by weeks waiting</c:v>
            </c:pt>
          </c:strCache>
        </c:strRef>
      </c:tx>
      <c:layout>
        <c:manualLayout>
          <c:xMode val="edge"/>
          <c:yMode val="edge"/>
          <c:x val="0.11549465843858747"/>
          <c:y val="1.3888888888888888E-2"/>
        </c:manualLayout>
      </c:layout>
      <c:overlay val="0"/>
      <c:txPr>
        <a:bodyPr/>
        <a:lstStyle/>
        <a:p>
          <a:pPr>
            <a:defRPr sz="960">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6.9612520215565105E-2"/>
          <c:y val="0.16222222222222221"/>
          <c:w val="0.90955683664093723"/>
          <c:h val="0.65108741615631383"/>
        </c:manualLayout>
      </c:layout>
      <c:barChart>
        <c:barDir val="col"/>
        <c:grouping val="stacked"/>
        <c:varyColors val="0"/>
        <c:ser>
          <c:idx val="0"/>
          <c:order val="0"/>
          <c:tx>
            <c:strRef>
              <c:f>'Comparison data'!$K$184</c:f>
              <c:strCache>
                <c:ptCount val="1"/>
                <c:pt idx="0">
                  <c:v>Up to 26 weeks </c:v>
                </c:pt>
              </c:strCache>
            </c:strRef>
          </c:tx>
          <c:spPr>
            <a:solidFill>
              <a:srgbClr val="002060"/>
            </a:solidFill>
          </c:spPr>
          <c:invertIfNegative val="0"/>
          <c:dPt>
            <c:idx val="3"/>
            <c:invertIfNegative val="0"/>
            <c:bubble3D val="0"/>
          </c:dPt>
          <c:dPt>
            <c:idx val="4"/>
            <c:invertIfNegative val="0"/>
            <c:bubble3D val="0"/>
          </c:dPt>
          <c:dPt>
            <c:idx val="5"/>
            <c:invertIfNegative val="0"/>
            <c:bubble3D val="0"/>
          </c:dPt>
          <c:dPt>
            <c:idx val="7"/>
            <c:invertIfNegative val="0"/>
            <c:bubble3D val="0"/>
          </c:dPt>
          <c:dLbls>
            <c:numFmt formatCode="0.0%;;;" sourceLinked="0"/>
            <c:txPr>
              <a:bodyPr/>
              <a:lstStyle/>
              <a:p>
                <a:pPr>
                  <a:defRPr sz="900">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'Comparison data'!$J$185:$J$192</c:f>
              <c:strCache>
                <c:ptCount val="8"/>
                <c:pt idx="0">
                  <c:v>Cardiff &amp; Vale</c:v>
                </c:pt>
                <c:pt idx="1">
                  <c:v>Hywel Dda</c:v>
                </c:pt>
                <c:pt idx="2">
                  <c:v>Wales</c:v>
                </c:pt>
                <c:pt idx="3">
                  <c:v>Betsi Cadwaladr</c:v>
                </c:pt>
                <c:pt idx="4">
                  <c:v>Aneurin Bevan</c:v>
                </c:pt>
                <c:pt idx="5">
                  <c:v>ABM</c:v>
                </c:pt>
                <c:pt idx="6">
                  <c:v>Cwm Taf</c:v>
                </c:pt>
                <c:pt idx="7">
                  <c:v>Powys</c:v>
                </c:pt>
              </c:strCache>
            </c:strRef>
          </c:cat>
          <c:val>
            <c:numRef>
              <c:f>'Comparison data'!$K$185:$K$192</c:f>
              <c:numCache>
                <c:formatCode>0.0%</c:formatCode>
                <c:ptCount val="8"/>
                <c:pt idx="0">
                  <c:v>0.79867128827267475</c:v>
                </c:pt>
                <c:pt idx="1">
                  <c:v>0.82428687856560712</c:v>
                </c:pt>
                <c:pt idx="2">
                  <c:v>0.8526681024168461</c:v>
                </c:pt>
                <c:pt idx="3">
                  <c:v>0.85419637959407568</c:v>
                </c:pt>
                <c:pt idx="4">
                  <c:v>0.86875741204374757</c:v>
                </c:pt>
                <c:pt idx="5">
                  <c:v>0.87545150501672242</c:v>
                </c:pt>
                <c:pt idx="6">
                  <c:v>0.89103378206756412</c:v>
                </c:pt>
                <c:pt idx="7">
                  <c:v>1</c:v>
                </c:pt>
              </c:numCache>
            </c:numRef>
          </c:val>
        </c:ser>
        <c:ser>
          <c:idx val="1"/>
          <c:order val="1"/>
          <c:tx>
            <c:strRef>
              <c:f>'Comparison data'!$L$184</c:f>
              <c:strCache>
                <c:ptCount val="1"/>
                <c:pt idx="0">
                  <c:v>26 to 36 weeks </c:v>
                </c:pt>
              </c:strCache>
            </c:strRef>
          </c:tx>
          <c:spPr>
            <a:solidFill>
              <a:schemeClr val="tx2">
                <a:lumMod val="60000"/>
                <a:lumOff val="40000"/>
              </a:schemeClr>
            </a:solidFill>
          </c:spPr>
          <c:invertIfNegative val="0"/>
          <c:dLbls>
            <c:numFmt formatCode="0.0%;;;" sourceLinked="0"/>
            <c:txPr>
              <a:bodyPr/>
              <a:lstStyle/>
              <a:p>
                <a:pPr>
                  <a:defRPr sz="9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Ref>
              <c:f>'Comparison data'!$J$185:$J$192</c:f>
              <c:strCache>
                <c:ptCount val="8"/>
                <c:pt idx="0">
                  <c:v>Cardiff &amp; Vale</c:v>
                </c:pt>
                <c:pt idx="1">
                  <c:v>Hywel Dda</c:v>
                </c:pt>
                <c:pt idx="2">
                  <c:v>Wales</c:v>
                </c:pt>
                <c:pt idx="3">
                  <c:v>Betsi Cadwaladr</c:v>
                </c:pt>
                <c:pt idx="4">
                  <c:v>Aneurin Bevan</c:v>
                </c:pt>
                <c:pt idx="5">
                  <c:v>ABM</c:v>
                </c:pt>
                <c:pt idx="6">
                  <c:v>Cwm Taf</c:v>
                </c:pt>
                <c:pt idx="7">
                  <c:v>Powys</c:v>
                </c:pt>
              </c:strCache>
            </c:strRef>
          </c:cat>
          <c:val>
            <c:numRef>
              <c:f>'Comparison data'!$L$185:$L$192</c:f>
              <c:numCache>
                <c:formatCode>0.0%</c:formatCode>
                <c:ptCount val="8"/>
                <c:pt idx="0">
                  <c:v>0.18457538994800693</c:v>
                </c:pt>
                <c:pt idx="1">
                  <c:v>0.10757946210268948</c:v>
                </c:pt>
                <c:pt idx="2">
                  <c:v>0.12924144532184734</c:v>
                </c:pt>
                <c:pt idx="3">
                  <c:v>0.13417443773998902</c:v>
                </c:pt>
                <c:pt idx="4">
                  <c:v>0.12425879562524707</c:v>
                </c:pt>
                <c:pt idx="5">
                  <c:v>0.11612040133779264</c:v>
                </c:pt>
                <c:pt idx="6">
                  <c:v>0.10896621793243587</c:v>
                </c:pt>
                <c:pt idx="7">
                  <c:v>0</c:v>
                </c:pt>
              </c:numCache>
            </c:numRef>
          </c:val>
        </c:ser>
        <c:ser>
          <c:idx val="2"/>
          <c:order val="2"/>
          <c:tx>
            <c:strRef>
              <c:f>'Comparison data'!$M$184</c:f>
              <c:strCache>
                <c:ptCount val="1"/>
                <c:pt idx="0">
                  <c:v>Over 36 weeks </c:v>
                </c:pt>
              </c:strCache>
            </c:strRef>
          </c:tx>
          <c:spPr>
            <a:solidFill>
              <a:schemeClr val="tx2">
                <a:lumMod val="20000"/>
                <a:lumOff val="80000"/>
              </a:schemeClr>
            </a:solidFill>
          </c:spPr>
          <c:invertIfNegative val="0"/>
          <c:dLbls>
            <c:dLbl>
              <c:idx val="0"/>
              <c:layout>
                <c:manualLayout>
                  <c:x val="0"/>
                  <c:y val="-1.3888888888888888E-2"/>
                </c:manualLayout>
              </c:layout>
              <c:dLblPos val="ctr"/>
              <c:showLegendKey val="0"/>
              <c:showVal val="1"/>
              <c:showCatName val="0"/>
              <c:showSerName val="0"/>
              <c:showPercent val="0"/>
              <c:showBubbleSize val="0"/>
            </c:dLbl>
            <c:dLbl>
              <c:idx val="2"/>
              <c:layout>
                <c:manualLayout>
                  <c:x val="0"/>
                  <c:y val="-1.3888888888888888E-2"/>
                </c:manualLayout>
              </c:layout>
              <c:dLblPos val="ctr"/>
              <c:showLegendKey val="0"/>
              <c:showVal val="1"/>
              <c:showCatName val="0"/>
              <c:showSerName val="0"/>
              <c:showPercent val="0"/>
              <c:showBubbleSize val="0"/>
            </c:dLbl>
            <c:dLbl>
              <c:idx val="3"/>
              <c:layout>
                <c:manualLayout>
                  <c:x val="0"/>
                  <c:y val="-1.3888888888888888E-2"/>
                </c:manualLayout>
              </c:layout>
              <c:dLblPos val="ctr"/>
              <c:showLegendKey val="0"/>
              <c:showVal val="1"/>
              <c:showCatName val="0"/>
              <c:showSerName val="0"/>
              <c:showPercent val="0"/>
              <c:showBubbleSize val="0"/>
            </c:dLbl>
            <c:dLbl>
              <c:idx val="4"/>
              <c:layout>
                <c:manualLayout>
                  <c:x val="6.9434675029701079E-17"/>
                  <c:y val="-1.8518518518518517E-2"/>
                </c:manualLayout>
              </c:layout>
              <c:dLblPos val="ctr"/>
              <c:showLegendKey val="0"/>
              <c:showVal val="1"/>
              <c:showCatName val="0"/>
              <c:showSerName val="0"/>
              <c:showPercent val="0"/>
              <c:showBubbleSize val="0"/>
            </c:dLbl>
            <c:dLbl>
              <c:idx val="5"/>
              <c:layout>
                <c:manualLayout>
                  <c:x val="0"/>
                  <c:y val="-1.8518518518518517E-2"/>
                </c:manualLayout>
              </c:layout>
              <c:dLblPos val="ctr"/>
              <c:showLegendKey val="0"/>
              <c:showVal val="1"/>
              <c:showCatName val="0"/>
              <c:showSerName val="0"/>
              <c:showPercent val="0"/>
              <c:showBubbleSize val="0"/>
            </c:dLbl>
            <c:numFmt formatCode="0.0%;;;" sourceLinked="0"/>
            <c:txPr>
              <a:bodyPr/>
              <a:lstStyle/>
              <a:p>
                <a:pPr>
                  <a:defRPr sz="900">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dLbls>
          <c:cat>
            <c:strRef>
              <c:f>'Comparison data'!$J$185:$J$192</c:f>
              <c:strCache>
                <c:ptCount val="8"/>
                <c:pt idx="0">
                  <c:v>Cardiff &amp; Vale</c:v>
                </c:pt>
                <c:pt idx="1">
                  <c:v>Hywel Dda</c:v>
                </c:pt>
                <c:pt idx="2">
                  <c:v>Wales</c:v>
                </c:pt>
                <c:pt idx="3">
                  <c:v>Betsi Cadwaladr</c:v>
                </c:pt>
                <c:pt idx="4">
                  <c:v>Aneurin Bevan</c:v>
                </c:pt>
                <c:pt idx="5">
                  <c:v>ABM</c:v>
                </c:pt>
                <c:pt idx="6">
                  <c:v>Cwm Taf</c:v>
                </c:pt>
                <c:pt idx="7">
                  <c:v>Powys</c:v>
                </c:pt>
              </c:strCache>
            </c:strRef>
          </c:cat>
          <c:val>
            <c:numRef>
              <c:f>'Comparison data'!$M$185:$M$192</c:f>
              <c:numCache>
                <c:formatCode>0.0%</c:formatCode>
                <c:ptCount val="8"/>
                <c:pt idx="0">
                  <c:v>1.6753321779318313E-2</c:v>
                </c:pt>
                <c:pt idx="1">
                  <c:v>6.8133659331703345E-2</c:v>
                </c:pt>
                <c:pt idx="2">
                  <c:v>1.8090452261306532E-2</c:v>
                </c:pt>
                <c:pt idx="3">
                  <c:v>1.1629182665935272E-2</c:v>
                </c:pt>
                <c:pt idx="4">
                  <c:v>6.9837923310054027E-3</c:v>
                </c:pt>
                <c:pt idx="5">
                  <c:v>8.4280936454849496E-3</c:v>
                </c:pt>
                <c:pt idx="6">
                  <c:v>0</c:v>
                </c:pt>
                <c:pt idx="7">
                  <c:v>0</c:v>
                </c:pt>
              </c:numCache>
            </c:numRef>
          </c:val>
        </c:ser>
        <c:dLbls>
          <c:showLegendKey val="0"/>
          <c:showVal val="0"/>
          <c:showCatName val="0"/>
          <c:showSerName val="0"/>
          <c:showPercent val="0"/>
          <c:showBubbleSize val="0"/>
        </c:dLbls>
        <c:gapWidth val="100"/>
        <c:overlap val="100"/>
        <c:axId val="256280448"/>
        <c:axId val="256281984"/>
      </c:barChart>
      <c:catAx>
        <c:axId val="25628044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281984"/>
        <c:crosses val="autoZero"/>
        <c:auto val="1"/>
        <c:lblAlgn val="ctr"/>
        <c:lblOffset val="100"/>
        <c:noMultiLvlLbl val="0"/>
      </c:catAx>
      <c:valAx>
        <c:axId val="256281984"/>
        <c:scaling>
          <c:orientation val="minMax"/>
          <c:max val="1"/>
          <c:min val="0"/>
        </c:scaling>
        <c:delete val="0"/>
        <c:axPos val="l"/>
        <c:majorGridlines/>
        <c:numFmt formatCode="0.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56280448"/>
        <c:crosses val="autoZero"/>
        <c:crossBetween val="between"/>
      </c:valAx>
    </c:plotArea>
    <c:legend>
      <c:legendPos val="b"/>
      <c:layout>
        <c:manualLayout>
          <c:xMode val="edge"/>
          <c:yMode val="edge"/>
          <c:x val="0.25318998113164221"/>
          <c:y val="0.9261595946340041"/>
          <c:w val="0.49362003773671553"/>
          <c:h val="7.3840405365995912E-2"/>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scene3d>
      <a:camera prst="orthographicFront"/>
      <a:lightRig rig="threePt" dir="t"/>
    </a:scene3d>
    <a:sp3d/>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latin typeface="Arial" panose="020B0604020202020204" pitchFamily="34" charset="0"/>
              <a:cs typeface="Arial" panose="020B0604020202020204" pitchFamily="34" charset="0"/>
            </a:defRPr>
          </a:pPr>
          <a:endParaRPr lang="en-US"/>
        </a:p>
      </c:txPr>
    </c:title>
    <c:autoTitleDeleted val="0"/>
    <c:plotArea>
      <c:layout/>
      <c:lineChart>
        <c:grouping val="standard"/>
        <c:varyColors val="0"/>
        <c:ser>
          <c:idx val="0"/>
          <c:order val="0"/>
          <c:tx>
            <c:strRef>
              <c:f>'Button control data'!$D$30</c:f>
              <c:strCache>
                <c:ptCount val="1"/>
                <c:pt idx="0">
                  <c:v>Chart 4a: Vouchers reimbursed per 1,000 Welsh residents (all ages)</c:v>
                </c:pt>
              </c:strCache>
            </c:strRef>
          </c:tx>
          <c:spPr>
            <a:ln>
              <a:solidFill>
                <a:srgbClr val="000066"/>
              </a:solidFill>
            </a:ln>
          </c:spPr>
          <c:marker>
            <c:symbol val="none"/>
          </c:marker>
          <c:dLbls>
            <c:dLbl>
              <c:idx val="2"/>
              <c:layout>
                <c:manualLayout>
                  <c:x val="-4.690570957540361E-2"/>
                  <c:y val="5.1982336764620357E-2"/>
                </c:manualLayout>
              </c:layout>
              <c:dLblPos val="r"/>
              <c:showLegendKey val="0"/>
              <c:showVal val="1"/>
              <c:showCatName val="0"/>
              <c:showSerName val="0"/>
              <c:showPercent val="0"/>
              <c:showBubbleSize val="0"/>
            </c:dLbl>
            <c:dLbl>
              <c:idx val="3"/>
              <c:layout>
                <c:manualLayout>
                  <c:x val="-6.5399002184019339E-2"/>
                  <c:y val="4.5387702200842449E-2"/>
                </c:manualLayout>
              </c:layout>
              <c:dLblPos val="r"/>
              <c:showLegendKey val="0"/>
              <c:showVal val="1"/>
              <c:showCatName val="0"/>
              <c:showSerName val="0"/>
              <c:showPercent val="0"/>
              <c:showBubbleSize val="0"/>
            </c:dLbl>
            <c:numFmt formatCode="#,##0" sourceLinked="0"/>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dLbls>
          <c:cat>
            <c:strRef>
              <c:f>'Button control data'!$G$23:$I$23</c:f>
              <c:strCache>
                <c:ptCount val="3"/>
                <c:pt idx="0">
                  <c:v>2014-15</c:v>
                </c:pt>
                <c:pt idx="1">
                  <c:v>2015-16</c:v>
                </c:pt>
                <c:pt idx="2">
                  <c:v>2016-17</c:v>
                </c:pt>
              </c:strCache>
            </c:strRef>
          </c:cat>
          <c:val>
            <c:numRef>
              <c:f>'Button control data'!$G$30:$I$30</c:f>
              <c:numCache>
                <c:formatCode>0</c:formatCode>
                <c:ptCount val="3"/>
                <c:pt idx="0">
                  <c:v>95.919646472421405</c:v>
                </c:pt>
                <c:pt idx="1">
                  <c:v>94.149049106736626</c:v>
                </c:pt>
                <c:pt idx="2">
                  <c:v>93.419479162566006</c:v>
                </c:pt>
              </c:numCache>
            </c:numRef>
          </c:val>
          <c:smooth val="0"/>
        </c:ser>
        <c:dLbls>
          <c:dLblPos val="b"/>
          <c:showLegendKey val="0"/>
          <c:showVal val="1"/>
          <c:showCatName val="0"/>
          <c:showSerName val="0"/>
          <c:showPercent val="0"/>
          <c:showBubbleSize val="0"/>
        </c:dLbls>
        <c:marker val="1"/>
        <c:smooth val="0"/>
        <c:axId val="221584000"/>
        <c:axId val="221619712"/>
      </c:lineChart>
      <c:catAx>
        <c:axId val="22158400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1619712"/>
        <c:crosses val="autoZero"/>
        <c:auto val="1"/>
        <c:lblAlgn val="ctr"/>
        <c:lblOffset val="100"/>
        <c:noMultiLvlLbl val="0"/>
      </c:catAx>
      <c:valAx>
        <c:axId val="221619712"/>
        <c:scaling>
          <c:orientation val="minMax"/>
          <c:min val="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1584000"/>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185651502423121E-2"/>
          <c:y val="4.640939892156682E-2"/>
          <c:w val="0.53888888888888886"/>
          <c:h val="0.89814814814814814"/>
        </c:manualLayout>
      </c:layout>
      <c:pieChart>
        <c:varyColors val="1"/>
        <c:ser>
          <c:idx val="0"/>
          <c:order val="0"/>
          <c:spPr>
            <a:ln>
              <a:noFill/>
            </a:ln>
          </c:spPr>
          <c:dPt>
            <c:idx val="0"/>
            <c:bubble3D val="0"/>
            <c:spPr>
              <a:solidFill>
                <a:srgbClr val="032163"/>
              </a:solidFill>
              <a:ln>
                <a:noFill/>
              </a:ln>
            </c:spPr>
          </c:dPt>
          <c:dPt>
            <c:idx val="1"/>
            <c:bubble3D val="0"/>
            <c:spPr>
              <a:solidFill>
                <a:schemeClr val="tx2">
                  <a:lumMod val="40000"/>
                  <a:lumOff val="60000"/>
                </a:schemeClr>
              </a:solidFill>
              <a:ln>
                <a:noFill/>
              </a:ln>
            </c:spPr>
          </c:dPt>
          <c:dLbls>
            <c:txPr>
              <a:bodyPr/>
              <a:lstStyle/>
              <a:p>
                <a:pPr>
                  <a:defRPr>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1"/>
          </c:dLbls>
          <c:cat>
            <c:strRef>
              <c:f>'Lookup data'!$E$34:$E$35</c:f>
              <c:strCache>
                <c:ptCount val="2"/>
                <c:pt idx="0">
                  <c:v>Percentage of optometry practices that were accredited</c:v>
                </c:pt>
                <c:pt idx="1">
                  <c:v>Percentage of optometry practices that were not accredited</c:v>
                </c:pt>
              </c:strCache>
            </c:strRef>
          </c:cat>
          <c:val>
            <c:numRef>
              <c:f>'Lookup data'!$D$34:$D$35</c:f>
              <c:numCache>
                <c:formatCode>0%</c:formatCode>
                <c:ptCount val="2"/>
                <c:pt idx="0">
                  <c:v>0.92602739726027394</c:v>
                </c:pt>
                <c:pt idx="1">
                  <c:v>7.3972602739726057E-2</c:v>
                </c:pt>
              </c:numCache>
            </c:numRef>
          </c:val>
        </c:ser>
        <c:dLbls>
          <c:dLblPos val="ctr"/>
          <c:showLegendKey val="0"/>
          <c:showVal val="1"/>
          <c:showCatName val="0"/>
          <c:showSerName val="0"/>
          <c:showPercent val="0"/>
          <c:showBubbleSize val="0"/>
          <c:showLeaderLines val="1"/>
        </c:dLbls>
        <c:firstSliceAng val="0"/>
      </c:pieChart>
    </c:plotArea>
    <c:legend>
      <c:legendPos val="r"/>
      <c:layout>
        <c:manualLayout>
          <c:xMode val="edge"/>
          <c:yMode val="edge"/>
          <c:x val="0.61215902339253458"/>
          <c:y val="0.17770450488958106"/>
          <c:w val="0.3416702907134434"/>
          <c:h val="0.5743620759327005"/>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55555555555557"/>
          <c:y val="6.0185185185185182E-2"/>
          <c:w val="0.53888888888888886"/>
          <c:h val="0.89814814814814814"/>
        </c:manualLayout>
      </c:layout>
      <c:pieChart>
        <c:varyColors val="1"/>
        <c:ser>
          <c:idx val="0"/>
          <c:order val="0"/>
          <c:spPr>
            <a:ln>
              <a:noFill/>
            </a:ln>
          </c:spPr>
          <c:dPt>
            <c:idx val="0"/>
            <c:bubble3D val="0"/>
            <c:spPr>
              <a:solidFill>
                <a:srgbClr val="032163"/>
              </a:solidFill>
              <a:ln>
                <a:noFill/>
              </a:ln>
            </c:spPr>
          </c:dPt>
          <c:dPt>
            <c:idx val="1"/>
            <c:bubble3D val="0"/>
            <c:spPr>
              <a:solidFill>
                <a:schemeClr val="tx2">
                  <a:lumMod val="40000"/>
                  <a:lumOff val="60000"/>
                </a:schemeClr>
              </a:solidFill>
              <a:ln>
                <a:noFill/>
              </a:ln>
            </c:spPr>
          </c:dPt>
          <c:dLbls>
            <c:txPr>
              <a:bodyPr/>
              <a:lstStyle/>
              <a:p>
                <a:pPr>
                  <a:defRPr>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1"/>
          </c:dLbls>
          <c:cat>
            <c:strRef>
              <c:f>'Lookup data'!$E$36:$E$37</c:f>
              <c:strCache>
                <c:ptCount val="2"/>
                <c:pt idx="0">
                  <c:v>Percentage of optometry practices that were accredited</c:v>
                </c:pt>
                <c:pt idx="1">
                  <c:v>Percentage of optometry practices that were not accredited</c:v>
                </c:pt>
              </c:strCache>
            </c:strRef>
          </c:cat>
          <c:val>
            <c:numRef>
              <c:f>'Lookup data'!$D$36:$D$37</c:f>
              <c:numCache>
                <c:formatCode>0%</c:formatCode>
                <c:ptCount val="2"/>
                <c:pt idx="0">
                  <c:v>0.57534246575342463</c:v>
                </c:pt>
                <c:pt idx="1">
                  <c:v>0.42465753424657537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n-GB" sz="960" b="1">
                <a:effectLst/>
                <a:latin typeface="Arial" panose="020B0604020202020204" pitchFamily="34" charset="0"/>
                <a:cs typeface="Arial" panose="020B0604020202020204" pitchFamily="34" charset="0"/>
              </a:rPr>
              <a:t>Chart 6: N</a:t>
            </a:r>
            <a:r>
              <a:rPr lang="en-GB" sz="960" b="1" baseline="0">
                <a:effectLst/>
                <a:latin typeface="Arial" panose="020B0604020202020204" pitchFamily="34" charset="0"/>
                <a:cs typeface="Arial" panose="020B0604020202020204" pitchFamily="34" charset="0"/>
              </a:rPr>
              <a:t>umber of GP and total referrals for first outpatient appointment for ophthalmology</a:t>
            </a:r>
            <a:r>
              <a:rPr lang="en-GB" sz="960" b="1">
                <a:effectLst/>
                <a:latin typeface="Arial" panose="020B0604020202020204" pitchFamily="34" charset="0"/>
                <a:cs typeface="Arial" panose="020B0604020202020204" pitchFamily="34" charset="0"/>
              </a:rPr>
              <a:t>*</a:t>
            </a:r>
            <a:endParaRPr lang="en-GB" sz="960">
              <a:effectLst/>
              <a:latin typeface="Arial" panose="020B0604020202020204" pitchFamily="34" charset="0"/>
              <a:cs typeface="Arial" panose="020B0604020202020204" pitchFamily="34" charset="0"/>
            </a:endParaRPr>
          </a:p>
        </c:rich>
      </c:tx>
      <c:overlay val="0"/>
    </c:title>
    <c:autoTitleDeleted val="0"/>
    <c:plotArea>
      <c:layout>
        <c:manualLayout>
          <c:layoutTarget val="inner"/>
          <c:xMode val="edge"/>
          <c:yMode val="edge"/>
          <c:x val="0.12206955380577429"/>
          <c:y val="0.19576707125444318"/>
          <c:w val="0.58908121174125649"/>
          <c:h val="0.65008701828400162"/>
        </c:manualLayout>
      </c:layout>
      <c:lineChart>
        <c:grouping val="standard"/>
        <c:varyColors val="0"/>
        <c:ser>
          <c:idx val="0"/>
          <c:order val="0"/>
          <c:tx>
            <c:strRef>
              <c:f>'Lookup data'!$A$41</c:f>
              <c:strCache>
                <c:ptCount val="1"/>
                <c:pt idx="0">
                  <c:v>Number of total referrals (from all sources including optometry) to the hospital eye service</c:v>
                </c:pt>
              </c:strCache>
            </c:strRef>
          </c:tx>
          <c:spPr>
            <a:ln>
              <a:solidFill>
                <a:srgbClr val="000066"/>
              </a:solidFill>
            </a:ln>
          </c:spPr>
          <c:marker>
            <c:symbol val="none"/>
          </c:marker>
          <c:dLbls>
            <c:txPr>
              <a:bodyPr/>
              <a:lstStyle/>
              <a:p>
                <a:pPr>
                  <a:defRPr sz="900">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dLbls>
          <c:cat>
            <c:strRef>
              <c:f>'Lookup data'!$B$39:$E$39</c:f>
              <c:strCache>
                <c:ptCount val="4"/>
                <c:pt idx="0">
                  <c:v>2013-14</c:v>
                </c:pt>
                <c:pt idx="1">
                  <c:v>2014-15</c:v>
                </c:pt>
                <c:pt idx="2">
                  <c:v>2015-16</c:v>
                </c:pt>
                <c:pt idx="3">
                  <c:v>2016-17</c:v>
                </c:pt>
              </c:strCache>
            </c:strRef>
          </c:cat>
          <c:val>
            <c:numRef>
              <c:f>'Lookup data'!$B$41:$E$41</c:f>
              <c:numCache>
                <c:formatCode>#,##0</c:formatCode>
                <c:ptCount val="4"/>
                <c:pt idx="0">
                  <c:v>70948</c:v>
                </c:pt>
                <c:pt idx="1">
                  <c:v>81605</c:v>
                </c:pt>
                <c:pt idx="2">
                  <c:v>98283</c:v>
                </c:pt>
                <c:pt idx="3">
                  <c:v>91846</c:v>
                </c:pt>
              </c:numCache>
            </c:numRef>
          </c:val>
          <c:smooth val="0"/>
        </c:ser>
        <c:ser>
          <c:idx val="1"/>
          <c:order val="1"/>
          <c:tx>
            <c:strRef>
              <c:f>'Lookup data'!$A$42</c:f>
              <c:strCache>
                <c:ptCount val="1"/>
                <c:pt idx="0">
                  <c:v>Number of referrals from GPs to the hospital eye service</c:v>
                </c:pt>
              </c:strCache>
            </c:strRef>
          </c:tx>
          <c:spPr>
            <a:ln>
              <a:solidFill>
                <a:schemeClr val="accent1"/>
              </a:solidFill>
            </a:ln>
          </c:spPr>
          <c:marker>
            <c:symbol val="none"/>
          </c:marker>
          <c:dLbls>
            <c:txPr>
              <a:bodyPr/>
              <a:lstStyle/>
              <a:p>
                <a:pPr>
                  <a:defRPr sz="900">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dLbls>
          <c:cat>
            <c:strRef>
              <c:f>'Lookup data'!$B$39:$E$39</c:f>
              <c:strCache>
                <c:ptCount val="4"/>
                <c:pt idx="0">
                  <c:v>2013-14</c:v>
                </c:pt>
                <c:pt idx="1">
                  <c:v>2014-15</c:v>
                </c:pt>
                <c:pt idx="2">
                  <c:v>2015-16</c:v>
                </c:pt>
                <c:pt idx="3">
                  <c:v>2016-17</c:v>
                </c:pt>
              </c:strCache>
            </c:strRef>
          </c:cat>
          <c:val>
            <c:numRef>
              <c:f>'Lookup data'!$B$42:$E$42</c:f>
              <c:numCache>
                <c:formatCode>#,##0</c:formatCode>
                <c:ptCount val="4"/>
                <c:pt idx="0">
                  <c:v>49487</c:v>
                </c:pt>
                <c:pt idx="1">
                  <c:v>47168</c:v>
                </c:pt>
                <c:pt idx="2">
                  <c:v>39265</c:v>
                </c:pt>
                <c:pt idx="3">
                  <c:v>31824</c:v>
                </c:pt>
              </c:numCache>
            </c:numRef>
          </c:val>
          <c:smooth val="0"/>
        </c:ser>
        <c:dLbls>
          <c:dLblPos val="b"/>
          <c:showLegendKey val="0"/>
          <c:showVal val="1"/>
          <c:showCatName val="0"/>
          <c:showSerName val="0"/>
          <c:showPercent val="0"/>
          <c:showBubbleSize val="0"/>
        </c:dLbls>
        <c:marker val="1"/>
        <c:smooth val="0"/>
        <c:axId val="229595008"/>
        <c:axId val="229596544"/>
      </c:lineChart>
      <c:catAx>
        <c:axId val="22959500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9596544"/>
        <c:crosses val="autoZero"/>
        <c:auto val="1"/>
        <c:lblAlgn val="ctr"/>
        <c:lblOffset val="100"/>
        <c:noMultiLvlLbl val="0"/>
      </c:catAx>
      <c:valAx>
        <c:axId val="229596544"/>
        <c:scaling>
          <c:orientation val="minMax"/>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9595008"/>
        <c:crosses val="autoZero"/>
        <c:crossBetween val="between"/>
      </c:valAx>
    </c:plotArea>
    <c:legend>
      <c:legendPos val="r"/>
      <c:legendEntry>
        <c:idx val="0"/>
        <c:txPr>
          <a:bodyPr/>
          <a:lstStyle/>
          <a:p>
            <a:pPr>
              <a:defRPr sz="800">
                <a:latin typeface="Arial" panose="020B0604020202020204" pitchFamily="34" charset="0"/>
                <a:cs typeface="Arial" panose="020B0604020202020204" pitchFamily="34" charset="0"/>
              </a:defRPr>
            </a:pPr>
            <a:endParaRPr lang="en-US"/>
          </a:p>
        </c:txPr>
      </c:legendEntry>
      <c:legendEntry>
        <c:idx val="1"/>
        <c:txPr>
          <a:bodyPr/>
          <a:lstStyle/>
          <a:p>
            <a:pPr>
              <a:defRPr sz="800">
                <a:latin typeface="Arial" panose="020B0604020202020204" pitchFamily="34" charset="0"/>
                <a:cs typeface="Arial" panose="020B0604020202020204" pitchFamily="34" charset="0"/>
              </a:defRPr>
            </a:pPr>
            <a:endParaRPr lang="en-US"/>
          </a:p>
        </c:txPr>
      </c:legendEntry>
      <c:layout>
        <c:manualLayout>
          <c:xMode val="edge"/>
          <c:yMode val="edge"/>
          <c:x val="0.72371141748479462"/>
          <c:y val="0.13123909234994141"/>
          <c:w val="0.27231012724654596"/>
          <c:h val="0.7438640064500589"/>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no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142870573261306"/>
          <c:y val="1.7083623665257827E-2"/>
        </c:manualLayout>
      </c:layout>
      <c:overlay val="0"/>
      <c:txPr>
        <a:bodyPr/>
        <a:lstStyle/>
        <a:p>
          <a:pPr>
            <a:defRPr>
              <a:latin typeface="Arial" panose="020B0604020202020204" pitchFamily="34" charset="0"/>
              <a:cs typeface="Arial" panose="020B0604020202020204" pitchFamily="34" charset="0"/>
            </a:defRPr>
          </a:pPr>
          <a:endParaRPr lang="en-US"/>
        </a:p>
      </c:txPr>
    </c:title>
    <c:autoTitleDeleted val="0"/>
    <c:plotArea>
      <c:layout>
        <c:manualLayout>
          <c:layoutTarget val="inner"/>
          <c:xMode val="edge"/>
          <c:yMode val="edge"/>
          <c:x val="0.13089796715336385"/>
          <c:y val="0.1815716513530512"/>
          <c:w val="0.82869097983063222"/>
          <c:h val="0.70990052450413865"/>
        </c:manualLayout>
      </c:layout>
      <c:lineChart>
        <c:grouping val="standard"/>
        <c:varyColors val="0"/>
        <c:ser>
          <c:idx val="0"/>
          <c:order val="0"/>
          <c:tx>
            <c:strRef>
              <c:f>'Button control data'!$D$38</c:f>
              <c:strCache>
                <c:ptCount val="1"/>
                <c:pt idx="0">
                  <c:v>Chart 7a: Number of people who had a low vision assessment</c:v>
                </c:pt>
              </c:strCache>
            </c:strRef>
          </c:tx>
          <c:spPr>
            <a:ln>
              <a:solidFill>
                <a:schemeClr val="tx2">
                  <a:lumMod val="60000"/>
                  <a:lumOff val="40000"/>
                </a:schemeClr>
              </a:solidFill>
            </a:ln>
          </c:spPr>
          <c:marker>
            <c:symbol val="none"/>
          </c:marker>
          <c:dLbls>
            <c:numFmt formatCode="#,##0" sourceLinked="0"/>
            <c:txPr>
              <a:bodyPr/>
              <a:lstStyle/>
              <a:p>
                <a:pPr>
                  <a:defRPr>
                    <a:latin typeface="Arial" panose="020B0604020202020204" pitchFamily="34" charset="0"/>
                    <a:cs typeface="Arial" panose="020B0604020202020204" pitchFamily="34" charset="0"/>
                  </a:defRPr>
                </a:pPr>
                <a:endParaRPr lang="en-US"/>
              </a:p>
            </c:txPr>
            <c:dLblPos val="b"/>
            <c:showLegendKey val="0"/>
            <c:showVal val="1"/>
            <c:showCatName val="0"/>
            <c:showSerName val="0"/>
            <c:showPercent val="0"/>
            <c:showBubbleSize val="0"/>
            <c:showLeaderLines val="0"/>
          </c:dLbls>
          <c:cat>
            <c:strRef>
              <c:f>'Button control data'!$E$33:$I$33</c:f>
              <c:strCache>
                <c:ptCount val="5"/>
                <c:pt idx="0">
                  <c:v>2012-13</c:v>
                </c:pt>
                <c:pt idx="1">
                  <c:v>2013-14</c:v>
                </c:pt>
                <c:pt idx="2">
                  <c:v>2014-15</c:v>
                </c:pt>
                <c:pt idx="3">
                  <c:v>2015-16</c:v>
                </c:pt>
                <c:pt idx="4">
                  <c:v>2016-17</c:v>
                </c:pt>
              </c:strCache>
            </c:strRef>
          </c:cat>
          <c:val>
            <c:numRef>
              <c:f>'Button control data'!$E$38:$I$38</c:f>
              <c:numCache>
                <c:formatCode>0</c:formatCode>
                <c:ptCount val="5"/>
                <c:pt idx="0">
                  <c:v>6851</c:v>
                </c:pt>
                <c:pt idx="1">
                  <c:v>7237</c:v>
                </c:pt>
                <c:pt idx="2">
                  <c:v>7790</c:v>
                </c:pt>
                <c:pt idx="3">
                  <c:v>8049</c:v>
                </c:pt>
                <c:pt idx="4">
                  <c:v>8792</c:v>
                </c:pt>
              </c:numCache>
            </c:numRef>
          </c:val>
          <c:smooth val="0"/>
        </c:ser>
        <c:dLbls>
          <c:showLegendKey val="0"/>
          <c:showVal val="0"/>
          <c:showCatName val="0"/>
          <c:showSerName val="0"/>
          <c:showPercent val="0"/>
          <c:showBubbleSize val="0"/>
        </c:dLbls>
        <c:marker val="1"/>
        <c:smooth val="0"/>
        <c:axId val="237391872"/>
        <c:axId val="237393408"/>
      </c:lineChart>
      <c:catAx>
        <c:axId val="2373918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393408"/>
        <c:crosses val="autoZero"/>
        <c:auto val="1"/>
        <c:lblAlgn val="ctr"/>
        <c:lblOffset val="100"/>
        <c:noMultiLvlLbl val="0"/>
      </c:catAx>
      <c:valAx>
        <c:axId val="237393408"/>
        <c:scaling>
          <c:orientation val="minMax"/>
          <c:min val="0"/>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391872"/>
        <c:crosses val="autoZero"/>
        <c:crossBetween val="between"/>
      </c:valAx>
    </c:plotArea>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a:latin typeface="Arial" panose="020B0604020202020204" pitchFamily="34" charset="0"/>
                <a:cs typeface="Arial" panose="020B0604020202020204" pitchFamily="34" charset="0"/>
              </a:defRPr>
            </a:pPr>
            <a:r>
              <a:rPr lang="en-GB">
                <a:latin typeface="Arial" panose="020B0604020202020204" pitchFamily="34" charset="0"/>
                <a:cs typeface="Arial" panose="020B0604020202020204" pitchFamily="34" charset="0"/>
              </a:rPr>
              <a:t>Chart 8: The percentage of scheduled DESW appointments where results were reported</a:t>
            </a:r>
          </a:p>
        </c:rich>
      </c:tx>
      <c:overlay val="1"/>
    </c:title>
    <c:autoTitleDeleted val="0"/>
    <c:plotArea>
      <c:layout>
        <c:manualLayout>
          <c:layoutTarget val="inner"/>
          <c:xMode val="edge"/>
          <c:yMode val="edge"/>
          <c:x val="0.13211552885890465"/>
          <c:y val="0.21661861418762648"/>
          <c:w val="0.84417398430247981"/>
          <c:h val="0.6675934427730057"/>
        </c:manualLayout>
      </c:layout>
      <c:barChart>
        <c:barDir val="col"/>
        <c:grouping val="clustered"/>
        <c:varyColors val="0"/>
        <c:ser>
          <c:idx val="0"/>
          <c:order val="0"/>
          <c:tx>
            <c:strRef>
              <c:f>'Lookup data'!$A$55</c:f>
              <c:strCache>
                <c:ptCount val="1"/>
                <c:pt idx="0">
                  <c:v>Chart 6: The percentage of scheduled DRSSW appointments whose results were reported</c:v>
                </c:pt>
              </c:strCache>
            </c:strRef>
          </c:tx>
          <c:spPr>
            <a:solidFill>
              <a:srgbClr val="032163"/>
            </a:solidFill>
            <a:ln>
              <a:solidFill>
                <a:srgbClr val="032163"/>
              </a:solidFill>
            </a:ln>
          </c:spPr>
          <c:invertIfNegative val="0"/>
          <c:dLbls>
            <c:txPr>
              <a:bodyPr/>
              <a:lstStyle/>
              <a:p>
                <a:pPr>
                  <a:defRPr sz="800">
                    <a:solidFill>
                      <a:schemeClr val="bg1"/>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dLbls>
          <c:cat>
            <c:strRef>
              <c:f>'Lookup data'!$B$50:$D$50</c:f>
              <c:strCache>
                <c:ptCount val="3"/>
                <c:pt idx="0">
                  <c:v>2014-15</c:v>
                </c:pt>
                <c:pt idx="1">
                  <c:v>2015-16</c:v>
                </c:pt>
                <c:pt idx="2">
                  <c:v>2016-17</c:v>
                </c:pt>
              </c:strCache>
            </c:strRef>
          </c:cat>
          <c:val>
            <c:numRef>
              <c:f>'Lookup data'!$B$55:$D$55</c:f>
              <c:numCache>
                <c:formatCode>0%</c:formatCode>
                <c:ptCount val="3"/>
                <c:pt idx="0">
                  <c:v>0.7954027115623733</c:v>
                </c:pt>
                <c:pt idx="1">
                  <c:v>0.81627609879474539</c:v>
                </c:pt>
                <c:pt idx="2">
                  <c:v>0.84759957152595189</c:v>
                </c:pt>
              </c:numCache>
            </c:numRef>
          </c:val>
        </c:ser>
        <c:dLbls>
          <c:showLegendKey val="0"/>
          <c:showVal val="1"/>
          <c:showCatName val="0"/>
          <c:showSerName val="0"/>
          <c:showPercent val="0"/>
          <c:showBubbleSize val="0"/>
        </c:dLbls>
        <c:gapWidth val="120"/>
        <c:axId val="229496704"/>
        <c:axId val="237482368"/>
      </c:barChart>
      <c:catAx>
        <c:axId val="229496704"/>
        <c:scaling>
          <c:orientation val="minMax"/>
        </c:scaling>
        <c:delete val="0"/>
        <c:axPos val="b"/>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37482368"/>
        <c:crosses val="autoZero"/>
        <c:auto val="1"/>
        <c:lblAlgn val="ctr"/>
        <c:lblOffset val="100"/>
        <c:noMultiLvlLbl val="0"/>
      </c:catAx>
      <c:valAx>
        <c:axId val="237482368"/>
        <c:scaling>
          <c:orientation val="minMax"/>
          <c:max val="1"/>
          <c:min val="0"/>
        </c:scaling>
        <c:delete val="0"/>
        <c:axPos val="l"/>
        <c:majorGridlines/>
        <c:numFmt formatCode="0%"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29496704"/>
        <c:crosses val="autoZero"/>
        <c:crossBetween val="between"/>
      </c:valAx>
    </c:plotArea>
    <c:plotVisOnly val="1"/>
    <c:dispBlanksAs val="gap"/>
    <c:showDLblsOverMax val="0"/>
  </c:chart>
  <c:spPr>
    <a:noFill/>
  </c:spPr>
  <c:printSettings>
    <c:headerFooter/>
    <c:pageMargins b="0.75" l="0.7" r="0.7" t="0.75" header="0.3" footer="0.3"/>
    <c:pageSetup/>
  </c:printSettings>
</c:chartSpace>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Drop" dropLines="4" dropStyle="combo" dx="16" fmlaLink="'Button control data'!$B$7" fmlaRange="'Button control data'!$B$3:$B$6" sel="3" val="0"/>
</file>

<file path=xl/ctrlProps/ctrlProp11.xml><?xml version="1.0" encoding="utf-8"?>
<formControlPr xmlns="http://schemas.microsoft.com/office/spreadsheetml/2009/9/main" objectType="Drop" dropLines="5" dropStyle="combo" dx="16" fmlaLink="'Button control data'!$B$18" fmlaRange="'Button control data'!$B$13:$B$17" sel="3" val="0"/>
</file>

<file path=xl/ctrlProps/ctrlProp12.xml><?xml version="1.0" encoding="utf-8"?>
<formControlPr xmlns="http://schemas.microsoft.com/office/spreadsheetml/2009/9/main" objectType="Drop" dropLines="5" dropStyle="combo" dx="16" fmlaLink="'Button control data'!$B$29" fmlaRange="'Button control data'!$B$24:$B$28" val="0"/>
</file>

<file path=xl/ctrlProps/ctrlProp13.xml><?xml version="1.0" encoding="utf-8"?>
<formControlPr xmlns="http://schemas.microsoft.com/office/spreadsheetml/2009/9/main" objectType="Drop" dropLines="3" dropStyle="combo" dx="16" fmlaLink="'Button control data'!$B$37" fmlaRange="'Button control data'!$B$34:$B$36" val="0"/>
</file>

<file path=xl/ctrlProps/ctrlProp14.xml><?xml version="1.0" encoding="utf-8"?>
<formControlPr xmlns="http://schemas.microsoft.com/office/spreadsheetml/2009/9/main" objectType="Drop" dropLines="2" dropStyle="combo" dx="16" fmlaLink="'Button control data'!$B$45" fmlaRange="'Button control data'!$B$42:$B$43" val="0"/>
</file>

<file path=xl/ctrlProps/ctrlProp15.xml><?xml version="1.0" encoding="utf-8"?>
<formControlPr xmlns="http://schemas.microsoft.com/office/spreadsheetml/2009/9/main" objectType="Drop" dropLines="3" dropStyle="combo" dx="16" fmlaLink="'Button control data'!$B$58" fmlaRange="'Button control data'!$B$55:$B$57" val="0"/>
</file>

<file path=xl/ctrlProps/ctrlProp16.xml><?xml version="1.0" encoding="utf-8"?>
<formControlPr xmlns="http://schemas.microsoft.com/office/spreadsheetml/2009/9/main" objectType="CheckBox" fmlaLink="'Button control data'!$E$138" lockText="1"/>
</file>

<file path=xl/ctrlProps/ctrlProp17.xml><?xml version="1.0" encoding="utf-8"?>
<formControlPr xmlns="http://schemas.microsoft.com/office/spreadsheetml/2009/9/main" objectType="CheckBox" fmlaLink="'Button control data'!$F$138" lockText="1"/>
</file>

<file path=xl/ctrlProps/ctrlProp18.xml><?xml version="1.0" encoding="utf-8"?>
<formControlPr xmlns="http://schemas.microsoft.com/office/spreadsheetml/2009/9/main" objectType="Drop" dropLines="2" dropStyle="combo" dx="16" fmlaLink="'Button control data'!$B$84" fmlaRange="'Button control data'!$B$81:$B$82" sel="2" val="0"/>
</file>

<file path=xl/ctrlProps/ctrlProp19.xml><?xml version="1.0" encoding="utf-8"?>
<formControlPr xmlns="http://schemas.microsoft.com/office/spreadsheetml/2009/9/main" objectType="Drop" dropLines="4" dropStyle="combo" dx="16" fmlaLink="'Button control data'!$Y$135" fmlaRange="'Button control data'!$B$97:$B$100" sel="2" val="0"/>
</file>

<file path=xl/ctrlProps/ctrlProp2.xml><?xml version="1.0" encoding="utf-8"?>
<formControlPr xmlns="http://schemas.microsoft.com/office/spreadsheetml/2009/9/main" objectType="Radio" firstButton="1" fmlaLink="'Lookup data'!$A$110" lockText="1"/>
</file>

<file path=xl/ctrlProps/ctrlProp20.xml><?xml version="1.0" encoding="utf-8"?>
<formControlPr xmlns="http://schemas.microsoft.com/office/spreadsheetml/2009/9/main" objectType="Drop" dropLines="11" dropStyle="combo" dx="16" fmlaLink="'Comparison data'!$A$22" fmlaRange="'Comparison data'!$D$12:$D$22" val="0"/>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checked="Checked" lockText="1"/>
</file>

<file path=xl/drawings/_rels/drawing1.xml.rels><?xml version="1.0" encoding="UTF-8" standalone="yes"?>
<Relationships xmlns="http://schemas.openxmlformats.org/package/2006/relationships"><Relationship Id="rId8" Type="http://schemas.openxmlformats.org/officeDocument/2006/relationships/hyperlink" Target="#LVS!A1"/><Relationship Id="rId13" Type="http://schemas.openxmlformats.org/officeDocument/2006/relationships/hyperlink" Target="#'Sight Tests'!A1"/><Relationship Id="rId18" Type="http://schemas.openxmlformats.org/officeDocument/2006/relationships/hyperlink" Target="#'Hearing Aid Waiting Times'!A1"/><Relationship Id="rId3" Type="http://schemas.openxmlformats.org/officeDocument/2006/relationships/image" Target="../media/image1.jpeg"/><Relationship Id="rId21" Type="http://schemas.openxmlformats.org/officeDocument/2006/relationships/image" Target="../media/image3.jpeg"/><Relationship Id="rId7" Type="http://schemas.openxmlformats.org/officeDocument/2006/relationships/hyperlink" Target="#'Optometry Practices'!A1"/><Relationship Id="rId12" Type="http://schemas.openxmlformats.org/officeDocument/2006/relationships/hyperlink" Target="#Summary!A1"/><Relationship Id="rId17" Type="http://schemas.openxmlformats.org/officeDocument/2006/relationships/hyperlink" Target="#'NHS Workforce'!A1"/><Relationship Id="rId2" Type="http://schemas.openxmlformats.org/officeDocument/2006/relationships/hyperlink" Target="https://statswales.wales.gov.uk/Catalogue/Health-and-Social-Care/NHS-Primary-and-Community-Activity/Sight-Tests-and-Vouchers" TargetMode="External"/><Relationship Id="rId16" Type="http://schemas.openxmlformats.org/officeDocument/2006/relationships/hyperlink" Target="#DESW!A1"/><Relationship Id="rId20" Type="http://schemas.openxmlformats.org/officeDocument/2006/relationships/hyperlink" Target="#Comparisons!A1"/><Relationship Id="rId1" Type="http://schemas.openxmlformats.org/officeDocument/2006/relationships/hyperlink" Target="#'Sight Loss'!A1"/><Relationship Id="rId6" Type="http://schemas.openxmlformats.org/officeDocument/2006/relationships/hyperlink" Target="#EHEW!A1"/><Relationship Id="rId11" Type="http://schemas.openxmlformats.org/officeDocument/2006/relationships/hyperlink" Target="#'Ophthalmology Waiting Times'!A1"/><Relationship Id="rId5" Type="http://schemas.openxmlformats.org/officeDocument/2006/relationships/image" Target="../media/image2.png"/><Relationship Id="rId15" Type="http://schemas.openxmlformats.org/officeDocument/2006/relationships/hyperlink" Target="#Referrals!A1"/><Relationship Id="rId10" Type="http://schemas.openxmlformats.org/officeDocument/2006/relationships/hyperlink" Target="#'Disability Registers'!A1"/><Relationship Id="rId19" Type="http://schemas.openxmlformats.org/officeDocument/2006/relationships/hyperlink" Target="#'Hospital Admissions'!A1"/><Relationship Id="rId4" Type="http://schemas.microsoft.com/office/2007/relationships/hdphoto" Target="../media/hdphoto1.wdp"/><Relationship Id="rId9" Type="http://schemas.openxmlformats.org/officeDocument/2006/relationships/hyperlink" Target="#'Ophthalmic Practitioners'!A1"/><Relationship Id="rId14" Type="http://schemas.openxmlformats.org/officeDocument/2006/relationships/hyperlink" Target="#'Vouchers &amp; Repairs'!A1"/><Relationship Id="rId22" Type="http://schemas.openxmlformats.org/officeDocument/2006/relationships/hyperlink" Target="#Notes!A1"/></Relationships>
</file>

<file path=xl/drawings/_rels/drawing10.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LVS!A1"/><Relationship Id="rId5" Type="http://schemas.openxmlformats.org/officeDocument/2006/relationships/hyperlink" Target="#'Ophthalmic Practitioners'!A1"/><Relationship Id="rId4"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DESW!A1"/><Relationship Id="rId5" Type="http://schemas.openxmlformats.org/officeDocument/2006/relationships/hyperlink" Target="#'NHS Workforce'!A1"/><Relationship Id="rId4"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Ophthalmic Practitioners'!A1"/><Relationship Id="rId5" Type="http://schemas.openxmlformats.org/officeDocument/2006/relationships/hyperlink" Target="#'Disability Registers'!A1"/><Relationship Id="rId4"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image" Target="../media/image6.emf"/><Relationship Id="rId5" Type="http://schemas.openxmlformats.org/officeDocument/2006/relationships/hyperlink" Target="#'NHS Workforce'!A1"/><Relationship Id="rId4" Type="http://schemas.openxmlformats.org/officeDocument/2006/relationships/hyperlink" Target="#'Hearing Aid Waiting Times'!A1"/></Relationships>
</file>

<file path=xl/drawings/_rels/drawing14.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2.png"/><Relationship Id="rId7" Type="http://schemas.openxmlformats.org/officeDocument/2006/relationships/hyperlink" Target="#'Disability Registers'!A1"/><Relationship Id="rId2" Type="http://schemas.openxmlformats.org/officeDocument/2006/relationships/hyperlink" Target="#Home!A1"/><Relationship Id="rId1" Type="http://schemas.openxmlformats.org/officeDocument/2006/relationships/image" Target="../media/image8.jpeg"/><Relationship Id="rId6" Type="http://schemas.openxmlformats.org/officeDocument/2006/relationships/hyperlink" Target="#'Ophthalmology Waiting Times'!A1"/><Relationship Id="rId5" Type="http://schemas.openxmlformats.org/officeDocument/2006/relationships/image" Target="../media/image3.jpeg"/><Relationship Id="rId4"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3" Type="http://schemas.openxmlformats.org/officeDocument/2006/relationships/image" Target="../media/image8.jpeg"/><Relationship Id="rId7" Type="http://schemas.openxmlformats.org/officeDocument/2006/relationships/hyperlink" Target="#'Hearing Aid Waiting Times'!A1"/><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Hospital Admissions'!A1"/><Relationship Id="rId5" Type="http://schemas.openxmlformats.org/officeDocument/2006/relationships/image" Target="../media/image3.jpeg"/><Relationship Id="rId4"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hyperlink" Target="#'Ophthalmology Waiting Times'!A1"/><Relationship Id="rId2" Type="http://schemas.openxmlformats.org/officeDocument/2006/relationships/image" Target="../media/image8.jpeg"/><Relationship Id="rId1" Type="http://schemas.openxmlformats.org/officeDocument/2006/relationships/image" Target="../media/image10.emf"/><Relationship Id="rId6" Type="http://schemas.openxmlformats.org/officeDocument/2006/relationships/hyperlink" Target="#Summary!A1"/><Relationship Id="rId5" Type="http://schemas.openxmlformats.org/officeDocument/2006/relationships/image" Target="../media/image3.jpeg"/><Relationship Id="rId4"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hyperlink" Target="#'Hospital Admissions'!A1"/><Relationship Id="rId2" Type="http://schemas.openxmlformats.org/officeDocument/2006/relationships/hyperlink" Target="#Comparisons!A1"/><Relationship Id="rId1" Type="http://schemas.openxmlformats.org/officeDocument/2006/relationships/image" Target="../media/image3.jpeg"/><Relationship Id="rId5" Type="http://schemas.openxmlformats.org/officeDocument/2006/relationships/image" Target="../media/image2.png"/><Relationship Id="rId4" Type="http://schemas.openxmlformats.org/officeDocument/2006/relationships/hyperlink" Target="#Home!A1"/></Relationships>
</file>

<file path=xl/drawings/_rels/drawing18.xml.rels><?xml version="1.0" encoding="UTF-8" standalone="yes"?>
<Relationships xmlns="http://schemas.openxmlformats.org/package/2006/relationships"><Relationship Id="rId3" Type="http://schemas.openxmlformats.org/officeDocument/2006/relationships/hyperlink" Target="#Summary!A1"/><Relationship Id="rId2" Type="http://schemas.openxmlformats.org/officeDocument/2006/relationships/hyperlink" Target="#Notes!A1"/><Relationship Id="rId1" Type="http://schemas.openxmlformats.org/officeDocument/2006/relationships/image" Target="../media/image3.jpeg"/><Relationship Id="rId6" Type="http://schemas.openxmlformats.org/officeDocument/2006/relationships/image" Target="../media/image12.emf"/><Relationship Id="rId5" Type="http://schemas.openxmlformats.org/officeDocument/2006/relationships/image" Target="../media/image2.png"/><Relationship Id="rId4" Type="http://schemas.openxmlformats.org/officeDocument/2006/relationships/hyperlink" Target="#Home!A1"/></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7" Type="http://schemas.microsoft.com/office/2007/relationships/hdphoto" Target="../media/hdphoto1.wdp"/><Relationship Id="rId2" Type="http://schemas.openxmlformats.org/officeDocument/2006/relationships/hyperlink" Target="#Home!A1"/><Relationship Id="rId1" Type="http://schemas.openxmlformats.org/officeDocument/2006/relationships/image" Target="../media/image3.jpeg"/><Relationship Id="rId6" Type="http://schemas.openxmlformats.org/officeDocument/2006/relationships/image" Target="../media/image1.jpeg"/><Relationship Id="rId5" Type="http://schemas.openxmlformats.org/officeDocument/2006/relationships/hyperlink" Target="https://statswales.wales.gov.uk/Catalogue/Health-and-Social-Care/NHS-Primary-and-Community-Activity/Sight-Tests-and-Vouchers" TargetMode="External"/><Relationship Id="rId4" Type="http://schemas.openxmlformats.org/officeDocument/2006/relationships/hyperlink" Target="#Comparisons!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ome!A1"/><Relationship Id="rId1" Type="http://schemas.openxmlformats.org/officeDocument/2006/relationships/image" Target="../media/image4.png"/><Relationship Id="rId5" Type="http://schemas.openxmlformats.org/officeDocument/2006/relationships/hyperlink" Target="#'Sight Loss'!A1"/><Relationship Id="rId4"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8" Type="http://schemas.openxmlformats.org/officeDocument/2006/relationships/chart" Target="../charts/chart20.xml"/><Relationship Id="rId3" Type="http://schemas.openxmlformats.org/officeDocument/2006/relationships/chart" Target="../charts/chart16.xml"/><Relationship Id="rId7" Type="http://schemas.openxmlformats.org/officeDocument/2006/relationships/chart" Target="../charts/chart19.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image" Target="../media/image14.emf"/><Relationship Id="rId4" Type="http://schemas.openxmlformats.org/officeDocument/2006/relationships/chart" Target="../charts/chart17.xml"/><Relationship Id="rId9"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12" Type="http://schemas.openxmlformats.org/officeDocument/2006/relationships/image" Target="../media/image16.emf"/><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0" Type="http://schemas.openxmlformats.org/officeDocument/2006/relationships/chart" Target="../charts/chart31.xml"/><Relationship Id="rId4" Type="http://schemas.openxmlformats.org/officeDocument/2006/relationships/chart" Target="../charts/chart25.xml"/><Relationship Id="rId9"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ome!A1"/><Relationship Id="rId1" Type="http://schemas.openxmlformats.org/officeDocument/2006/relationships/chart" Target="../charts/chart1.xml"/><Relationship Id="rId6" Type="http://schemas.openxmlformats.org/officeDocument/2006/relationships/hyperlink" Target="#'Select Health Board'!A1"/><Relationship Id="rId5" Type="http://schemas.openxmlformats.org/officeDocument/2006/relationships/hyperlink" Target="#'Sight Tests'!A1"/><Relationship Id="rId4"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image" Target="../media/image3.jpeg"/><Relationship Id="rId2" Type="http://schemas.openxmlformats.org/officeDocument/2006/relationships/hyperlink" Target="#'Sight Loss'!A1"/><Relationship Id="rId1" Type="http://schemas.openxmlformats.org/officeDocument/2006/relationships/hyperlink" Target="#EHEW!A1"/><Relationship Id="rId6" Type="http://schemas.openxmlformats.org/officeDocument/2006/relationships/image" Target="../media/image5.png"/><Relationship Id="rId5" Type="http://schemas.openxmlformats.org/officeDocument/2006/relationships/chart" Target="../charts/chart2.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hyperlink" Target="#'Sight Tests'!A1"/><Relationship Id="rId1" Type="http://schemas.openxmlformats.org/officeDocument/2006/relationships/hyperlink" Target="#'Vouchers &amp; Repairs'!A1"/><Relationship Id="rId6" Type="http://schemas.openxmlformats.org/officeDocument/2006/relationships/chart" Target="../charts/chart3.xml"/><Relationship Id="rId5" Type="http://schemas.openxmlformats.org/officeDocument/2006/relationships/image" Target="../media/image3.jpeg"/><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Home!A1"/><Relationship Id="rId7" Type="http://schemas.openxmlformats.org/officeDocument/2006/relationships/image" Target="../media/image3.jpeg"/><Relationship Id="rId2" Type="http://schemas.openxmlformats.org/officeDocument/2006/relationships/hyperlink" Target="#EHEW!A1"/><Relationship Id="rId1" Type="http://schemas.openxmlformats.org/officeDocument/2006/relationships/hyperlink" Target="#'Optometry Practices'!A1"/><Relationship Id="rId6" Type="http://schemas.openxmlformats.org/officeDocument/2006/relationships/image" Target="../media/image5.png"/><Relationship Id="rId5" Type="http://schemas.openxmlformats.org/officeDocument/2006/relationships/chart" Target="../charts/chart4.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hyperlink" Target="#'Vouchers &amp; Repairs'!A1"/><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Referrals!A1"/><Relationship Id="rId5" Type="http://schemas.openxmlformats.org/officeDocument/2006/relationships/image" Target="../media/image3.jpeg"/><Relationship Id="rId4"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Optometry Practices'!A1"/><Relationship Id="rId5" Type="http://schemas.openxmlformats.org/officeDocument/2006/relationships/hyperlink" Target="#LVS!A1"/><Relationship Id="rId4" Type="http://schemas.openxmlformats.org/officeDocument/2006/relationships/image" Target="../media/image3.jpeg"/></Relationships>
</file>

<file path=xl/drawings/_rels/drawing9.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2.png"/><Relationship Id="rId1" Type="http://schemas.openxmlformats.org/officeDocument/2006/relationships/hyperlink" Target="#Home!A1"/><Relationship Id="rId6" Type="http://schemas.openxmlformats.org/officeDocument/2006/relationships/hyperlink" Target="#Referrals!A1"/><Relationship Id="rId5" Type="http://schemas.openxmlformats.org/officeDocument/2006/relationships/hyperlink" Target="#DESW!A1"/><Relationship Id="rId4"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6</xdr:col>
      <xdr:colOff>69271</xdr:colOff>
      <xdr:row>4</xdr:row>
      <xdr:rowOff>84929</xdr:rowOff>
    </xdr:from>
    <xdr:to>
      <xdr:col>7</xdr:col>
      <xdr:colOff>761999</xdr:colOff>
      <xdr:row>6</xdr:row>
      <xdr:rowOff>72891</xdr:rowOff>
    </xdr:to>
    <xdr:sp macro="" textlink="">
      <xdr:nvSpPr>
        <xdr:cNvPr id="3" name="Rounded Rectangle 2">
          <a:hlinkClick xmlns:r="http://schemas.openxmlformats.org/officeDocument/2006/relationships" r:id="rId1"/>
        </xdr:cNvPr>
        <xdr:cNvSpPr/>
      </xdr:nvSpPr>
      <xdr:spPr>
        <a:xfrm>
          <a:off x="4139044" y="950838"/>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Sight Loss</a:t>
          </a:r>
        </a:p>
      </xdr:txBody>
    </xdr:sp>
    <xdr:clientData/>
  </xdr:twoCellAnchor>
  <xdr:twoCellAnchor editAs="oneCell">
    <xdr:from>
      <xdr:col>0</xdr:col>
      <xdr:colOff>139750</xdr:colOff>
      <xdr:row>18</xdr:row>
      <xdr:rowOff>60613</xdr:rowOff>
    </xdr:from>
    <xdr:to>
      <xdr:col>2</xdr:col>
      <xdr:colOff>27973</xdr:colOff>
      <xdr:row>19</xdr:row>
      <xdr:rowOff>134193</xdr:rowOff>
    </xdr:to>
    <xdr:pic>
      <xdr:nvPicPr>
        <xdr:cNvPr id="33" name="Picture 32" descr="P:\statshare\StatsBranding\Images-logos\statswales-symbol-e.jpg">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extLst>
            <a:ext uri="{BEBA8EAE-BF5A-486C-A8C5-ECC9F3942E4B}">
              <a14:imgProps xmlns:a14="http://schemas.microsoft.com/office/drawing/2010/main">
                <a14:imgLayer r:embed="rId4">
                  <a14:imgEffect>
                    <a14:colorTemperature colorTemp="59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9750" y="4433454"/>
          <a:ext cx="814746" cy="2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124699</xdr:colOff>
      <xdr:row>22</xdr:row>
      <xdr:rowOff>119810</xdr:rowOff>
    </xdr:from>
    <xdr:to>
      <xdr:col>5</xdr:col>
      <xdr:colOff>615603</xdr:colOff>
      <xdr:row>24</xdr:row>
      <xdr:rowOff>176219</xdr:rowOff>
    </xdr:to>
    <xdr:pic>
      <xdr:nvPicPr>
        <xdr:cNvPr id="41" name="Picture 40"/>
        <xdr:cNvPicPr>
          <a:picLocks noChangeAspect="1"/>
        </xdr:cNvPicPr>
      </xdr:nvPicPr>
      <xdr:blipFill rotWithShape="1">
        <a:blip xmlns:r="http://schemas.openxmlformats.org/officeDocument/2006/relationships" r:embed="rId5"/>
        <a:srcRect l="27014" t="12263" r="26934" b="13642"/>
        <a:stretch/>
      </xdr:blipFill>
      <xdr:spPr>
        <a:xfrm>
          <a:off x="3337222" y="5263310"/>
          <a:ext cx="490904" cy="437409"/>
        </a:xfrm>
        <a:prstGeom prst="rect">
          <a:avLst/>
        </a:prstGeom>
      </xdr:spPr>
    </xdr:pic>
    <xdr:clientData/>
  </xdr:twoCellAnchor>
  <xdr:twoCellAnchor>
    <xdr:from>
      <xdr:col>1</xdr:col>
      <xdr:colOff>389656</xdr:colOff>
      <xdr:row>10</xdr:row>
      <xdr:rowOff>103912</xdr:rowOff>
    </xdr:from>
    <xdr:to>
      <xdr:col>2</xdr:col>
      <xdr:colOff>536861</xdr:colOff>
      <xdr:row>12</xdr:row>
      <xdr:rowOff>103912</xdr:rowOff>
    </xdr:to>
    <xdr:grpSp>
      <xdr:nvGrpSpPr>
        <xdr:cNvPr id="18" name="Group 17"/>
        <xdr:cNvGrpSpPr/>
      </xdr:nvGrpSpPr>
      <xdr:grpSpPr>
        <a:xfrm>
          <a:off x="551581" y="2513737"/>
          <a:ext cx="909205" cy="504825"/>
          <a:chOff x="1097815" y="2876063"/>
          <a:chExt cx="1876427" cy="1036027"/>
        </a:xfrm>
      </xdr:grpSpPr>
      <xdr:sp macro="" textlink="">
        <xdr:nvSpPr>
          <xdr:cNvPr id="19" name="Oval 18"/>
          <xdr:cNvSpPr/>
        </xdr:nvSpPr>
        <xdr:spPr>
          <a:xfrm>
            <a:off x="1113692" y="3046628"/>
            <a:ext cx="863600" cy="865462"/>
          </a:xfrm>
          <a:prstGeom prst="ellipse">
            <a:avLst/>
          </a:prstGeom>
          <a:solidFill>
            <a:schemeClr val="bg1"/>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Oval 20"/>
          <xdr:cNvSpPr/>
        </xdr:nvSpPr>
        <xdr:spPr>
          <a:xfrm>
            <a:off x="1469292" y="3179290"/>
            <a:ext cx="444500" cy="416938"/>
          </a:xfrm>
          <a:prstGeom prst="ellipse">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2" name="Oval 21"/>
          <xdr:cNvSpPr/>
        </xdr:nvSpPr>
        <xdr:spPr>
          <a:xfrm>
            <a:off x="1752220" y="3275453"/>
            <a:ext cx="107950" cy="11932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Oval 22"/>
          <xdr:cNvSpPr/>
        </xdr:nvSpPr>
        <xdr:spPr>
          <a:xfrm>
            <a:off x="2110642" y="3040311"/>
            <a:ext cx="863600" cy="865462"/>
          </a:xfrm>
          <a:prstGeom prst="ellipse">
            <a:avLst/>
          </a:prstGeom>
          <a:solidFill>
            <a:schemeClr val="bg1"/>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5" name="Oval 24"/>
          <xdr:cNvSpPr/>
        </xdr:nvSpPr>
        <xdr:spPr>
          <a:xfrm>
            <a:off x="2466242" y="3172973"/>
            <a:ext cx="444500" cy="416938"/>
          </a:xfrm>
          <a:prstGeom prst="ellipse">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6" name="Oval 25"/>
          <xdr:cNvSpPr/>
        </xdr:nvSpPr>
        <xdr:spPr>
          <a:xfrm>
            <a:off x="2749170" y="3269136"/>
            <a:ext cx="107950" cy="11932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7" name="Moon 26"/>
          <xdr:cNvSpPr/>
        </xdr:nvSpPr>
        <xdr:spPr>
          <a:xfrm rot="4528279">
            <a:off x="1317365" y="2665989"/>
            <a:ext cx="183200" cy="622300"/>
          </a:xfrm>
          <a:prstGeom prst="moon">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Moon 27"/>
          <xdr:cNvSpPr/>
        </xdr:nvSpPr>
        <xdr:spPr>
          <a:xfrm rot="4528279">
            <a:off x="2330191" y="2656513"/>
            <a:ext cx="183200" cy="622300"/>
          </a:xfrm>
          <a:prstGeom prst="moon">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6</xdr:col>
      <xdr:colOff>69271</xdr:colOff>
      <xdr:row>6</xdr:row>
      <xdr:rowOff>168058</xdr:rowOff>
    </xdr:from>
    <xdr:to>
      <xdr:col>7</xdr:col>
      <xdr:colOff>761999</xdr:colOff>
      <xdr:row>8</xdr:row>
      <xdr:rowOff>112725</xdr:rowOff>
    </xdr:to>
    <xdr:sp macro="" textlink="">
      <xdr:nvSpPr>
        <xdr:cNvPr id="29" name="Rounded Rectangle 28">
          <a:hlinkClick xmlns:r="http://schemas.openxmlformats.org/officeDocument/2006/relationships" r:id="rId6"/>
        </xdr:cNvPr>
        <xdr:cNvSpPr/>
      </xdr:nvSpPr>
      <xdr:spPr>
        <a:xfrm>
          <a:off x="4139044" y="1492899"/>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EHEW Examinations</a:t>
          </a:r>
        </a:p>
      </xdr:txBody>
    </xdr:sp>
    <xdr:clientData/>
  </xdr:twoCellAnchor>
  <xdr:twoCellAnchor>
    <xdr:from>
      <xdr:col>6</xdr:col>
      <xdr:colOff>69271</xdr:colOff>
      <xdr:row>8</xdr:row>
      <xdr:rowOff>233867</xdr:rowOff>
    </xdr:from>
    <xdr:to>
      <xdr:col>7</xdr:col>
      <xdr:colOff>761999</xdr:colOff>
      <xdr:row>10</xdr:row>
      <xdr:rowOff>100602</xdr:rowOff>
    </xdr:to>
    <xdr:sp macro="" textlink="">
      <xdr:nvSpPr>
        <xdr:cNvPr id="30" name="Rounded Rectangle 29">
          <a:hlinkClick xmlns:r="http://schemas.openxmlformats.org/officeDocument/2006/relationships" r:id="rId7"/>
        </xdr:cNvPr>
        <xdr:cNvSpPr/>
      </xdr:nvSpPr>
      <xdr:spPr>
        <a:xfrm>
          <a:off x="4139044" y="2060935"/>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Optometry Practices</a:t>
          </a:r>
        </a:p>
      </xdr:txBody>
    </xdr:sp>
    <xdr:clientData/>
  </xdr:twoCellAnchor>
  <xdr:twoCellAnchor>
    <xdr:from>
      <xdr:col>6</xdr:col>
      <xdr:colOff>69271</xdr:colOff>
      <xdr:row>11</xdr:row>
      <xdr:rowOff>5267</xdr:rowOff>
    </xdr:from>
    <xdr:to>
      <xdr:col>7</xdr:col>
      <xdr:colOff>761999</xdr:colOff>
      <xdr:row>12</xdr:row>
      <xdr:rowOff>140433</xdr:rowOff>
    </xdr:to>
    <xdr:sp macro="" textlink="">
      <xdr:nvSpPr>
        <xdr:cNvPr id="31" name="Rounded Rectangle 30">
          <a:hlinkClick xmlns:r="http://schemas.openxmlformats.org/officeDocument/2006/relationships" r:id="rId8"/>
        </xdr:cNvPr>
        <xdr:cNvSpPr/>
      </xdr:nvSpPr>
      <xdr:spPr>
        <a:xfrm>
          <a:off x="4139044" y="2602994"/>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Low Vision Service Wales</a:t>
          </a:r>
        </a:p>
      </xdr:txBody>
    </xdr:sp>
    <xdr:clientData/>
  </xdr:twoCellAnchor>
  <xdr:twoCellAnchor>
    <xdr:from>
      <xdr:col>6</xdr:col>
      <xdr:colOff>69271</xdr:colOff>
      <xdr:row>13</xdr:row>
      <xdr:rowOff>45098</xdr:rowOff>
    </xdr:from>
    <xdr:to>
      <xdr:col>7</xdr:col>
      <xdr:colOff>761999</xdr:colOff>
      <xdr:row>14</xdr:row>
      <xdr:rowOff>223561</xdr:rowOff>
    </xdr:to>
    <xdr:sp macro="" textlink="">
      <xdr:nvSpPr>
        <xdr:cNvPr id="32" name="Rounded Rectangle 31">
          <a:hlinkClick xmlns:r="http://schemas.openxmlformats.org/officeDocument/2006/relationships" r:id="rId9"/>
        </xdr:cNvPr>
        <xdr:cNvSpPr/>
      </xdr:nvSpPr>
      <xdr:spPr>
        <a:xfrm>
          <a:off x="4139044" y="3153712"/>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Ophthalmic Practitioners</a:t>
          </a:r>
        </a:p>
      </xdr:txBody>
    </xdr:sp>
    <xdr:clientData/>
  </xdr:twoCellAnchor>
  <xdr:twoCellAnchor>
    <xdr:from>
      <xdr:col>6</xdr:col>
      <xdr:colOff>69271</xdr:colOff>
      <xdr:row>15</xdr:row>
      <xdr:rowOff>93589</xdr:rowOff>
    </xdr:from>
    <xdr:to>
      <xdr:col>7</xdr:col>
      <xdr:colOff>761999</xdr:colOff>
      <xdr:row>16</xdr:row>
      <xdr:rowOff>349983</xdr:rowOff>
    </xdr:to>
    <xdr:sp macro="" textlink="">
      <xdr:nvSpPr>
        <xdr:cNvPr id="34" name="Rounded Rectangle 33">
          <a:hlinkClick xmlns:r="http://schemas.openxmlformats.org/officeDocument/2006/relationships" r:id="rId10"/>
        </xdr:cNvPr>
        <xdr:cNvSpPr/>
      </xdr:nvSpPr>
      <xdr:spPr>
        <a:xfrm>
          <a:off x="4139044" y="3713089"/>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Disability Registers</a:t>
          </a:r>
        </a:p>
      </xdr:txBody>
    </xdr:sp>
    <xdr:clientData/>
  </xdr:twoCellAnchor>
  <xdr:twoCellAnchor>
    <xdr:from>
      <xdr:col>6</xdr:col>
      <xdr:colOff>69271</xdr:colOff>
      <xdr:row>17</xdr:row>
      <xdr:rowOff>90125</xdr:rowOff>
    </xdr:from>
    <xdr:to>
      <xdr:col>7</xdr:col>
      <xdr:colOff>761999</xdr:colOff>
      <xdr:row>19</xdr:row>
      <xdr:rowOff>156019</xdr:rowOff>
    </xdr:to>
    <xdr:sp macro="" textlink="">
      <xdr:nvSpPr>
        <xdr:cNvPr id="35" name="Rounded Rectangle 34">
          <a:hlinkClick xmlns:r="http://schemas.openxmlformats.org/officeDocument/2006/relationships" r:id="rId11"/>
        </xdr:cNvPr>
        <xdr:cNvSpPr/>
      </xdr:nvSpPr>
      <xdr:spPr>
        <a:xfrm>
          <a:off x="4139044" y="4272466"/>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Ophthalmology Waiting Times</a:t>
          </a:r>
        </a:p>
      </xdr:txBody>
    </xdr:sp>
    <xdr:clientData/>
  </xdr:twoCellAnchor>
  <xdr:twoCellAnchor>
    <xdr:from>
      <xdr:col>6</xdr:col>
      <xdr:colOff>69271</xdr:colOff>
      <xdr:row>20</xdr:row>
      <xdr:rowOff>60685</xdr:rowOff>
    </xdr:from>
    <xdr:to>
      <xdr:col>7</xdr:col>
      <xdr:colOff>761999</xdr:colOff>
      <xdr:row>22</xdr:row>
      <xdr:rowOff>117920</xdr:rowOff>
    </xdr:to>
    <xdr:sp macro="" textlink="">
      <xdr:nvSpPr>
        <xdr:cNvPr id="36" name="Rounded Rectangle 35">
          <a:hlinkClick xmlns:r="http://schemas.openxmlformats.org/officeDocument/2006/relationships" r:id="rId12"/>
        </xdr:cNvPr>
        <xdr:cNvSpPr/>
      </xdr:nvSpPr>
      <xdr:spPr>
        <a:xfrm>
          <a:off x="4139044" y="4814526"/>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8</xdr:col>
      <xdr:colOff>95248</xdr:colOff>
      <xdr:row>4</xdr:row>
      <xdr:rowOff>81465</xdr:rowOff>
    </xdr:from>
    <xdr:to>
      <xdr:col>9</xdr:col>
      <xdr:colOff>692726</xdr:colOff>
      <xdr:row>6</xdr:row>
      <xdr:rowOff>69427</xdr:rowOff>
    </xdr:to>
    <xdr:sp macro="" textlink="">
      <xdr:nvSpPr>
        <xdr:cNvPr id="37" name="Rounded Rectangle 36">
          <a:hlinkClick xmlns:r="http://schemas.openxmlformats.org/officeDocument/2006/relationships" r:id="rId13"/>
        </xdr:cNvPr>
        <xdr:cNvSpPr/>
      </xdr:nvSpPr>
      <xdr:spPr>
        <a:xfrm>
          <a:off x="5593771" y="947374"/>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Sight Tests</a:t>
          </a:r>
        </a:p>
      </xdr:txBody>
    </xdr:sp>
    <xdr:clientData/>
  </xdr:twoCellAnchor>
  <xdr:twoCellAnchor>
    <xdr:from>
      <xdr:col>8</xdr:col>
      <xdr:colOff>95248</xdr:colOff>
      <xdr:row>6</xdr:row>
      <xdr:rowOff>164594</xdr:rowOff>
    </xdr:from>
    <xdr:to>
      <xdr:col>9</xdr:col>
      <xdr:colOff>692726</xdr:colOff>
      <xdr:row>8</xdr:row>
      <xdr:rowOff>109261</xdr:rowOff>
    </xdr:to>
    <xdr:sp macro="" textlink="">
      <xdr:nvSpPr>
        <xdr:cNvPr id="38" name="Rounded Rectangle 37">
          <a:hlinkClick xmlns:r="http://schemas.openxmlformats.org/officeDocument/2006/relationships" r:id="rId14"/>
        </xdr:cNvPr>
        <xdr:cNvSpPr/>
      </xdr:nvSpPr>
      <xdr:spPr>
        <a:xfrm>
          <a:off x="5593771" y="1489435"/>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Vouchers &amp; Repairs</a:t>
          </a:r>
        </a:p>
      </xdr:txBody>
    </xdr:sp>
    <xdr:clientData/>
  </xdr:twoCellAnchor>
  <xdr:twoCellAnchor>
    <xdr:from>
      <xdr:col>8</xdr:col>
      <xdr:colOff>95248</xdr:colOff>
      <xdr:row>8</xdr:row>
      <xdr:rowOff>230403</xdr:rowOff>
    </xdr:from>
    <xdr:to>
      <xdr:col>9</xdr:col>
      <xdr:colOff>692726</xdr:colOff>
      <xdr:row>10</xdr:row>
      <xdr:rowOff>97138</xdr:rowOff>
    </xdr:to>
    <xdr:sp macro="" textlink="">
      <xdr:nvSpPr>
        <xdr:cNvPr id="39" name="Rounded Rectangle 38">
          <a:hlinkClick xmlns:r="http://schemas.openxmlformats.org/officeDocument/2006/relationships" r:id="rId15"/>
        </xdr:cNvPr>
        <xdr:cNvSpPr/>
      </xdr:nvSpPr>
      <xdr:spPr>
        <a:xfrm>
          <a:off x="5593771" y="2057471"/>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Referrals to HES</a:t>
          </a:r>
        </a:p>
      </xdr:txBody>
    </xdr:sp>
    <xdr:clientData/>
  </xdr:twoCellAnchor>
  <xdr:twoCellAnchor>
    <xdr:from>
      <xdr:col>8</xdr:col>
      <xdr:colOff>95248</xdr:colOff>
      <xdr:row>11</xdr:row>
      <xdr:rowOff>1803</xdr:rowOff>
    </xdr:from>
    <xdr:to>
      <xdr:col>9</xdr:col>
      <xdr:colOff>692726</xdr:colOff>
      <xdr:row>12</xdr:row>
      <xdr:rowOff>136969</xdr:rowOff>
    </xdr:to>
    <xdr:sp macro="" textlink="">
      <xdr:nvSpPr>
        <xdr:cNvPr id="40" name="Rounded Rectangle 39">
          <a:hlinkClick xmlns:r="http://schemas.openxmlformats.org/officeDocument/2006/relationships" r:id="rId16"/>
        </xdr:cNvPr>
        <xdr:cNvSpPr/>
      </xdr:nvSpPr>
      <xdr:spPr>
        <a:xfrm>
          <a:off x="5593771" y="2599530"/>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DESW Appointments</a:t>
          </a:r>
        </a:p>
      </xdr:txBody>
    </xdr:sp>
    <xdr:clientData/>
  </xdr:twoCellAnchor>
  <xdr:twoCellAnchor>
    <xdr:from>
      <xdr:col>8</xdr:col>
      <xdr:colOff>95248</xdr:colOff>
      <xdr:row>13</xdr:row>
      <xdr:rowOff>41634</xdr:rowOff>
    </xdr:from>
    <xdr:to>
      <xdr:col>9</xdr:col>
      <xdr:colOff>692726</xdr:colOff>
      <xdr:row>14</xdr:row>
      <xdr:rowOff>220097</xdr:rowOff>
    </xdr:to>
    <xdr:sp macro="" textlink="">
      <xdr:nvSpPr>
        <xdr:cNvPr id="42" name="Rounded Rectangle 41">
          <a:hlinkClick xmlns:r="http://schemas.openxmlformats.org/officeDocument/2006/relationships" r:id="rId17"/>
        </xdr:cNvPr>
        <xdr:cNvSpPr/>
      </xdr:nvSpPr>
      <xdr:spPr>
        <a:xfrm>
          <a:off x="5593771" y="3150248"/>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NHS</a:t>
          </a:r>
          <a:r>
            <a:rPr lang="en-GB" sz="1100" baseline="0">
              <a:solidFill>
                <a:schemeClr val="bg1"/>
              </a:solidFill>
              <a:latin typeface="Arial" panose="020B0604020202020204" pitchFamily="34" charset="0"/>
              <a:cs typeface="Arial" panose="020B0604020202020204" pitchFamily="34" charset="0"/>
            </a:rPr>
            <a:t> Workforce</a:t>
          </a:r>
          <a:endParaRPr lang="en-GB"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95248</xdr:colOff>
      <xdr:row>15</xdr:row>
      <xdr:rowOff>90125</xdr:rowOff>
    </xdr:from>
    <xdr:to>
      <xdr:col>9</xdr:col>
      <xdr:colOff>692726</xdr:colOff>
      <xdr:row>16</xdr:row>
      <xdr:rowOff>346519</xdr:rowOff>
    </xdr:to>
    <xdr:sp macro="" textlink="">
      <xdr:nvSpPr>
        <xdr:cNvPr id="43" name="Rounded Rectangle 42">
          <a:hlinkClick xmlns:r="http://schemas.openxmlformats.org/officeDocument/2006/relationships" r:id="rId18"/>
        </xdr:cNvPr>
        <xdr:cNvSpPr/>
      </xdr:nvSpPr>
      <xdr:spPr>
        <a:xfrm>
          <a:off x="5593771" y="3709625"/>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Hearing Aid</a:t>
          </a:r>
          <a:r>
            <a:rPr lang="en-GB" sz="1050" baseline="0">
              <a:solidFill>
                <a:schemeClr val="bg1"/>
              </a:solidFill>
              <a:latin typeface="Arial" panose="020B0604020202020204" pitchFamily="34" charset="0"/>
              <a:cs typeface="Arial" panose="020B0604020202020204" pitchFamily="34" charset="0"/>
            </a:rPr>
            <a:t> Waiting Times</a:t>
          </a:r>
          <a:endParaRPr lang="en-GB" sz="105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95248</xdr:colOff>
      <xdr:row>17</xdr:row>
      <xdr:rowOff>86661</xdr:rowOff>
    </xdr:from>
    <xdr:to>
      <xdr:col>9</xdr:col>
      <xdr:colOff>692726</xdr:colOff>
      <xdr:row>19</xdr:row>
      <xdr:rowOff>152555</xdr:rowOff>
    </xdr:to>
    <xdr:sp macro="" textlink="">
      <xdr:nvSpPr>
        <xdr:cNvPr id="44" name="Rounded Rectangle 43">
          <a:hlinkClick xmlns:r="http://schemas.openxmlformats.org/officeDocument/2006/relationships" r:id="rId19"/>
        </xdr:cNvPr>
        <xdr:cNvSpPr/>
      </xdr:nvSpPr>
      <xdr:spPr>
        <a:xfrm>
          <a:off x="5593771" y="4269002"/>
          <a:ext cx="1359478" cy="446894"/>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a:solidFill>
                <a:schemeClr val="bg1"/>
              </a:solidFill>
              <a:latin typeface="Arial" panose="020B0604020202020204" pitchFamily="34" charset="0"/>
              <a:cs typeface="Arial" panose="020B0604020202020204" pitchFamily="34" charset="0"/>
            </a:rPr>
            <a:t>Hospital Admissions</a:t>
          </a:r>
        </a:p>
      </xdr:txBody>
    </xdr:sp>
    <xdr:clientData/>
  </xdr:twoCellAnchor>
  <xdr:twoCellAnchor>
    <xdr:from>
      <xdr:col>8</xdr:col>
      <xdr:colOff>95248</xdr:colOff>
      <xdr:row>20</xdr:row>
      <xdr:rowOff>57221</xdr:rowOff>
    </xdr:from>
    <xdr:to>
      <xdr:col>9</xdr:col>
      <xdr:colOff>692726</xdr:colOff>
      <xdr:row>22</xdr:row>
      <xdr:rowOff>121228</xdr:rowOff>
    </xdr:to>
    <xdr:sp macro="" textlink="">
      <xdr:nvSpPr>
        <xdr:cNvPr id="45" name="Rounded Rectangle 44">
          <a:hlinkClick xmlns:r="http://schemas.openxmlformats.org/officeDocument/2006/relationships" r:id="rId20"/>
        </xdr:cNvPr>
        <xdr:cNvSpPr/>
      </xdr:nvSpPr>
      <xdr:spPr>
        <a:xfrm>
          <a:off x="5593771" y="4811062"/>
          <a:ext cx="1359478" cy="453666"/>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Comparisons</a:t>
          </a:r>
        </a:p>
      </xdr:txBody>
    </xdr:sp>
    <xdr:clientData/>
  </xdr:twoCellAnchor>
  <xdr:twoCellAnchor editAs="oneCell">
    <xdr:from>
      <xdr:col>0</xdr:col>
      <xdr:colOff>0</xdr:colOff>
      <xdr:row>0</xdr:row>
      <xdr:rowOff>0</xdr:rowOff>
    </xdr:from>
    <xdr:to>
      <xdr:col>11</xdr:col>
      <xdr:colOff>0</xdr:colOff>
      <xdr:row>4</xdr:row>
      <xdr:rowOff>16653</xdr:rowOff>
    </xdr:to>
    <xdr:pic>
      <xdr:nvPicPr>
        <xdr:cNvPr id="46" name="Picture 45" descr="P:\statshare\StatsBranding\Images-logos\banner.jpg"/>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744681</xdr:colOff>
      <xdr:row>0</xdr:row>
      <xdr:rowOff>129887</xdr:rowOff>
    </xdr:from>
    <xdr:to>
      <xdr:col>8</xdr:col>
      <xdr:colOff>658090</xdr:colOff>
      <xdr:row>3</xdr:row>
      <xdr:rowOff>38101</xdr:rowOff>
    </xdr:to>
    <xdr:sp macro="" textlink="">
      <xdr:nvSpPr>
        <xdr:cNvPr id="47" name="TextBox 46"/>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69271</xdr:colOff>
      <xdr:row>23</xdr:row>
      <xdr:rowOff>25979</xdr:rowOff>
    </xdr:from>
    <xdr:to>
      <xdr:col>9</xdr:col>
      <xdr:colOff>684067</xdr:colOff>
      <xdr:row>24</xdr:row>
      <xdr:rowOff>190501</xdr:rowOff>
    </xdr:to>
    <xdr:sp macro="" textlink="">
      <xdr:nvSpPr>
        <xdr:cNvPr id="48" name="Rounded Rectangle 47">
          <a:hlinkClick xmlns:r="http://schemas.openxmlformats.org/officeDocument/2006/relationships" r:id="rId22"/>
        </xdr:cNvPr>
        <xdr:cNvSpPr/>
      </xdr:nvSpPr>
      <xdr:spPr>
        <a:xfrm>
          <a:off x="4139044" y="5359979"/>
          <a:ext cx="2805546" cy="355022"/>
        </a:xfrm>
        <a:prstGeom prst="roundRect">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solidFill>
                <a:schemeClr val="bg1"/>
              </a:solidFill>
              <a:latin typeface="Arial" panose="020B0604020202020204" pitchFamily="34" charset="0"/>
              <a:cs typeface="Arial" panose="020B0604020202020204" pitchFamily="34" charset="0"/>
            </a:rPr>
            <a:t>Notes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4294</xdr:colOff>
      <xdr:row>24</xdr:row>
      <xdr:rowOff>101241</xdr:rowOff>
    </xdr:from>
    <xdr:to>
      <xdr:col>9</xdr:col>
      <xdr:colOff>493568</xdr:colOff>
      <xdr:row>26</xdr:row>
      <xdr:rowOff>164523</xdr:rowOff>
    </xdr:to>
    <xdr:pic>
      <xdr:nvPicPr>
        <xdr:cNvPr id="5" name="Picture 4">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2635" y="5322673"/>
          <a:ext cx="489274" cy="444282"/>
        </a:xfrm>
        <a:prstGeom prst="rect">
          <a:avLst/>
        </a:prstGeom>
      </xdr:spPr>
    </xdr:pic>
    <xdr:clientData/>
  </xdr:twoCellAnchor>
  <xdr:twoCellAnchor>
    <xdr:from>
      <xdr:col>4</xdr:col>
      <xdr:colOff>155865</xdr:colOff>
      <xdr:row>9</xdr:row>
      <xdr:rowOff>69274</xdr:rowOff>
    </xdr:from>
    <xdr:to>
      <xdr:col>9</xdr:col>
      <xdr:colOff>415637</xdr:colOff>
      <xdr:row>20</xdr:row>
      <xdr:rowOff>69273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112568</xdr:colOff>
      <xdr:row>1</xdr:row>
      <xdr:rowOff>1</xdr:rowOff>
    </xdr:from>
    <xdr:to>
      <xdr:col>8</xdr:col>
      <xdr:colOff>502227</xdr:colOff>
      <xdr:row>2</xdr:row>
      <xdr:rowOff>133351</xdr:rowOff>
    </xdr:to>
    <xdr:sp macro="" textlink="">
      <xdr:nvSpPr>
        <xdr:cNvPr id="8" name="TextBox 7"/>
        <xdr:cNvSpPr txBox="1"/>
      </xdr:nvSpPr>
      <xdr:spPr>
        <a:xfrm>
          <a:off x="1749136" y="190501"/>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10</xdr:col>
      <xdr:colOff>0</xdr:colOff>
      <xdr:row>3</xdr:row>
      <xdr:rowOff>51289</xdr:rowOff>
    </xdr:to>
    <xdr:pic>
      <xdr:nvPicPr>
        <xdr:cNvPr id="10" name="Picture 9"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424295</xdr:colOff>
      <xdr:row>2</xdr:row>
      <xdr:rowOff>72737</xdr:rowOff>
    </xdr:to>
    <xdr:sp macro="" textlink="">
      <xdr:nvSpPr>
        <xdr:cNvPr id="11" name="TextBox 10"/>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545521</xdr:colOff>
      <xdr:row>3</xdr:row>
      <xdr:rowOff>121227</xdr:rowOff>
    </xdr:from>
    <xdr:to>
      <xdr:col>9</xdr:col>
      <xdr:colOff>493567</xdr:colOff>
      <xdr:row>5</xdr:row>
      <xdr:rowOff>216477</xdr:rowOff>
    </xdr:to>
    <xdr:sp macro="" textlink="">
      <xdr:nvSpPr>
        <xdr:cNvPr id="12" name="Pentagon 11">
          <a:hlinkClick xmlns:r="http://schemas.openxmlformats.org/officeDocument/2006/relationships" r:id="rId5"/>
        </xdr:cNvPr>
        <xdr:cNvSpPr/>
      </xdr:nvSpPr>
      <xdr:spPr>
        <a:xfrm>
          <a:off x="5645726"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Ophthalmic</a:t>
          </a:r>
          <a:r>
            <a:rPr lang="en-GB" sz="1100" baseline="0">
              <a:latin typeface="Arial" panose="020B0604020202020204" pitchFamily="34" charset="0"/>
              <a:cs typeface="Arial" panose="020B0604020202020204" pitchFamily="34" charset="0"/>
            </a:rPr>
            <a:t> Practitioners</a:t>
          </a:r>
          <a:endParaRPr lang="en-GB" sz="1100">
            <a:latin typeface="Arial" panose="020B0604020202020204" pitchFamily="34" charset="0"/>
            <a:cs typeface="Arial" panose="020B0604020202020204" pitchFamily="34" charset="0"/>
          </a:endParaRPr>
        </a:p>
      </xdr:txBody>
    </xdr:sp>
    <xdr:clientData/>
  </xdr:twoCellAnchor>
  <xdr:twoCellAnchor>
    <xdr:from>
      <xdr:col>1</xdr:col>
      <xdr:colOff>8658</xdr:colOff>
      <xdr:row>3</xdr:row>
      <xdr:rowOff>123225</xdr:rowOff>
    </xdr:from>
    <xdr:to>
      <xdr:col>2</xdr:col>
      <xdr:colOff>484909</xdr:colOff>
      <xdr:row>5</xdr:row>
      <xdr:rowOff>212481</xdr:rowOff>
    </xdr:to>
    <xdr:sp macro="" textlink="">
      <xdr:nvSpPr>
        <xdr:cNvPr id="13" name="Pentagon 12">
          <a:hlinkClick xmlns:r="http://schemas.openxmlformats.org/officeDocument/2006/relationships" r:id="rId6"/>
        </xdr:cNvPr>
        <xdr:cNvSpPr/>
      </xdr:nvSpPr>
      <xdr:spPr>
        <a:xfrm flipH="1">
          <a:off x="60613"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Low Vision</a:t>
          </a:r>
          <a:r>
            <a:rPr lang="en-GB" sz="1000" baseline="0">
              <a:solidFill>
                <a:schemeClr val="lt1"/>
              </a:solidFill>
              <a:effectLst/>
              <a:latin typeface="Arial" panose="020B0604020202020204" pitchFamily="34" charset="0"/>
              <a:ea typeface="+mn-ea"/>
              <a:cs typeface="Arial" panose="020B0604020202020204" pitchFamily="34" charset="0"/>
            </a:rPr>
            <a:t> Service Wales</a:t>
          </a:r>
          <a:endParaRPr lang="en-GB" sz="1000">
            <a:effectLst/>
            <a:latin typeface="Arial" panose="020B0604020202020204" pitchFamily="34" charset="0"/>
            <a:cs typeface="Arial" panose="020B0604020202020204" pitchFamily="34" charset="0"/>
          </a:endParaRPr>
        </a:p>
      </xdr:txBody>
    </xdr:sp>
    <xdr:clientData/>
  </xdr:twoCellAnchor>
  <xdr:twoCellAnchor>
    <xdr:from>
      <xdr:col>4</xdr:col>
      <xdr:colOff>155864</xdr:colOff>
      <xdr:row>20</xdr:row>
      <xdr:rowOff>138545</xdr:rowOff>
    </xdr:from>
    <xdr:to>
      <xdr:col>9</xdr:col>
      <xdr:colOff>415636</xdr:colOff>
      <xdr:row>23</xdr:row>
      <xdr:rowOff>77931</xdr:rowOff>
    </xdr:to>
    <xdr:sp macro="" textlink="">
      <xdr:nvSpPr>
        <xdr:cNvPr id="9" name="Rectangle 8"/>
        <xdr:cNvSpPr/>
      </xdr:nvSpPr>
      <xdr:spPr>
        <a:xfrm>
          <a:off x="2736273" y="4511386"/>
          <a:ext cx="4147704" cy="59747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4294</xdr:colOff>
      <xdr:row>24</xdr:row>
      <xdr:rowOff>92582</xdr:rowOff>
    </xdr:from>
    <xdr:to>
      <xdr:col>9</xdr:col>
      <xdr:colOff>493568</xdr:colOff>
      <xdr:row>26</xdr:row>
      <xdr:rowOff>164523</xdr:rowOff>
    </xdr:to>
    <xdr:pic>
      <xdr:nvPicPr>
        <xdr:cNvPr id="5" name="Picture 4">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2635" y="5322673"/>
          <a:ext cx="489274"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95250</xdr:colOff>
          <xdr:row>9</xdr:row>
          <xdr:rowOff>161925</xdr:rowOff>
        </xdr:from>
        <xdr:to>
          <xdr:col>7</xdr:col>
          <xdr:colOff>28575</xdr:colOff>
          <xdr:row>10</xdr:row>
          <xdr:rowOff>161925</xdr:rowOff>
        </xdr:to>
        <xdr:sp macro="" textlink="">
          <xdr:nvSpPr>
            <xdr:cNvPr id="39937" name="Drop Down 1" hidden="1">
              <a:extLst>
                <a:ext uri="{63B3BB69-23CF-44E3-9099-C40C66FF867C}">
                  <a14:compatExt spid="_x0000_s39937"/>
                </a:ext>
              </a:extLst>
            </xdr:cNvPr>
            <xdr:cNvSpPr/>
          </xdr:nvSpPr>
          <xdr:spPr>
            <a:xfrm>
              <a:off x="0" y="0"/>
              <a:ext cx="0" cy="0"/>
            </a:xfrm>
            <a:prstGeom prst="rect">
              <a:avLst/>
            </a:prstGeom>
          </xdr:spPr>
        </xdr:sp>
        <xdr:clientData/>
      </xdr:twoCellAnchor>
    </mc:Choice>
    <mc:Fallback/>
  </mc:AlternateContent>
  <xdr:twoCellAnchor>
    <xdr:from>
      <xdr:col>1</xdr:col>
      <xdr:colOff>99577</xdr:colOff>
      <xdr:row>11</xdr:row>
      <xdr:rowOff>19049</xdr:rowOff>
    </xdr:from>
    <xdr:to>
      <xdr:col>7</xdr:col>
      <xdr:colOff>0</xdr:colOff>
      <xdr:row>24</xdr:row>
      <xdr:rowOff>86591</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121228</xdr:colOff>
      <xdr:row>1</xdr:row>
      <xdr:rowOff>0</xdr:rowOff>
    </xdr:from>
    <xdr:to>
      <xdr:col>8</xdr:col>
      <xdr:colOff>441614</xdr:colOff>
      <xdr:row>2</xdr:row>
      <xdr:rowOff>133350</xdr:rowOff>
    </xdr:to>
    <xdr:sp macro="" textlink="">
      <xdr:nvSpPr>
        <xdr:cNvPr id="9" name="TextBox 8"/>
        <xdr:cNvSpPr txBox="1"/>
      </xdr:nvSpPr>
      <xdr:spPr>
        <a:xfrm>
          <a:off x="1757796" y="190500"/>
          <a:ext cx="4416136"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1" name="Picture 10"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424295</xdr:colOff>
      <xdr:row>2</xdr:row>
      <xdr:rowOff>72737</xdr:rowOff>
    </xdr:to>
    <xdr:sp macro="" textlink="">
      <xdr:nvSpPr>
        <xdr:cNvPr id="12" name="TextBox 11"/>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545522</xdr:colOff>
      <xdr:row>3</xdr:row>
      <xdr:rowOff>121227</xdr:rowOff>
    </xdr:from>
    <xdr:to>
      <xdr:col>9</xdr:col>
      <xdr:colOff>493568</xdr:colOff>
      <xdr:row>5</xdr:row>
      <xdr:rowOff>138545</xdr:rowOff>
    </xdr:to>
    <xdr:sp macro="" textlink="">
      <xdr:nvSpPr>
        <xdr:cNvPr id="13" name="Pentagon 12">
          <a:hlinkClick xmlns:r="http://schemas.openxmlformats.org/officeDocument/2006/relationships" r:id="rId5"/>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NHS Workforce</a:t>
          </a:r>
        </a:p>
      </xdr:txBody>
    </xdr:sp>
    <xdr:clientData/>
  </xdr:twoCellAnchor>
  <xdr:twoCellAnchor>
    <xdr:from>
      <xdr:col>1</xdr:col>
      <xdr:colOff>8659</xdr:colOff>
      <xdr:row>3</xdr:row>
      <xdr:rowOff>123225</xdr:rowOff>
    </xdr:from>
    <xdr:to>
      <xdr:col>2</xdr:col>
      <xdr:colOff>484910</xdr:colOff>
      <xdr:row>5</xdr:row>
      <xdr:rowOff>134549</xdr:rowOff>
    </xdr:to>
    <xdr:sp macro="" textlink="">
      <xdr:nvSpPr>
        <xdr:cNvPr id="14" name="Pentagon 13">
          <a:hlinkClick xmlns:r="http://schemas.openxmlformats.org/officeDocument/2006/relationships" r:id="rId6"/>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DESW Appointments</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4295</xdr:colOff>
      <xdr:row>24</xdr:row>
      <xdr:rowOff>101240</xdr:rowOff>
    </xdr:from>
    <xdr:to>
      <xdr:col>9</xdr:col>
      <xdr:colOff>493569</xdr:colOff>
      <xdr:row>26</xdr:row>
      <xdr:rowOff>164522</xdr:rowOff>
    </xdr:to>
    <xdr:pic>
      <xdr:nvPicPr>
        <xdr:cNvPr id="5" name="Picture 4">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2636" y="5322672"/>
          <a:ext cx="489274"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114300</xdr:colOff>
          <xdr:row>9</xdr:row>
          <xdr:rowOff>95250</xdr:rowOff>
        </xdr:from>
        <xdr:to>
          <xdr:col>9</xdr:col>
          <xdr:colOff>495300</xdr:colOff>
          <xdr:row>10</xdr:row>
          <xdr:rowOff>95250</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twoCellAnchor>
    <xdr:from>
      <xdr:col>4</xdr:col>
      <xdr:colOff>95250</xdr:colOff>
      <xdr:row>10</xdr:row>
      <xdr:rowOff>161059</xdr:rowOff>
    </xdr:from>
    <xdr:to>
      <xdr:col>9</xdr:col>
      <xdr:colOff>476250</xdr:colOff>
      <xdr:row>23</xdr:row>
      <xdr:rowOff>133350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25977</xdr:colOff>
      <xdr:row>10</xdr:row>
      <xdr:rowOff>155863</xdr:rowOff>
    </xdr:from>
    <xdr:to>
      <xdr:col>4</xdr:col>
      <xdr:colOff>34636</xdr:colOff>
      <xdr:row>23</xdr:row>
      <xdr:rowOff>129886</xdr:rowOff>
    </xdr:to>
    <xdr:sp macro="" textlink="">
      <xdr:nvSpPr>
        <xdr:cNvPr id="9" name="Rectangle 8"/>
        <xdr:cNvSpPr/>
      </xdr:nvSpPr>
      <xdr:spPr>
        <a:xfrm>
          <a:off x="25977" y="2563090"/>
          <a:ext cx="2277341" cy="2597728"/>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121227</xdr:colOff>
      <xdr:row>1</xdr:row>
      <xdr:rowOff>0</xdr:rowOff>
    </xdr:from>
    <xdr:to>
      <xdr:col>8</xdr:col>
      <xdr:colOff>510886</xdr:colOff>
      <xdr:row>2</xdr:row>
      <xdr:rowOff>133350</xdr:rowOff>
    </xdr:to>
    <xdr:sp macro="" textlink="">
      <xdr:nvSpPr>
        <xdr:cNvPr id="10" name="TextBox 9"/>
        <xdr:cNvSpPr txBox="1"/>
      </xdr:nvSpPr>
      <xdr:spPr>
        <a:xfrm>
          <a:off x="1757795" y="190500"/>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1" name="Picture 10"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424295</xdr:colOff>
      <xdr:row>2</xdr:row>
      <xdr:rowOff>72737</xdr:rowOff>
    </xdr:to>
    <xdr:sp macro="" textlink="">
      <xdr:nvSpPr>
        <xdr:cNvPr id="12" name="TextBox 11"/>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545522</xdr:colOff>
      <xdr:row>3</xdr:row>
      <xdr:rowOff>121228</xdr:rowOff>
    </xdr:from>
    <xdr:to>
      <xdr:col>9</xdr:col>
      <xdr:colOff>493568</xdr:colOff>
      <xdr:row>5</xdr:row>
      <xdr:rowOff>138546</xdr:rowOff>
    </xdr:to>
    <xdr:sp macro="" textlink="">
      <xdr:nvSpPr>
        <xdr:cNvPr id="13" name="Pentagon 12">
          <a:hlinkClick xmlns:r="http://schemas.openxmlformats.org/officeDocument/2006/relationships" r:id="rId5"/>
        </xdr:cNvPr>
        <xdr:cNvSpPr/>
      </xdr:nvSpPr>
      <xdr:spPr>
        <a:xfrm>
          <a:off x="5645727" y="952501"/>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Disability Registers</a:t>
          </a:r>
        </a:p>
      </xdr:txBody>
    </xdr:sp>
    <xdr:clientData/>
  </xdr:twoCellAnchor>
  <xdr:twoCellAnchor>
    <xdr:from>
      <xdr:col>1</xdr:col>
      <xdr:colOff>8659</xdr:colOff>
      <xdr:row>3</xdr:row>
      <xdr:rowOff>123226</xdr:rowOff>
    </xdr:from>
    <xdr:to>
      <xdr:col>2</xdr:col>
      <xdr:colOff>484910</xdr:colOff>
      <xdr:row>5</xdr:row>
      <xdr:rowOff>134550</xdr:rowOff>
    </xdr:to>
    <xdr:sp macro="" textlink="">
      <xdr:nvSpPr>
        <xdr:cNvPr id="14" name="Pentagon 13">
          <a:hlinkClick xmlns:r="http://schemas.openxmlformats.org/officeDocument/2006/relationships" r:id="rId6"/>
        </xdr:cNvPr>
        <xdr:cNvSpPr/>
      </xdr:nvSpPr>
      <xdr:spPr>
        <a:xfrm flipH="1">
          <a:off x="60614" y="954499"/>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Ophthalmic Practitioners</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229430</xdr:colOff>
      <xdr:row>24</xdr:row>
      <xdr:rowOff>101241</xdr:rowOff>
    </xdr:from>
    <xdr:to>
      <xdr:col>9</xdr:col>
      <xdr:colOff>718704</xdr:colOff>
      <xdr:row>26</xdr:row>
      <xdr:rowOff>164523</xdr:rowOff>
    </xdr:to>
    <xdr:pic>
      <xdr:nvPicPr>
        <xdr:cNvPr id="5" name="Picture 4">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2635" y="5417923"/>
          <a:ext cx="489274" cy="444282"/>
        </a:xfrm>
        <a:prstGeom prst="rect">
          <a:avLst/>
        </a:prstGeom>
      </xdr:spPr>
    </xdr:pic>
    <xdr:clientData/>
  </xdr:twoCellAnchor>
  <xdr:twoCellAnchor>
    <xdr:from>
      <xdr:col>3</xdr:col>
      <xdr:colOff>121227</xdr:colOff>
      <xdr:row>1</xdr:row>
      <xdr:rowOff>0</xdr:rowOff>
    </xdr:from>
    <xdr:to>
      <xdr:col>8</xdr:col>
      <xdr:colOff>718704</xdr:colOff>
      <xdr:row>2</xdr:row>
      <xdr:rowOff>95250</xdr:rowOff>
    </xdr:to>
    <xdr:sp macro="" textlink="">
      <xdr:nvSpPr>
        <xdr:cNvPr id="9" name="TextBox 8"/>
        <xdr:cNvSpPr txBox="1"/>
      </xdr:nvSpPr>
      <xdr:spPr>
        <a:xfrm>
          <a:off x="1757795" y="190500"/>
          <a:ext cx="4468091" cy="5455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10</xdr:col>
      <xdr:colOff>0</xdr:colOff>
      <xdr:row>3</xdr:row>
      <xdr:rowOff>51289</xdr:rowOff>
    </xdr:to>
    <xdr:pic>
      <xdr:nvPicPr>
        <xdr:cNvPr id="10" name="Picture 9" descr="P:\statshare\StatsBranding\Images-logos\bann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649431</xdr:colOff>
      <xdr:row>2</xdr:row>
      <xdr:rowOff>72737</xdr:rowOff>
    </xdr:to>
    <xdr:sp macro="" textlink="">
      <xdr:nvSpPr>
        <xdr:cNvPr id="11" name="TextBox 10"/>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138545</xdr:colOff>
      <xdr:row>3</xdr:row>
      <xdr:rowOff>121227</xdr:rowOff>
    </xdr:from>
    <xdr:to>
      <xdr:col>9</xdr:col>
      <xdr:colOff>718704</xdr:colOff>
      <xdr:row>5</xdr:row>
      <xdr:rowOff>138545</xdr:rowOff>
    </xdr:to>
    <xdr:sp macro="" textlink="">
      <xdr:nvSpPr>
        <xdr:cNvPr id="12" name="Pentagon 11">
          <a:hlinkClick xmlns:r="http://schemas.openxmlformats.org/officeDocument/2006/relationships" r:id="rId4"/>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Hearing Aid Waiting Times</a:t>
          </a:r>
        </a:p>
      </xdr:txBody>
    </xdr:sp>
    <xdr:clientData/>
  </xdr:twoCellAnchor>
  <xdr:twoCellAnchor>
    <xdr:from>
      <xdr:col>1</xdr:col>
      <xdr:colOff>8659</xdr:colOff>
      <xdr:row>3</xdr:row>
      <xdr:rowOff>123225</xdr:rowOff>
    </xdr:from>
    <xdr:to>
      <xdr:col>2</xdr:col>
      <xdr:colOff>484910</xdr:colOff>
      <xdr:row>5</xdr:row>
      <xdr:rowOff>134549</xdr:rowOff>
    </xdr:to>
    <xdr:sp macro="" textlink="">
      <xdr:nvSpPr>
        <xdr:cNvPr id="13" name="Pentagon 12">
          <a:hlinkClick xmlns:r="http://schemas.openxmlformats.org/officeDocument/2006/relationships" r:id="rId5"/>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NHS Workforce</a:t>
          </a:r>
          <a:endParaRPr lang="en-GB" sz="1000">
            <a:effectLst/>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4</xdr:col>
          <xdr:colOff>57150</xdr:colOff>
          <xdr:row>25</xdr:row>
          <xdr:rowOff>85725</xdr:rowOff>
        </xdr:from>
        <xdr:to>
          <xdr:col>5</xdr:col>
          <xdr:colOff>66675</xdr:colOff>
          <xdr:row>26</xdr:row>
          <xdr:rowOff>114300</xdr:rowOff>
        </xdr:to>
        <xdr:sp macro="" textlink="">
          <xdr:nvSpPr>
            <xdr:cNvPr id="40971" name="Check Box 11" hidden="1">
              <a:extLst>
                <a:ext uri="{63B3BB69-23CF-44E3-9099-C40C66FF867C}">
                  <a14:compatExt spid="_x0000_s40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Sight impaired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25</xdr:row>
          <xdr:rowOff>95250</xdr:rowOff>
        </xdr:from>
        <xdr:to>
          <xdr:col>6</xdr:col>
          <xdr:colOff>161925</xdr:colOff>
          <xdr:row>26</xdr:row>
          <xdr:rowOff>123825</xdr:rowOff>
        </xdr:to>
        <xdr:sp macro="" textlink="">
          <xdr:nvSpPr>
            <xdr:cNvPr id="40972" name="Check Box 12" hidden="1">
              <a:extLst>
                <a:ext uri="{63B3BB69-23CF-44E3-9099-C40C66FF867C}">
                  <a14:compatExt spid="_x0000_s409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Hearing impaired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8660</xdr:colOff>
          <xdr:row>8</xdr:row>
          <xdr:rowOff>190500</xdr:rowOff>
        </xdr:from>
        <xdr:to>
          <xdr:col>7</xdr:col>
          <xdr:colOff>95251</xdr:colOff>
          <xdr:row>24</xdr:row>
          <xdr:rowOff>177511</xdr:rowOff>
        </xdr:to>
        <xdr:pic>
          <xdr:nvPicPr>
            <xdr:cNvPr id="15" name="Picture 14"/>
            <xdr:cNvPicPr>
              <a:picLocks noChangeAspect="1" noChangeArrowheads="1"/>
              <a:extLst>
                <a:ext uri="{84589F7E-364E-4C9E-8A38-B11213B215E9}">
                  <a14:cameraTool cellRange="SecondSelect" spid="_x0000_s41378"/>
                </a:ext>
              </a:extLst>
            </xdr:cNvPicPr>
          </xdr:nvPicPr>
          <xdr:blipFill>
            <a:blip xmlns:r="http://schemas.openxmlformats.org/officeDocument/2006/relationships" r:embed="rId6"/>
            <a:srcRect/>
            <a:stretch>
              <a:fillRect/>
            </a:stretch>
          </xdr:blipFill>
          <xdr:spPr bwMode="auto">
            <a:xfrm>
              <a:off x="60615" y="2208068"/>
              <a:ext cx="4667250" cy="31908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62800"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28825" y="95251"/>
          <a:ext cx="4095750"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9</xdr:col>
      <xdr:colOff>90875</xdr:colOff>
      <xdr:row>24</xdr:row>
      <xdr:rowOff>50286</xdr:rowOff>
    </xdr:from>
    <xdr:to>
      <xdr:col>9</xdr:col>
      <xdr:colOff>90875</xdr:colOff>
      <xdr:row>26</xdr:row>
      <xdr:rowOff>113568</xdr:rowOff>
    </xdr:to>
    <xdr:pic>
      <xdr:nvPicPr>
        <xdr:cNvPr id="5" name="Picture 4">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539300" y="5365236"/>
          <a:ext cx="489274" cy="444282"/>
        </a:xfrm>
        <a:prstGeom prst="rect">
          <a:avLst/>
        </a:prstGeom>
      </xdr:spPr>
    </xdr:pic>
    <xdr:clientData/>
  </xdr:twoCellAnchor>
  <xdr:twoCellAnchor>
    <xdr:from>
      <xdr:col>4</xdr:col>
      <xdr:colOff>117762</xdr:colOff>
      <xdr:row>9</xdr:row>
      <xdr:rowOff>50223</xdr:rowOff>
    </xdr:from>
    <xdr:to>
      <xdr:col>9</xdr:col>
      <xdr:colOff>450273</xdr:colOff>
      <xdr:row>24</xdr:row>
      <xdr:rowOff>17318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4294</xdr:colOff>
      <xdr:row>24</xdr:row>
      <xdr:rowOff>101240</xdr:rowOff>
    </xdr:from>
    <xdr:to>
      <xdr:col>9</xdr:col>
      <xdr:colOff>493568</xdr:colOff>
      <xdr:row>26</xdr:row>
      <xdr:rowOff>164522</xdr:rowOff>
    </xdr:to>
    <xdr:pic>
      <xdr:nvPicPr>
        <xdr:cNvPr id="10" name="Picture 9">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472635" y="5322672"/>
          <a:ext cx="489274" cy="444282"/>
        </a:xfrm>
        <a:prstGeom prst="rect">
          <a:avLst/>
        </a:prstGeom>
      </xdr:spPr>
    </xdr:pic>
    <xdr:clientData/>
  </xdr:twoCellAnchor>
  <xdr:twoCellAnchor>
    <xdr:from>
      <xdr:col>3</xdr:col>
      <xdr:colOff>164522</xdr:colOff>
      <xdr:row>1</xdr:row>
      <xdr:rowOff>34637</xdr:rowOff>
    </xdr:from>
    <xdr:to>
      <xdr:col>8</xdr:col>
      <xdr:colOff>554181</xdr:colOff>
      <xdr:row>2</xdr:row>
      <xdr:rowOff>167987</xdr:rowOff>
    </xdr:to>
    <xdr:sp macro="" textlink="">
      <xdr:nvSpPr>
        <xdr:cNvPr id="11" name="TextBox 10"/>
        <xdr:cNvSpPr txBox="1"/>
      </xdr:nvSpPr>
      <xdr:spPr>
        <a:xfrm>
          <a:off x="1801090" y="22513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34637</xdr:colOff>
      <xdr:row>14</xdr:row>
      <xdr:rowOff>147206</xdr:rowOff>
    </xdr:from>
    <xdr:to>
      <xdr:col>4</xdr:col>
      <xdr:colOff>51955</xdr:colOff>
      <xdr:row>26</xdr:row>
      <xdr:rowOff>32473</xdr:rowOff>
    </xdr:to>
    <xdr:sp macro="" textlink="">
      <xdr:nvSpPr>
        <xdr:cNvPr id="9" name="Rectangle 8"/>
        <xdr:cNvSpPr/>
      </xdr:nvSpPr>
      <xdr:spPr>
        <a:xfrm>
          <a:off x="34637" y="3333751"/>
          <a:ext cx="2286000" cy="2301154"/>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10</xdr:col>
      <xdr:colOff>0</xdr:colOff>
      <xdr:row>3</xdr:row>
      <xdr:rowOff>51289</xdr:rowOff>
    </xdr:to>
    <xdr:pic>
      <xdr:nvPicPr>
        <xdr:cNvPr id="12" name="Picture 11" descr="P:\statshare\StatsBranding\Images-logos\banner.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424295</xdr:colOff>
      <xdr:row>2</xdr:row>
      <xdr:rowOff>72737</xdr:rowOff>
    </xdr:to>
    <xdr:sp macro="" textlink="">
      <xdr:nvSpPr>
        <xdr:cNvPr id="13" name="TextBox 12"/>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545522</xdr:colOff>
      <xdr:row>3</xdr:row>
      <xdr:rowOff>121227</xdr:rowOff>
    </xdr:from>
    <xdr:to>
      <xdr:col>9</xdr:col>
      <xdr:colOff>493568</xdr:colOff>
      <xdr:row>5</xdr:row>
      <xdr:rowOff>138545</xdr:rowOff>
    </xdr:to>
    <xdr:sp macro="" textlink="">
      <xdr:nvSpPr>
        <xdr:cNvPr id="14" name="Pentagon 13">
          <a:hlinkClick xmlns:r="http://schemas.openxmlformats.org/officeDocument/2006/relationships" r:id="rId6"/>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Opthalmology Waiting Times</a:t>
          </a:r>
        </a:p>
      </xdr:txBody>
    </xdr:sp>
    <xdr:clientData/>
  </xdr:twoCellAnchor>
  <xdr:twoCellAnchor>
    <xdr:from>
      <xdr:col>1</xdr:col>
      <xdr:colOff>8659</xdr:colOff>
      <xdr:row>3</xdr:row>
      <xdr:rowOff>123225</xdr:rowOff>
    </xdr:from>
    <xdr:to>
      <xdr:col>2</xdr:col>
      <xdr:colOff>484910</xdr:colOff>
      <xdr:row>5</xdr:row>
      <xdr:rowOff>134549</xdr:rowOff>
    </xdr:to>
    <xdr:sp macro="" textlink="">
      <xdr:nvSpPr>
        <xdr:cNvPr id="15" name="Pentagon 14">
          <a:hlinkClick xmlns:r="http://schemas.openxmlformats.org/officeDocument/2006/relationships" r:id="rId7"/>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Disability Registers</a:t>
          </a:r>
          <a:endParaRPr lang="en-GB" sz="1000">
            <a:effectLst/>
            <a:latin typeface="Arial" panose="020B0604020202020204" pitchFamily="34" charset="0"/>
            <a:cs typeface="Arial" panose="020B0604020202020204" pitchFamily="34" charset="0"/>
          </a:endParaRPr>
        </a:p>
      </xdr:txBody>
    </xdr:sp>
    <xdr:clientData/>
  </xdr:twoCellAnchor>
  <xdr:twoCellAnchor>
    <xdr:from>
      <xdr:col>0</xdr:col>
      <xdr:colOff>11651</xdr:colOff>
      <xdr:row>5</xdr:row>
      <xdr:rowOff>415634</xdr:rowOff>
    </xdr:from>
    <xdr:to>
      <xdr:col>3</xdr:col>
      <xdr:colOff>34637</xdr:colOff>
      <xdr:row>13</xdr:row>
      <xdr:rowOff>161426</xdr:rowOff>
    </xdr:to>
    <xdr:grpSp>
      <xdr:nvGrpSpPr>
        <xdr:cNvPr id="22" name="Group 21"/>
        <xdr:cNvGrpSpPr/>
      </xdr:nvGrpSpPr>
      <xdr:grpSpPr>
        <a:xfrm>
          <a:off x="11651" y="1695794"/>
          <a:ext cx="1615566" cy="1437432"/>
          <a:chOff x="11651" y="1705839"/>
          <a:chExt cx="1659554" cy="1442973"/>
        </a:xfrm>
      </xdr:grpSpPr>
      <xdr:sp macro="" textlink="'Lookup data'!$G$87">
        <xdr:nvSpPr>
          <xdr:cNvPr id="4" name="TextBox 3"/>
          <xdr:cNvSpPr txBox="1"/>
        </xdr:nvSpPr>
        <xdr:spPr>
          <a:xfrm rot="1183195">
            <a:off x="84947" y="1705839"/>
            <a:ext cx="415636" cy="216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fld id="{95914033-C433-49E6-9043-FEF7BA94BFA0}" type="TxLink">
              <a:rPr lang="en-US" sz="1000" b="0" i="0" u="none" strike="noStrike">
                <a:solidFill>
                  <a:srgbClr val="002060"/>
                </a:solidFill>
                <a:latin typeface="Arial"/>
                <a:cs typeface="Arial"/>
              </a:rPr>
              <a:pPr algn="r"/>
              <a:t>390</a:t>
            </a:fld>
            <a:endParaRPr lang="en-GB" sz="1400">
              <a:solidFill>
                <a:srgbClr val="002060"/>
              </a:solidFill>
            </a:endParaRPr>
          </a:p>
        </xdr:txBody>
      </xdr:sp>
      <xdr:sp macro="" textlink="">
        <xdr:nvSpPr>
          <xdr:cNvPr id="19" name="TextBox 18"/>
          <xdr:cNvSpPr txBox="1"/>
        </xdr:nvSpPr>
        <xdr:spPr>
          <a:xfrm rot="1210345">
            <a:off x="326209" y="1888019"/>
            <a:ext cx="877903" cy="216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rgbClr val="002060"/>
                </a:solidFill>
                <a:latin typeface="Arial"/>
                <a:cs typeface="Arial"/>
              </a:rPr>
              <a:t>people had</a:t>
            </a:r>
          </a:p>
        </xdr:txBody>
      </xdr:sp>
      <xdr:sp macro="" textlink="">
        <xdr:nvSpPr>
          <xdr:cNvPr id="6" name="TextBox 5"/>
          <xdr:cNvSpPr txBox="1"/>
        </xdr:nvSpPr>
        <xdr:spPr>
          <a:xfrm rot="494125">
            <a:off x="97688" y="2105234"/>
            <a:ext cx="974678" cy="225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rgbClr val="002060"/>
                </a:solidFill>
                <a:latin typeface="Arial" panose="020B0604020202020204" pitchFamily="34" charset="0"/>
                <a:cs typeface="Arial" panose="020B0604020202020204" pitchFamily="34" charset="0"/>
              </a:rPr>
              <a:t>been waiting</a:t>
            </a:r>
          </a:p>
        </xdr:txBody>
      </xdr:sp>
      <xdr:sp macro="" textlink="">
        <xdr:nvSpPr>
          <xdr:cNvPr id="8" name="TextBox 7"/>
          <xdr:cNvSpPr txBox="1"/>
        </xdr:nvSpPr>
        <xdr:spPr>
          <a:xfrm rot="21374742">
            <a:off x="48266" y="2381340"/>
            <a:ext cx="953509" cy="1831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2060"/>
                </a:solidFill>
                <a:latin typeface="Arial" panose="020B0604020202020204" pitchFamily="34" charset="0"/>
                <a:cs typeface="Arial" panose="020B0604020202020204" pitchFamily="34" charset="0"/>
              </a:rPr>
              <a:t>for more than</a:t>
            </a:r>
          </a:p>
        </xdr:txBody>
      </xdr:sp>
      <xdr:sp macro="" textlink="">
        <xdr:nvSpPr>
          <xdr:cNvPr id="20" name="TextBox 19"/>
          <xdr:cNvSpPr txBox="1"/>
        </xdr:nvSpPr>
        <xdr:spPr>
          <a:xfrm rot="20843448">
            <a:off x="11651" y="2624827"/>
            <a:ext cx="1049949" cy="222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2060"/>
                </a:solidFill>
                <a:latin typeface="Arial" panose="020B0604020202020204" pitchFamily="34" charset="0"/>
                <a:cs typeface="Arial" panose="020B0604020202020204" pitchFamily="34" charset="0"/>
              </a:rPr>
              <a:t>14 weeks as of</a:t>
            </a:r>
          </a:p>
        </xdr:txBody>
      </xdr:sp>
      <xdr:pic>
        <xdr:nvPicPr>
          <xdr:cNvPr id="17"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82387" y="1993114"/>
            <a:ext cx="588818" cy="918523"/>
          </a:xfrm>
          <a:prstGeom prst="rect">
            <a:avLst/>
          </a:prstGeom>
        </xdr:spPr>
      </xdr:pic>
      <xdr:sp macro="" textlink="">
        <xdr:nvSpPr>
          <xdr:cNvPr id="21" name="TextBox 20"/>
          <xdr:cNvSpPr txBox="1"/>
        </xdr:nvSpPr>
        <xdr:spPr>
          <a:xfrm rot="20294678">
            <a:off x="101631" y="2902232"/>
            <a:ext cx="1080781" cy="246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2060"/>
                </a:solidFill>
                <a:latin typeface="Arial" panose="020B0604020202020204" pitchFamily="34" charset="0"/>
                <a:cs typeface="Arial" panose="020B0604020202020204" pitchFamily="34" charset="0"/>
              </a:rPr>
              <a:t>31 March 2016</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4295</xdr:colOff>
      <xdr:row>23</xdr:row>
      <xdr:rowOff>144536</xdr:rowOff>
    </xdr:from>
    <xdr:to>
      <xdr:col>9</xdr:col>
      <xdr:colOff>493569</xdr:colOff>
      <xdr:row>26</xdr:row>
      <xdr:rowOff>129886</xdr:rowOff>
    </xdr:to>
    <xdr:pic>
      <xdr:nvPicPr>
        <xdr:cNvPr id="9" name="Picture 8">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2636" y="5365968"/>
          <a:ext cx="489274" cy="444282"/>
        </a:xfrm>
        <a:prstGeom prst="rect">
          <a:avLst/>
        </a:prstGeom>
      </xdr:spPr>
    </xdr:pic>
    <xdr:clientData/>
  </xdr:twoCellAnchor>
  <xdr:twoCellAnchor editAs="oneCell">
    <xdr:from>
      <xdr:col>0</xdr:col>
      <xdr:colOff>0</xdr:colOff>
      <xdr:row>0</xdr:row>
      <xdr:rowOff>0</xdr:rowOff>
    </xdr:from>
    <xdr:to>
      <xdr:col>0</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0"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28825" y="95251"/>
          <a:ext cx="4095750"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9</xdr:col>
      <xdr:colOff>90875</xdr:colOff>
      <xdr:row>24</xdr:row>
      <xdr:rowOff>50286</xdr:rowOff>
    </xdr:from>
    <xdr:to>
      <xdr:col>9</xdr:col>
      <xdr:colOff>90875</xdr:colOff>
      <xdr:row>1048576</xdr:row>
      <xdr:rowOff>70272</xdr:rowOff>
    </xdr:to>
    <xdr:pic>
      <xdr:nvPicPr>
        <xdr:cNvPr id="5" name="Picture 4">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539300" y="5365236"/>
          <a:ext cx="0" cy="444282"/>
        </a:xfrm>
        <a:prstGeom prst="rect">
          <a:avLst/>
        </a:prstGeom>
      </xdr:spPr>
    </xdr:pic>
    <xdr:clientData/>
  </xdr:twoCellAnchor>
  <xdr:twoCellAnchor>
    <xdr:from>
      <xdr:col>1</xdr:col>
      <xdr:colOff>57147</xdr:colOff>
      <xdr:row>10</xdr:row>
      <xdr:rowOff>155864</xdr:rowOff>
    </xdr:from>
    <xdr:to>
      <xdr:col>6</xdr:col>
      <xdr:colOff>813953</xdr:colOff>
      <xdr:row>23</xdr:row>
      <xdr:rowOff>164523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164522</xdr:colOff>
      <xdr:row>1</xdr:row>
      <xdr:rowOff>34637</xdr:rowOff>
    </xdr:from>
    <xdr:to>
      <xdr:col>8</xdr:col>
      <xdr:colOff>554181</xdr:colOff>
      <xdr:row>2</xdr:row>
      <xdr:rowOff>167987</xdr:rowOff>
    </xdr:to>
    <xdr:sp macro="" textlink="">
      <xdr:nvSpPr>
        <xdr:cNvPr id="10" name="TextBox 9"/>
        <xdr:cNvSpPr txBox="1"/>
      </xdr:nvSpPr>
      <xdr:spPr>
        <a:xfrm>
          <a:off x="1793297" y="225137"/>
          <a:ext cx="4475884"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9</xdr:row>
          <xdr:rowOff>76200</xdr:rowOff>
        </xdr:from>
        <xdr:to>
          <xdr:col>7</xdr:col>
          <xdr:colOff>247650</xdr:colOff>
          <xdr:row>10</xdr:row>
          <xdr:rowOff>95250</xdr:rowOff>
        </xdr:to>
        <xdr:sp macro="" textlink="">
          <xdr:nvSpPr>
            <xdr:cNvPr id="62465" name="Drop Down 1" hidden="1">
              <a:extLst>
                <a:ext uri="{63B3BB69-23CF-44E3-9099-C40C66FF867C}">
                  <a14:compatExt spid="_x0000_s62465"/>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11</xdr:col>
      <xdr:colOff>0</xdr:colOff>
      <xdr:row>3</xdr:row>
      <xdr:rowOff>51289</xdr:rowOff>
    </xdr:to>
    <xdr:pic>
      <xdr:nvPicPr>
        <xdr:cNvPr id="12" name="Picture 11" descr="P:\statshare\StatsBranding\Images-logos\banner.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34636</xdr:colOff>
      <xdr:row>0</xdr:row>
      <xdr:rowOff>129887</xdr:rowOff>
    </xdr:from>
    <xdr:to>
      <xdr:col>8</xdr:col>
      <xdr:colOff>424295</xdr:colOff>
      <xdr:row>2</xdr:row>
      <xdr:rowOff>72737</xdr:rowOff>
    </xdr:to>
    <xdr:sp macro="" textlink="">
      <xdr:nvSpPr>
        <xdr:cNvPr id="13" name="TextBox 12"/>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545522</xdr:colOff>
      <xdr:row>3</xdr:row>
      <xdr:rowOff>121227</xdr:rowOff>
    </xdr:from>
    <xdr:to>
      <xdr:col>9</xdr:col>
      <xdr:colOff>493568</xdr:colOff>
      <xdr:row>5</xdr:row>
      <xdr:rowOff>138545</xdr:rowOff>
    </xdr:to>
    <xdr:sp macro="" textlink="">
      <xdr:nvSpPr>
        <xdr:cNvPr id="14" name="Pentagon 13">
          <a:hlinkClick xmlns:r="http://schemas.openxmlformats.org/officeDocument/2006/relationships" r:id="rId6"/>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Hospital Admissions</a:t>
          </a:r>
        </a:p>
      </xdr:txBody>
    </xdr:sp>
    <xdr:clientData/>
  </xdr:twoCellAnchor>
  <xdr:twoCellAnchor>
    <xdr:from>
      <xdr:col>1</xdr:col>
      <xdr:colOff>8659</xdr:colOff>
      <xdr:row>3</xdr:row>
      <xdr:rowOff>123225</xdr:rowOff>
    </xdr:from>
    <xdr:to>
      <xdr:col>2</xdr:col>
      <xdr:colOff>484910</xdr:colOff>
      <xdr:row>5</xdr:row>
      <xdr:rowOff>134549</xdr:rowOff>
    </xdr:to>
    <xdr:sp macro="" textlink="">
      <xdr:nvSpPr>
        <xdr:cNvPr id="15" name="Pentagon 14">
          <a:hlinkClick xmlns:r="http://schemas.openxmlformats.org/officeDocument/2006/relationships" r:id="rId7"/>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Hearing Aid Waiting Times</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103044</xdr:colOff>
          <xdr:row>10</xdr:row>
          <xdr:rowOff>142009</xdr:rowOff>
        </xdr:from>
        <xdr:to>
          <xdr:col>9</xdr:col>
          <xdr:colOff>475385</xdr:colOff>
          <xdr:row>24</xdr:row>
          <xdr:rowOff>7793</xdr:rowOff>
        </xdr:to>
        <xdr:pic>
          <xdr:nvPicPr>
            <xdr:cNvPr id="19" name="Picture 18"/>
            <xdr:cNvPicPr>
              <a:picLocks noChangeAspect="1" noChangeArrowheads="1"/>
              <a:extLst>
                <a:ext uri="{84589F7E-364E-4C9E-8A38-B11213B215E9}">
                  <a14:cameraTool cellRange="Select14" spid="_x0000_s43421"/>
                </a:ext>
              </a:extLst>
            </xdr:cNvPicPr>
          </xdr:nvPicPr>
          <xdr:blipFill>
            <a:blip xmlns:r="http://schemas.openxmlformats.org/officeDocument/2006/relationships" r:embed="rId1"/>
            <a:srcRect/>
            <a:stretch>
              <a:fillRect/>
            </a:stretch>
          </xdr:blipFill>
          <xdr:spPr bwMode="auto">
            <a:xfrm>
              <a:off x="2423680" y="2549236"/>
              <a:ext cx="4572000" cy="27146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0</xdr:row>
      <xdr:rowOff>0</xdr:rowOff>
    </xdr:from>
    <xdr:to>
      <xdr:col>0</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162800" cy="879964"/>
        </a:xfrm>
        <a:prstGeom prst="rect">
          <a:avLst/>
        </a:prstGeom>
        <a:noFill/>
        <a:ln>
          <a:noFill/>
        </a:ln>
      </xdr:spPr>
    </xdr:pic>
    <xdr:clientData/>
  </xdr:twoCellAnchor>
  <xdr:twoCellAnchor>
    <xdr:from>
      <xdr:col>3</xdr:col>
      <xdr:colOff>400050</xdr:colOff>
      <xdr:row>0</xdr:row>
      <xdr:rowOff>95251</xdr:rowOff>
    </xdr:from>
    <xdr:to>
      <xdr:col>8</xdr:col>
      <xdr:colOff>409575</xdr:colOff>
      <xdr:row>2</xdr:row>
      <xdr:rowOff>133350</xdr:rowOff>
    </xdr:to>
    <xdr:sp macro="" textlink="">
      <xdr:nvSpPr>
        <xdr:cNvPr id="3" name="TextBox 2"/>
        <xdr:cNvSpPr txBox="1"/>
      </xdr:nvSpPr>
      <xdr:spPr>
        <a:xfrm>
          <a:off x="2028825" y="95251"/>
          <a:ext cx="4095750" cy="676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a:solidFill>
                <a:schemeClr val="bg1"/>
              </a:solidFill>
            </a:rPr>
            <a:t>Eye Care</a:t>
          </a:r>
          <a:r>
            <a:rPr lang="en-GB" sz="3200" baseline="0">
              <a:solidFill>
                <a:schemeClr val="bg1"/>
              </a:solidFill>
            </a:rPr>
            <a:t> Dashboard</a:t>
          </a:r>
          <a:endParaRPr lang="en-GB" sz="3200">
            <a:solidFill>
              <a:schemeClr val="bg1"/>
            </a:solidFill>
          </a:endParaRPr>
        </a:p>
      </xdr:txBody>
    </xdr:sp>
    <xdr:clientData/>
  </xdr:twoCellAnchor>
  <xdr:twoCellAnchor editAs="oneCell">
    <xdr:from>
      <xdr:col>9</xdr:col>
      <xdr:colOff>90875</xdr:colOff>
      <xdr:row>24</xdr:row>
      <xdr:rowOff>50286</xdr:rowOff>
    </xdr:from>
    <xdr:to>
      <xdr:col>9</xdr:col>
      <xdr:colOff>90875</xdr:colOff>
      <xdr:row>26</xdr:row>
      <xdr:rowOff>104909</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539300" y="5365236"/>
          <a:ext cx="489274"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133350</xdr:colOff>
          <xdr:row>9</xdr:row>
          <xdr:rowOff>76200</xdr:rowOff>
        </xdr:from>
        <xdr:to>
          <xdr:col>11</xdr:col>
          <xdr:colOff>0</xdr:colOff>
          <xdr:row>10</xdr:row>
          <xdr:rowOff>133350</xdr:rowOff>
        </xdr:to>
        <xdr:sp macro="" textlink="">
          <xdr:nvSpPr>
            <xdr:cNvPr id="43009" name="Drop Down 1" hidden="1">
              <a:extLst>
                <a:ext uri="{63B3BB69-23CF-44E3-9099-C40C66FF867C}">
                  <a14:compatExt spid="_x0000_s43009"/>
                </a:ext>
              </a:extLst>
            </xdr:cNvPr>
            <xdr:cNvSpPr/>
          </xdr:nvSpPr>
          <xdr:spPr>
            <a:xfrm>
              <a:off x="0" y="0"/>
              <a:ext cx="0" cy="0"/>
            </a:xfrm>
            <a:prstGeom prst="rect">
              <a:avLst/>
            </a:prstGeom>
          </xdr:spPr>
        </xdr:sp>
        <xdr:clientData/>
      </xdr:twoCellAnchor>
    </mc:Choice>
    <mc:Fallback/>
  </mc:AlternateContent>
  <xdr:twoCellAnchor>
    <xdr:from>
      <xdr:col>0</xdr:col>
      <xdr:colOff>86591</xdr:colOff>
      <xdr:row>9</xdr:row>
      <xdr:rowOff>147204</xdr:rowOff>
    </xdr:from>
    <xdr:to>
      <xdr:col>4</xdr:col>
      <xdr:colOff>43297</xdr:colOff>
      <xdr:row>22</xdr:row>
      <xdr:rowOff>114300</xdr:rowOff>
    </xdr:to>
    <xdr:sp macro="" textlink="">
      <xdr:nvSpPr>
        <xdr:cNvPr id="11" name="Rectangle 10"/>
        <xdr:cNvSpPr/>
      </xdr:nvSpPr>
      <xdr:spPr>
        <a:xfrm>
          <a:off x="86591" y="2363931"/>
          <a:ext cx="2277342" cy="2625437"/>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3</xdr:col>
      <xdr:colOff>207818</xdr:colOff>
      <xdr:row>1</xdr:row>
      <xdr:rowOff>8660</xdr:rowOff>
    </xdr:from>
    <xdr:to>
      <xdr:col>8</xdr:col>
      <xdr:colOff>493568</xdr:colOff>
      <xdr:row>2</xdr:row>
      <xdr:rowOff>142010</xdr:rowOff>
    </xdr:to>
    <xdr:sp macro="" textlink="">
      <xdr:nvSpPr>
        <xdr:cNvPr id="14" name="TextBox 13"/>
        <xdr:cNvSpPr txBox="1"/>
      </xdr:nvSpPr>
      <xdr:spPr>
        <a:xfrm>
          <a:off x="1792432" y="199160"/>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5" name="Picture 14" descr="P:\statshare\StatsBranding\Images-logos\banner.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86590</xdr:colOff>
      <xdr:row>0</xdr:row>
      <xdr:rowOff>129887</xdr:rowOff>
    </xdr:from>
    <xdr:to>
      <xdr:col>8</xdr:col>
      <xdr:colOff>372340</xdr:colOff>
      <xdr:row>2</xdr:row>
      <xdr:rowOff>72737</xdr:rowOff>
    </xdr:to>
    <xdr:sp macro="" textlink="">
      <xdr:nvSpPr>
        <xdr:cNvPr id="16" name="TextBox 15"/>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493568</xdr:colOff>
      <xdr:row>3</xdr:row>
      <xdr:rowOff>121227</xdr:rowOff>
    </xdr:from>
    <xdr:to>
      <xdr:col>9</xdr:col>
      <xdr:colOff>441614</xdr:colOff>
      <xdr:row>5</xdr:row>
      <xdr:rowOff>138545</xdr:rowOff>
    </xdr:to>
    <xdr:sp macro="" textlink="">
      <xdr:nvSpPr>
        <xdr:cNvPr id="17" name="Pentagon 16">
          <a:hlinkClick xmlns:r="http://schemas.openxmlformats.org/officeDocument/2006/relationships" r:id="rId6"/>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Summary</a:t>
          </a:r>
        </a:p>
      </xdr:txBody>
    </xdr:sp>
    <xdr:clientData/>
  </xdr:twoCellAnchor>
  <xdr:twoCellAnchor>
    <xdr:from>
      <xdr:col>0</xdr:col>
      <xdr:colOff>60614</xdr:colOff>
      <xdr:row>3</xdr:row>
      <xdr:rowOff>123225</xdr:rowOff>
    </xdr:from>
    <xdr:to>
      <xdr:col>2</xdr:col>
      <xdr:colOff>536864</xdr:colOff>
      <xdr:row>5</xdr:row>
      <xdr:rowOff>134549</xdr:rowOff>
    </xdr:to>
    <xdr:sp macro="" textlink="">
      <xdr:nvSpPr>
        <xdr:cNvPr id="18" name="Pentagon 17">
          <a:hlinkClick xmlns:r="http://schemas.openxmlformats.org/officeDocument/2006/relationships" r:id="rId7"/>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Ophthalmology Waiting Times</a:t>
          </a:r>
          <a:endParaRPr lang="en-GB" sz="1000">
            <a:effectLst/>
            <a:latin typeface="Arial" panose="020B0604020202020204" pitchFamily="34" charset="0"/>
            <a:cs typeface="Arial" panose="020B0604020202020204" pitchFamily="34" charset="0"/>
          </a:endParaRPr>
        </a:p>
      </xdr:txBody>
    </xdr:sp>
    <xdr:clientData/>
  </xdr:twoCellAnchor>
  <xdr:twoCellAnchor editAs="oneCell">
    <xdr:from>
      <xdr:col>8</xdr:col>
      <xdr:colOff>688362</xdr:colOff>
      <xdr:row>24</xdr:row>
      <xdr:rowOff>66605</xdr:rowOff>
    </xdr:from>
    <xdr:to>
      <xdr:col>9</xdr:col>
      <xdr:colOff>441614</xdr:colOff>
      <xdr:row>26</xdr:row>
      <xdr:rowOff>121228</xdr:rowOff>
    </xdr:to>
    <xdr:pic>
      <xdr:nvPicPr>
        <xdr:cNvPr id="13" name="Picture 12">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472635" y="5322673"/>
          <a:ext cx="489274" cy="44428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xdr:row>
      <xdr:rowOff>51289</xdr:rowOff>
    </xdr:to>
    <xdr:pic>
      <xdr:nvPicPr>
        <xdr:cNvPr id="107" name="Picture 106"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3</xdr:col>
      <xdr:colOff>112568</xdr:colOff>
      <xdr:row>0</xdr:row>
      <xdr:rowOff>129887</xdr:rowOff>
    </xdr:from>
    <xdr:to>
      <xdr:col>10</xdr:col>
      <xdr:colOff>692727</xdr:colOff>
      <xdr:row>2</xdr:row>
      <xdr:rowOff>72737</xdr:rowOff>
    </xdr:to>
    <xdr:sp macro="" textlink="">
      <xdr:nvSpPr>
        <xdr:cNvPr id="108" name="TextBox 107"/>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181840</xdr:colOff>
      <xdr:row>3</xdr:row>
      <xdr:rowOff>121227</xdr:rowOff>
    </xdr:from>
    <xdr:to>
      <xdr:col>12</xdr:col>
      <xdr:colOff>17317</xdr:colOff>
      <xdr:row>5</xdr:row>
      <xdr:rowOff>216477</xdr:rowOff>
    </xdr:to>
    <xdr:sp macro="" textlink="">
      <xdr:nvSpPr>
        <xdr:cNvPr id="115" name="Pentagon 114">
          <a:hlinkClick xmlns:r="http://schemas.openxmlformats.org/officeDocument/2006/relationships" r:id="rId2"/>
        </xdr:cNvPr>
        <xdr:cNvSpPr/>
      </xdr:nvSpPr>
      <xdr:spPr>
        <a:xfrm>
          <a:off x="5645726"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Comparisons</a:t>
          </a:r>
        </a:p>
      </xdr:txBody>
    </xdr:sp>
    <xdr:clientData/>
  </xdr:twoCellAnchor>
  <xdr:twoCellAnchor>
    <xdr:from>
      <xdr:col>0</xdr:col>
      <xdr:colOff>60612</xdr:colOff>
      <xdr:row>3</xdr:row>
      <xdr:rowOff>123225</xdr:rowOff>
    </xdr:from>
    <xdr:to>
      <xdr:col>2</xdr:col>
      <xdr:colOff>554180</xdr:colOff>
      <xdr:row>5</xdr:row>
      <xdr:rowOff>216477</xdr:rowOff>
    </xdr:to>
    <xdr:sp macro="" textlink="">
      <xdr:nvSpPr>
        <xdr:cNvPr id="116" name="Pentagon 115">
          <a:hlinkClick xmlns:r="http://schemas.openxmlformats.org/officeDocument/2006/relationships" r:id="rId3"/>
        </xdr:cNvPr>
        <xdr:cNvSpPr/>
      </xdr:nvSpPr>
      <xdr:spPr>
        <a:xfrm flipH="1">
          <a:off x="60612" y="954498"/>
          <a:ext cx="1324841" cy="474252"/>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Hospital Admissions</a:t>
          </a:r>
          <a:endParaRPr lang="en-GB" sz="1000">
            <a:effectLst/>
            <a:latin typeface="Arial" panose="020B0604020202020204" pitchFamily="34" charset="0"/>
            <a:cs typeface="Arial" panose="020B0604020202020204" pitchFamily="34" charset="0"/>
          </a:endParaRPr>
        </a:p>
      </xdr:txBody>
    </xdr:sp>
    <xdr:clientData/>
  </xdr:twoCellAnchor>
  <xdr:twoCellAnchor editAs="oneCell">
    <xdr:from>
      <xdr:col>11</xdr:col>
      <xdr:colOff>281385</xdr:colOff>
      <xdr:row>26</xdr:row>
      <xdr:rowOff>109899</xdr:rowOff>
    </xdr:from>
    <xdr:to>
      <xdr:col>12</xdr:col>
      <xdr:colOff>17318</xdr:colOff>
      <xdr:row>28</xdr:row>
      <xdr:rowOff>173181</xdr:rowOff>
    </xdr:to>
    <xdr:pic>
      <xdr:nvPicPr>
        <xdr:cNvPr id="8" name="Picture 7">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72635" y="5322672"/>
          <a:ext cx="489274" cy="44428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xdr:row>
      <xdr:rowOff>51289</xdr:rowOff>
    </xdr:to>
    <xdr:pic>
      <xdr:nvPicPr>
        <xdr:cNvPr id="2" name="Picture 1"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00875" cy="879964"/>
        </a:xfrm>
        <a:prstGeom prst="rect">
          <a:avLst/>
        </a:prstGeom>
        <a:noFill/>
        <a:ln>
          <a:noFill/>
        </a:ln>
      </xdr:spPr>
    </xdr:pic>
    <xdr:clientData/>
  </xdr:twoCellAnchor>
  <xdr:twoCellAnchor>
    <xdr:from>
      <xdr:col>3</xdr:col>
      <xdr:colOff>112568</xdr:colOff>
      <xdr:row>0</xdr:row>
      <xdr:rowOff>129887</xdr:rowOff>
    </xdr:from>
    <xdr:to>
      <xdr:col>10</xdr:col>
      <xdr:colOff>692727</xdr:colOff>
      <xdr:row>2</xdr:row>
      <xdr:rowOff>72737</xdr:rowOff>
    </xdr:to>
    <xdr:sp macro="" textlink="">
      <xdr:nvSpPr>
        <xdr:cNvPr id="3" name="TextBox 2"/>
        <xdr:cNvSpPr txBox="1"/>
      </xdr:nvSpPr>
      <xdr:spPr>
        <a:xfrm>
          <a:off x="1665143" y="129887"/>
          <a:ext cx="4475884"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10</xdr:col>
      <xdr:colOff>181840</xdr:colOff>
      <xdr:row>3</xdr:row>
      <xdr:rowOff>121227</xdr:rowOff>
    </xdr:from>
    <xdr:to>
      <xdr:col>12</xdr:col>
      <xdr:colOff>17317</xdr:colOff>
      <xdr:row>5</xdr:row>
      <xdr:rowOff>216477</xdr:rowOff>
    </xdr:to>
    <xdr:sp macro="" textlink="">
      <xdr:nvSpPr>
        <xdr:cNvPr id="4" name="Pentagon 3">
          <a:hlinkClick xmlns:r="http://schemas.openxmlformats.org/officeDocument/2006/relationships" r:id="rId2"/>
        </xdr:cNvPr>
        <xdr:cNvSpPr/>
      </xdr:nvSpPr>
      <xdr:spPr>
        <a:xfrm>
          <a:off x="5630140" y="949902"/>
          <a:ext cx="131185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Notes</a:t>
          </a:r>
        </a:p>
      </xdr:txBody>
    </xdr:sp>
    <xdr:clientData/>
  </xdr:twoCellAnchor>
  <xdr:twoCellAnchor>
    <xdr:from>
      <xdr:col>0</xdr:col>
      <xdr:colOff>60612</xdr:colOff>
      <xdr:row>3</xdr:row>
      <xdr:rowOff>123225</xdr:rowOff>
    </xdr:from>
    <xdr:to>
      <xdr:col>2</xdr:col>
      <xdr:colOff>554180</xdr:colOff>
      <xdr:row>5</xdr:row>
      <xdr:rowOff>216477</xdr:rowOff>
    </xdr:to>
    <xdr:sp macro="" textlink="">
      <xdr:nvSpPr>
        <xdr:cNvPr id="5" name="Pentagon 4">
          <a:hlinkClick xmlns:r="http://schemas.openxmlformats.org/officeDocument/2006/relationships" r:id="rId3"/>
        </xdr:cNvPr>
        <xdr:cNvSpPr/>
      </xdr:nvSpPr>
      <xdr:spPr>
        <a:xfrm flipH="1">
          <a:off x="60612" y="951900"/>
          <a:ext cx="1322243" cy="474252"/>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Summary</a:t>
          </a:r>
          <a:endParaRPr lang="en-GB" sz="1000">
            <a:effectLst/>
            <a:latin typeface="Arial" panose="020B0604020202020204" pitchFamily="34" charset="0"/>
            <a:cs typeface="Arial" panose="020B0604020202020204" pitchFamily="34" charset="0"/>
          </a:endParaRPr>
        </a:p>
      </xdr:txBody>
    </xdr:sp>
    <xdr:clientData/>
  </xdr:twoCellAnchor>
  <xdr:oneCellAnchor>
    <xdr:from>
      <xdr:col>11</xdr:col>
      <xdr:colOff>281385</xdr:colOff>
      <xdr:row>26</xdr:row>
      <xdr:rowOff>109899</xdr:rowOff>
    </xdr:from>
    <xdr:ext cx="489274" cy="444282"/>
    <xdr:pic>
      <xdr:nvPicPr>
        <xdr:cNvPr id="6" name="Picture 5">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53585" y="5310549"/>
          <a:ext cx="488408" cy="444282"/>
        </a:xfrm>
        <a:prstGeom prst="rect">
          <a:avLst/>
        </a:prstGeom>
      </xdr:spPr>
    </xdr:pic>
    <xdr:clientData/>
  </xdr:oneCellAnchor>
  <xdr:oneCellAnchor>
    <xdr:from>
      <xdr:col>11</xdr:col>
      <xdr:colOff>281385</xdr:colOff>
      <xdr:row>26</xdr:row>
      <xdr:rowOff>109899</xdr:rowOff>
    </xdr:from>
    <xdr:ext cx="489274" cy="444282"/>
    <xdr:pic>
      <xdr:nvPicPr>
        <xdr:cNvPr id="7" name="Picture 6">
          <a:hlinkClick xmlns:r="http://schemas.openxmlformats.org/officeDocument/2006/relationships" r:id="rId4"/>
        </xdr:cNvPr>
        <xdr:cNvPicPr>
          <a:picLocks noChangeAspect="1"/>
        </xdr:cNvPicPr>
      </xdr:nvPicPr>
      <xdr:blipFill rotWithShape="1">
        <a:blip xmlns:r="http://schemas.openxmlformats.org/officeDocument/2006/relationships" r:embed="rId5"/>
        <a:srcRect l="27014" t="12263" r="26934" b="13642"/>
        <a:stretch/>
      </xdr:blipFill>
      <xdr:spPr>
        <a:xfrm>
          <a:off x="6453585" y="5310549"/>
          <a:ext cx="488408" cy="444282"/>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95250</xdr:colOff>
          <xdr:row>7</xdr:row>
          <xdr:rowOff>19050</xdr:rowOff>
        </xdr:from>
        <xdr:to>
          <xdr:col>11</xdr:col>
          <xdr:colOff>733425</xdr:colOff>
          <xdr:row>8</xdr:row>
          <xdr:rowOff>38100</xdr:rowOff>
        </xdr:to>
        <xdr:sp macro="" textlink="">
          <xdr:nvSpPr>
            <xdr:cNvPr id="81922" name="Drop Down 2" hidden="1">
              <a:extLst>
                <a:ext uri="{63B3BB69-23CF-44E3-9099-C40C66FF867C}">
                  <a14:compatExt spid="_x0000_s81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34636</xdr:colOff>
          <xdr:row>8</xdr:row>
          <xdr:rowOff>138545</xdr:rowOff>
        </xdr:from>
        <xdr:to>
          <xdr:col>11</xdr:col>
          <xdr:colOff>750743</xdr:colOff>
          <xdr:row>25</xdr:row>
          <xdr:rowOff>35502</xdr:rowOff>
        </xdr:to>
        <xdr:pic>
          <xdr:nvPicPr>
            <xdr:cNvPr id="11" name="Picture 10"/>
            <xdr:cNvPicPr>
              <a:picLocks noChangeAspect="1" noChangeArrowheads="1"/>
              <a:extLst>
                <a:ext uri="{84589F7E-364E-4C9E-8A38-B11213B215E9}">
                  <a14:cameraTool cellRange="Chart15select" spid="_x0000_s82205"/>
                </a:ext>
              </a:extLst>
            </xdr:cNvPicPr>
          </xdr:nvPicPr>
          <xdr:blipFill>
            <a:blip xmlns:r="http://schemas.openxmlformats.org/officeDocument/2006/relationships" r:embed="rId6"/>
            <a:srcRect/>
            <a:stretch>
              <a:fillRect/>
            </a:stretch>
          </xdr:blipFill>
          <xdr:spPr bwMode="auto">
            <a:xfrm>
              <a:off x="112568" y="2008909"/>
              <a:ext cx="6829425" cy="306618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2</xdr:col>
      <xdr:colOff>264</xdr:colOff>
      <xdr:row>20</xdr:row>
      <xdr:rowOff>13521</xdr:rowOff>
    </xdr:from>
    <xdr:to>
      <xdr:col>8</xdr:col>
      <xdr:colOff>303066</xdr:colOff>
      <xdr:row>21</xdr:row>
      <xdr:rowOff>69274</xdr:rowOff>
    </xdr:to>
    <xdr:sp macro="" textlink="">
      <xdr:nvSpPr>
        <xdr:cNvPr id="4" name="TextBox 3"/>
        <xdr:cNvSpPr txBox="1"/>
      </xdr:nvSpPr>
      <xdr:spPr>
        <a:xfrm>
          <a:off x="944105" y="4646135"/>
          <a:ext cx="4987370" cy="29820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To view tables on ophthalmic statistics click the StatsWales icon on the left.</a:t>
          </a:r>
        </a:p>
      </xdr:txBody>
    </xdr:sp>
    <xdr:clientData/>
  </xdr:twoCellAnchor>
  <xdr:twoCellAnchor>
    <xdr:from>
      <xdr:col>3</xdr:col>
      <xdr:colOff>112567</xdr:colOff>
      <xdr:row>0</xdr:row>
      <xdr:rowOff>155865</xdr:rowOff>
    </xdr:from>
    <xdr:to>
      <xdr:col>8</xdr:col>
      <xdr:colOff>536863</xdr:colOff>
      <xdr:row>2</xdr:row>
      <xdr:rowOff>98715</xdr:rowOff>
    </xdr:to>
    <xdr:sp macro="" textlink="">
      <xdr:nvSpPr>
        <xdr:cNvPr id="8" name="TextBox 7"/>
        <xdr:cNvSpPr txBox="1"/>
      </xdr:nvSpPr>
      <xdr:spPr>
        <a:xfrm>
          <a:off x="1818408" y="155865"/>
          <a:ext cx="4346864"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0" name="Picture 9" descr="P:\statshare\StatsBranding\Images-logos\banne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727363</xdr:colOff>
      <xdr:row>0</xdr:row>
      <xdr:rowOff>129887</xdr:rowOff>
    </xdr:from>
    <xdr:to>
      <xdr:col>8</xdr:col>
      <xdr:colOff>528204</xdr:colOff>
      <xdr:row>2</xdr:row>
      <xdr:rowOff>72737</xdr:rowOff>
    </xdr:to>
    <xdr:sp macro="" textlink="">
      <xdr:nvSpPr>
        <xdr:cNvPr id="11" name="TextBox 10"/>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8</xdr:col>
      <xdr:colOff>839932</xdr:colOff>
      <xdr:row>23</xdr:row>
      <xdr:rowOff>83923</xdr:rowOff>
    </xdr:from>
    <xdr:to>
      <xdr:col>9</xdr:col>
      <xdr:colOff>406978</xdr:colOff>
      <xdr:row>25</xdr:row>
      <xdr:rowOff>147205</xdr:rowOff>
    </xdr:to>
    <xdr:pic>
      <xdr:nvPicPr>
        <xdr:cNvPr id="12" name="Picture 11">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468341" y="5322673"/>
          <a:ext cx="493569" cy="444282"/>
        </a:xfrm>
        <a:prstGeom prst="rect">
          <a:avLst/>
        </a:prstGeom>
      </xdr:spPr>
    </xdr:pic>
    <xdr:clientData/>
  </xdr:twoCellAnchor>
  <xdr:twoCellAnchor>
    <xdr:from>
      <xdr:col>7</xdr:col>
      <xdr:colOff>311727</xdr:colOff>
      <xdr:row>4</xdr:row>
      <xdr:rowOff>60612</xdr:rowOff>
    </xdr:from>
    <xdr:to>
      <xdr:col>8</xdr:col>
      <xdr:colOff>736023</xdr:colOff>
      <xdr:row>6</xdr:row>
      <xdr:rowOff>181841</xdr:rowOff>
    </xdr:to>
    <xdr:grpSp>
      <xdr:nvGrpSpPr>
        <xdr:cNvPr id="13" name="Group 12"/>
        <xdr:cNvGrpSpPr/>
      </xdr:nvGrpSpPr>
      <xdr:grpSpPr>
        <a:xfrm>
          <a:off x="4967547" y="1074072"/>
          <a:ext cx="1277736" cy="654629"/>
          <a:chOff x="1097815" y="2876063"/>
          <a:chExt cx="1876426" cy="1036027"/>
        </a:xfrm>
      </xdr:grpSpPr>
      <xdr:sp macro="" textlink="">
        <xdr:nvSpPr>
          <xdr:cNvPr id="14" name="Oval 13"/>
          <xdr:cNvSpPr/>
        </xdr:nvSpPr>
        <xdr:spPr>
          <a:xfrm>
            <a:off x="1113692" y="3046628"/>
            <a:ext cx="863600" cy="865462"/>
          </a:xfrm>
          <a:prstGeom prst="ellipse">
            <a:avLst/>
          </a:prstGeom>
          <a:solidFill>
            <a:schemeClr val="bg1"/>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5" name="Oval 14"/>
          <xdr:cNvSpPr/>
        </xdr:nvSpPr>
        <xdr:spPr>
          <a:xfrm>
            <a:off x="1469292" y="3179290"/>
            <a:ext cx="444500" cy="416938"/>
          </a:xfrm>
          <a:prstGeom prst="ellipse">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6" name="Oval 15"/>
          <xdr:cNvSpPr/>
        </xdr:nvSpPr>
        <xdr:spPr>
          <a:xfrm>
            <a:off x="1752220" y="3275453"/>
            <a:ext cx="107950" cy="11932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7" name="Oval 16"/>
          <xdr:cNvSpPr/>
        </xdr:nvSpPr>
        <xdr:spPr>
          <a:xfrm>
            <a:off x="2110642" y="3040310"/>
            <a:ext cx="863599" cy="865462"/>
          </a:xfrm>
          <a:prstGeom prst="ellipse">
            <a:avLst/>
          </a:prstGeom>
          <a:solidFill>
            <a:schemeClr val="bg1"/>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8" name="Oval 17"/>
          <xdr:cNvSpPr/>
        </xdr:nvSpPr>
        <xdr:spPr>
          <a:xfrm>
            <a:off x="2466242" y="3172973"/>
            <a:ext cx="444500" cy="416938"/>
          </a:xfrm>
          <a:prstGeom prst="ellipse">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19" name="Oval 18"/>
          <xdr:cNvSpPr/>
        </xdr:nvSpPr>
        <xdr:spPr>
          <a:xfrm>
            <a:off x="2749170" y="3269136"/>
            <a:ext cx="107950" cy="119325"/>
          </a:xfrm>
          <a:prstGeom prst="ellipse">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0" name="Moon 19"/>
          <xdr:cNvSpPr/>
        </xdr:nvSpPr>
        <xdr:spPr>
          <a:xfrm rot="4528279">
            <a:off x="1317365" y="2665989"/>
            <a:ext cx="183200" cy="622300"/>
          </a:xfrm>
          <a:prstGeom prst="moon">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1" name="Moon 20"/>
          <xdr:cNvSpPr/>
        </xdr:nvSpPr>
        <xdr:spPr>
          <a:xfrm rot="4528279">
            <a:off x="2330191" y="2656513"/>
            <a:ext cx="183200" cy="622300"/>
          </a:xfrm>
          <a:prstGeom prst="moon">
            <a:avLst/>
          </a:prstGeom>
          <a:solidFill>
            <a:srgbClr val="032163"/>
          </a:solidFill>
          <a:ln>
            <a:solidFill>
              <a:srgbClr val="03216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xdr:from>
      <xdr:col>0</xdr:col>
      <xdr:colOff>60614</xdr:colOff>
      <xdr:row>3</xdr:row>
      <xdr:rowOff>123225</xdr:rowOff>
    </xdr:from>
    <xdr:to>
      <xdr:col>2</xdr:col>
      <xdr:colOff>441614</xdr:colOff>
      <xdr:row>5</xdr:row>
      <xdr:rowOff>212481</xdr:rowOff>
    </xdr:to>
    <xdr:sp macro="" textlink="">
      <xdr:nvSpPr>
        <xdr:cNvPr id="23" name="Pentagon 22">
          <a:hlinkClick xmlns:r="http://schemas.openxmlformats.org/officeDocument/2006/relationships" r:id="rId4"/>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Comparisons</a:t>
          </a:r>
          <a:endParaRPr lang="en-GB" sz="1000">
            <a:effectLst/>
            <a:latin typeface="Arial" panose="020B0604020202020204" pitchFamily="34" charset="0"/>
            <a:cs typeface="Arial" panose="020B0604020202020204" pitchFamily="34" charset="0"/>
          </a:endParaRPr>
        </a:p>
      </xdr:txBody>
    </xdr:sp>
    <xdr:clientData/>
  </xdr:twoCellAnchor>
  <xdr:twoCellAnchor editAs="oneCell">
    <xdr:from>
      <xdr:col>1</xdr:col>
      <xdr:colOff>43295</xdr:colOff>
      <xdr:row>19</xdr:row>
      <xdr:rowOff>303069</xdr:rowOff>
    </xdr:from>
    <xdr:to>
      <xdr:col>2</xdr:col>
      <xdr:colOff>9450</xdr:colOff>
      <xdr:row>21</xdr:row>
      <xdr:rowOff>12967</xdr:rowOff>
    </xdr:to>
    <xdr:pic>
      <xdr:nvPicPr>
        <xdr:cNvPr id="22" name="Picture 21" descr="P:\statshare\StatsBranding\Images-logos\statswales-symbol-e.jpg">
          <a:hlinkClick xmlns:r="http://schemas.openxmlformats.org/officeDocument/2006/relationships" r:id="rId5"/>
        </xdr:cNvPr>
        <xdr:cNvPicPr>
          <a:picLocks noChangeAspect="1" noChangeArrowheads="1"/>
        </xdr:cNvPicPr>
      </xdr:nvPicPr>
      <xdr:blipFill>
        <a:blip xmlns:r="http://schemas.openxmlformats.org/officeDocument/2006/relationships" r:embed="rId6" cstate="print">
          <a:extLst>
            <a:ext uri="{BEBA8EAE-BF5A-486C-A8C5-ECC9F3942E4B}">
              <a14:imgProps xmlns:a14="http://schemas.microsoft.com/office/drawing/2010/main">
                <a14:imgLayer r:embed="rId7">
                  <a14:imgEffect>
                    <a14:colorTemperature colorTemp="5900"/>
                  </a14:imgEffect>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8545" y="4623955"/>
          <a:ext cx="814746" cy="264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3</xdr:row>
      <xdr:rowOff>147205</xdr:rowOff>
    </xdr:from>
    <xdr:to>
      <xdr:col>5</xdr:col>
      <xdr:colOff>594650</xdr:colOff>
      <xdr:row>27</xdr:row>
      <xdr:rowOff>0</xdr:rowOff>
    </xdr:to>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 y="813955"/>
          <a:ext cx="3521423" cy="497897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714375</xdr:colOff>
          <xdr:row>8</xdr:row>
          <xdr:rowOff>19050</xdr:rowOff>
        </xdr:from>
        <xdr:to>
          <xdr:col>9</xdr:col>
          <xdr:colOff>19050</xdr:colOff>
          <xdr:row>22</xdr:row>
          <xdr:rowOff>171450</xdr:rowOff>
        </xdr:to>
        <xdr:sp macro="" textlink="">
          <xdr:nvSpPr>
            <xdr:cNvPr id="32769" name="Group Box 1" hidden="1">
              <a:extLst>
                <a:ext uri="{63B3BB69-23CF-44E3-9099-C40C66FF867C}">
                  <a14:compatExt spid="_x0000_s32769"/>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Health 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9</xdr:row>
          <xdr:rowOff>66675</xdr:rowOff>
        </xdr:from>
        <xdr:to>
          <xdr:col>8</xdr:col>
          <xdr:colOff>1028700</xdr:colOff>
          <xdr:row>11</xdr:row>
          <xdr:rowOff>0</xdr:rowOff>
        </xdr:to>
        <xdr:sp macro="" textlink="">
          <xdr:nvSpPr>
            <xdr:cNvPr id="32770" name="Option Button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Betsi Cadwaladr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10</xdr:row>
          <xdr:rowOff>152400</xdr:rowOff>
        </xdr:from>
        <xdr:to>
          <xdr:col>8</xdr:col>
          <xdr:colOff>1028700</xdr:colOff>
          <xdr:row>12</xdr:row>
          <xdr:rowOff>76200</xdr:rowOff>
        </xdr:to>
        <xdr:sp macro="" textlink="">
          <xdr:nvSpPr>
            <xdr:cNvPr id="32771" name="Option Button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 Teaching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57150</xdr:rowOff>
        </xdr:from>
        <xdr:to>
          <xdr:col>8</xdr:col>
          <xdr:colOff>1028700</xdr:colOff>
          <xdr:row>14</xdr:row>
          <xdr:rowOff>38100</xdr:rowOff>
        </xdr:to>
        <xdr:sp macro="" textlink="">
          <xdr:nvSpPr>
            <xdr:cNvPr id="32772" name="Option Button 4" hidden="1">
              <a:extLst>
                <a:ext uri="{63B3BB69-23CF-44E3-9099-C40C66FF867C}">
                  <a14:compatExt spid="_x0000_s327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Hywel Dda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14</xdr:row>
          <xdr:rowOff>19050</xdr:rowOff>
        </xdr:from>
        <xdr:to>
          <xdr:col>8</xdr:col>
          <xdr:colOff>1028700</xdr:colOff>
          <xdr:row>15</xdr:row>
          <xdr:rowOff>142875</xdr:rowOff>
        </xdr:to>
        <xdr:sp macro="" textlink="">
          <xdr:nvSpPr>
            <xdr:cNvPr id="32773" name="Option Button 5" hidden="1">
              <a:extLst>
                <a:ext uri="{63B3BB69-23CF-44E3-9099-C40C66FF867C}">
                  <a14:compatExt spid="_x0000_s327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 Bro Morgannwg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15</xdr:row>
          <xdr:rowOff>123825</xdr:rowOff>
        </xdr:from>
        <xdr:to>
          <xdr:col>8</xdr:col>
          <xdr:colOff>1028700</xdr:colOff>
          <xdr:row>17</xdr:row>
          <xdr:rowOff>57150</xdr:rowOff>
        </xdr:to>
        <xdr:sp macro="" textlink="">
          <xdr:nvSpPr>
            <xdr:cNvPr id="32774" name="Option Button 6" hidden="1">
              <a:extLst>
                <a:ext uri="{63B3BB69-23CF-44E3-9099-C40C66FF867C}">
                  <a14:compatExt spid="_x0000_s327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Cwm Taf Universtiy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17</xdr:row>
          <xdr:rowOff>28575</xdr:rowOff>
        </xdr:from>
        <xdr:to>
          <xdr:col>8</xdr:col>
          <xdr:colOff>1028700</xdr:colOff>
          <xdr:row>18</xdr:row>
          <xdr:rowOff>152400</xdr:rowOff>
        </xdr:to>
        <xdr:sp macro="" textlink="">
          <xdr:nvSpPr>
            <xdr:cNvPr id="32775" name="Option Button 7" hidden="1">
              <a:extLst>
                <a:ext uri="{63B3BB69-23CF-44E3-9099-C40C66FF867C}">
                  <a14:compatExt spid="_x0000_s327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Aneurin Bevan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18</xdr:row>
          <xdr:rowOff>142875</xdr:rowOff>
        </xdr:from>
        <xdr:to>
          <xdr:col>8</xdr:col>
          <xdr:colOff>1028700</xdr:colOff>
          <xdr:row>20</xdr:row>
          <xdr:rowOff>76200</xdr:rowOff>
        </xdr:to>
        <xdr:sp macro="" textlink="">
          <xdr:nvSpPr>
            <xdr:cNvPr id="32776" name="Option Button 8" hidden="1">
              <a:extLst>
                <a:ext uri="{63B3BB69-23CF-44E3-9099-C40C66FF867C}">
                  <a14:compatExt spid="_x0000_s327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&amp; Vale University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20</xdr:row>
          <xdr:rowOff>66675</xdr:rowOff>
        </xdr:from>
        <xdr:to>
          <xdr:col>8</xdr:col>
          <xdr:colOff>1028700</xdr:colOff>
          <xdr:row>22</xdr:row>
          <xdr:rowOff>0</xdr:rowOff>
        </xdr:to>
        <xdr:sp macro="" textlink="">
          <xdr:nvSpPr>
            <xdr:cNvPr id="32777" name="Option Button 9" hidden="1">
              <a:extLst>
                <a:ext uri="{63B3BB69-23CF-44E3-9099-C40C66FF867C}">
                  <a14:compatExt spid="_x0000_s327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Wales</a:t>
              </a:r>
            </a:p>
          </xdr:txBody>
        </xdr:sp>
        <xdr:clientData/>
      </xdr:twoCellAnchor>
    </mc:Choice>
    <mc:Fallback/>
  </mc:AlternateContent>
  <xdr:twoCellAnchor editAs="oneCell">
    <xdr:from>
      <xdr:col>8</xdr:col>
      <xdr:colOff>969818</xdr:colOff>
      <xdr:row>25</xdr:row>
      <xdr:rowOff>83923</xdr:rowOff>
    </xdr:from>
    <xdr:to>
      <xdr:col>10</xdr:col>
      <xdr:colOff>0</xdr:colOff>
      <xdr:row>26</xdr:row>
      <xdr:rowOff>242455</xdr:rowOff>
    </xdr:to>
    <xdr:pic>
      <xdr:nvPicPr>
        <xdr:cNvPr id="14" name="Picture 13">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468341" y="5322673"/>
          <a:ext cx="493568" cy="444282"/>
        </a:xfrm>
        <a:prstGeom prst="rect">
          <a:avLst/>
        </a:prstGeom>
      </xdr:spPr>
    </xdr:pic>
    <xdr:clientData/>
  </xdr:twoCellAnchor>
  <xdr:twoCellAnchor>
    <xdr:from>
      <xdr:col>2</xdr:col>
      <xdr:colOff>736022</xdr:colOff>
      <xdr:row>1</xdr:row>
      <xdr:rowOff>129886</xdr:rowOff>
    </xdr:from>
    <xdr:to>
      <xdr:col>8</xdr:col>
      <xdr:colOff>649431</xdr:colOff>
      <xdr:row>3</xdr:row>
      <xdr:rowOff>72736</xdr:rowOff>
    </xdr:to>
    <xdr:sp macro="" textlink="">
      <xdr:nvSpPr>
        <xdr:cNvPr id="15" name="TextBox 14"/>
        <xdr:cNvSpPr txBox="1"/>
      </xdr:nvSpPr>
      <xdr:spPr>
        <a:xfrm>
          <a:off x="1662545" y="129886"/>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744681</xdr:colOff>
      <xdr:row>1</xdr:row>
      <xdr:rowOff>129887</xdr:rowOff>
    </xdr:from>
    <xdr:to>
      <xdr:col>8</xdr:col>
      <xdr:colOff>658090</xdr:colOff>
      <xdr:row>3</xdr:row>
      <xdr:rowOff>147205</xdr:rowOff>
    </xdr:to>
    <xdr:sp macro="" textlink="">
      <xdr:nvSpPr>
        <xdr:cNvPr id="23" name="TextBox 22"/>
        <xdr:cNvSpPr txBox="1"/>
      </xdr:nvSpPr>
      <xdr:spPr>
        <a:xfrm>
          <a:off x="1671204" y="320387"/>
          <a:ext cx="4485409" cy="493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4</xdr:row>
      <xdr:rowOff>25312</xdr:rowOff>
    </xdr:to>
    <xdr:pic>
      <xdr:nvPicPr>
        <xdr:cNvPr id="16" name="Picture 15"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744681</xdr:colOff>
      <xdr:row>0</xdr:row>
      <xdr:rowOff>129887</xdr:rowOff>
    </xdr:from>
    <xdr:to>
      <xdr:col>8</xdr:col>
      <xdr:colOff>658090</xdr:colOff>
      <xdr:row>3</xdr:row>
      <xdr:rowOff>46760</xdr:rowOff>
    </xdr:to>
    <xdr:sp macro="" textlink="">
      <xdr:nvSpPr>
        <xdr:cNvPr id="17" name="TextBox 16"/>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718705</xdr:colOff>
      <xdr:row>23</xdr:row>
      <xdr:rowOff>43295</xdr:rowOff>
    </xdr:from>
    <xdr:to>
      <xdr:col>9</xdr:col>
      <xdr:colOff>17318</xdr:colOff>
      <xdr:row>24</xdr:row>
      <xdr:rowOff>311729</xdr:rowOff>
    </xdr:to>
    <xdr:sp macro="" textlink="">
      <xdr:nvSpPr>
        <xdr:cNvPr id="19" name="Rectangle 18"/>
        <xdr:cNvSpPr/>
      </xdr:nvSpPr>
      <xdr:spPr>
        <a:xfrm>
          <a:off x="3931228" y="4511386"/>
          <a:ext cx="2727613" cy="701388"/>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xdr:from>
      <xdr:col>8</xdr:col>
      <xdr:colOff>147205</xdr:colOff>
      <xdr:row>4</xdr:row>
      <xdr:rowOff>95250</xdr:rowOff>
    </xdr:from>
    <xdr:to>
      <xdr:col>10</xdr:col>
      <xdr:colOff>1</xdr:colOff>
      <xdr:row>6</xdr:row>
      <xdr:rowOff>181841</xdr:rowOff>
    </xdr:to>
    <xdr:sp macro="" textlink="">
      <xdr:nvSpPr>
        <xdr:cNvPr id="20" name="Pentagon 19">
          <a:hlinkClick xmlns:r="http://schemas.openxmlformats.org/officeDocument/2006/relationships" r:id="rId5"/>
        </xdr:cNvPr>
        <xdr:cNvSpPr/>
      </xdr:nvSpPr>
      <xdr:spPr>
        <a:xfrm>
          <a:off x="5645728"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Arial" panose="020B0604020202020204" pitchFamily="34" charset="0"/>
              <a:cs typeface="Arial" panose="020B0604020202020204" pitchFamily="34" charset="0"/>
            </a:rPr>
            <a:t>Sight</a:t>
          </a:r>
          <a:r>
            <a:rPr lang="en-GB" sz="1000" baseline="0">
              <a:latin typeface="Arial" panose="020B0604020202020204" pitchFamily="34" charset="0"/>
              <a:cs typeface="Arial" panose="020B0604020202020204" pitchFamily="34" charset="0"/>
            </a:rPr>
            <a:t> Loss</a:t>
          </a:r>
          <a:endParaRPr lang="en-GB" sz="1000">
            <a:latin typeface="Arial" panose="020B0604020202020204" pitchFamily="34" charset="0"/>
            <a:cs typeface="Arial" panose="020B0604020202020204" pitchFamily="34" charset="0"/>
          </a:endParaRPr>
        </a:p>
      </xdr:txBody>
    </xdr:sp>
    <xdr:clientData/>
  </xdr:twoCellAnchor>
  <xdr:twoCellAnchor>
    <xdr:from>
      <xdr:col>0</xdr:col>
      <xdr:colOff>199159</xdr:colOff>
      <xdr:row>4</xdr:row>
      <xdr:rowOff>129885</xdr:rowOff>
    </xdr:from>
    <xdr:to>
      <xdr:col>7</xdr:col>
      <xdr:colOff>103909</xdr:colOff>
      <xdr:row>7</xdr:row>
      <xdr:rowOff>51954</xdr:rowOff>
    </xdr:to>
    <xdr:sp macro="" textlink="">
      <xdr:nvSpPr>
        <xdr:cNvPr id="4" name="TextBox 3"/>
        <xdr:cNvSpPr txBox="1"/>
      </xdr:nvSpPr>
      <xdr:spPr>
        <a:xfrm>
          <a:off x="199159" y="987135"/>
          <a:ext cx="4641273" cy="502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b="1">
              <a:solidFill>
                <a:srgbClr val="002060"/>
              </a:solidFill>
              <a:latin typeface="Arial" panose="020B0604020202020204" pitchFamily="34" charset="0"/>
              <a:cs typeface="Arial" panose="020B0604020202020204" pitchFamily="34" charset="0"/>
            </a:rPr>
            <a:t>Location of premises providing General Ophthalmic Services, Wales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28574</xdr:colOff>
      <xdr:row>108</xdr:row>
      <xdr:rowOff>38100</xdr:rowOff>
    </xdr:from>
    <xdr:to>
      <xdr:col>2</xdr:col>
      <xdr:colOff>685799</xdr:colOff>
      <xdr:row>129</xdr:row>
      <xdr:rowOff>100012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130</xdr:row>
      <xdr:rowOff>38100</xdr:rowOff>
    </xdr:from>
    <xdr:to>
      <xdr:col>2</xdr:col>
      <xdr:colOff>676275</xdr:colOff>
      <xdr:row>151</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152</xdr:row>
      <xdr:rowOff>47625</xdr:rowOff>
    </xdr:from>
    <xdr:to>
      <xdr:col>2</xdr:col>
      <xdr:colOff>676275</xdr:colOff>
      <xdr:row>173</xdr:row>
      <xdr:rowOff>104775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28575</xdr:colOff>
      <xdr:row>174</xdr:row>
      <xdr:rowOff>47624</xdr:rowOff>
    </xdr:from>
    <xdr:to>
      <xdr:col>2</xdr:col>
      <xdr:colOff>676275</xdr:colOff>
      <xdr:row>195</xdr:row>
      <xdr:rowOff>104774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701140</xdr:colOff>
          <xdr:row>138</xdr:row>
          <xdr:rowOff>114300</xdr:rowOff>
        </xdr:from>
        <xdr:to>
          <xdr:col>9</xdr:col>
          <xdr:colOff>323850</xdr:colOff>
          <xdr:row>161</xdr:row>
          <xdr:rowOff>19050</xdr:rowOff>
        </xdr:to>
        <xdr:pic>
          <xdr:nvPicPr>
            <xdr:cNvPr id="11" name="Picture 10"/>
            <xdr:cNvPicPr>
              <a:picLocks noChangeAspect="1" noChangeArrowheads="1"/>
              <a:extLst>
                <a:ext uri="{84589F7E-364E-4C9E-8A38-B11213B215E9}">
                  <a14:cameraTool cellRange="SecondSelect" spid="_x0000_s69056"/>
                </a:ext>
              </a:extLst>
            </xdr:cNvPicPr>
          </xdr:nvPicPr>
          <xdr:blipFill>
            <a:blip xmlns:r="http://schemas.openxmlformats.org/officeDocument/2006/relationships" r:embed="rId5"/>
            <a:srcRect/>
            <a:stretch>
              <a:fillRect/>
            </a:stretch>
          </xdr:blipFill>
          <xdr:spPr bwMode="auto">
            <a:xfrm>
              <a:off x="6016090" y="19983450"/>
              <a:ext cx="4842410" cy="319087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38100</xdr:colOff>
      <xdr:row>106</xdr:row>
      <xdr:rowOff>28576</xdr:rowOff>
    </xdr:from>
    <xdr:to>
      <xdr:col>17</xdr:col>
      <xdr:colOff>742951</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xdr:colOff>
      <xdr:row>128</xdr:row>
      <xdr:rowOff>28574</xdr:rowOff>
    </xdr:from>
    <xdr:to>
      <xdr:col>17</xdr:col>
      <xdr:colOff>742950</xdr:colOff>
      <xdr:row>146</xdr:row>
      <xdr:rowOff>123825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28575</xdr:colOff>
      <xdr:row>150</xdr:row>
      <xdr:rowOff>28574</xdr:rowOff>
    </xdr:from>
    <xdr:to>
      <xdr:col>17</xdr:col>
      <xdr:colOff>742950</xdr:colOff>
      <xdr:row>168</xdr:row>
      <xdr:rowOff>114299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28575</xdr:colOff>
      <xdr:row>172</xdr:row>
      <xdr:rowOff>28575</xdr:rowOff>
    </xdr:from>
    <xdr:to>
      <xdr:col>17</xdr:col>
      <xdr:colOff>742950</xdr:colOff>
      <xdr:row>190</xdr:row>
      <xdr:rowOff>123825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66675</xdr:colOff>
      <xdr:row>23</xdr:row>
      <xdr:rowOff>57150</xdr:rowOff>
    </xdr:from>
    <xdr:to>
      <xdr:col>7</xdr:col>
      <xdr:colOff>953366</xdr:colOff>
      <xdr:row>37</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39</xdr:row>
      <xdr:rowOff>57150</xdr:rowOff>
    </xdr:from>
    <xdr:to>
      <xdr:col>7</xdr:col>
      <xdr:colOff>953366</xdr:colOff>
      <xdr:row>53</xdr:row>
      <xdr:rowOff>133350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55</xdr:row>
      <xdr:rowOff>57150</xdr:rowOff>
    </xdr:from>
    <xdr:to>
      <xdr:col>7</xdr:col>
      <xdr:colOff>953366</xdr:colOff>
      <xdr:row>69</xdr:row>
      <xdr:rowOff>133350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71</xdr:row>
      <xdr:rowOff>57150</xdr:rowOff>
    </xdr:from>
    <xdr:to>
      <xdr:col>7</xdr:col>
      <xdr:colOff>953366</xdr:colOff>
      <xdr:row>85</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87</xdr:row>
      <xdr:rowOff>57150</xdr:rowOff>
    </xdr:from>
    <xdr:to>
      <xdr:col>7</xdr:col>
      <xdr:colOff>953366</xdr:colOff>
      <xdr:row>101</xdr:row>
      <xdr:rowOff>133350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66675</xdr:colOff>
      <xdr:row>103</xdr:row>
      <xdr:rowOff>57150</xdr:rowOff>
    </xdr:from>
    <xdr:to>
      <xdr:col>7</xdr:col>
      <xdr:colOff>953366</xdr:colOff>
      <xdr:row>117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119</xdr:row>
      <xdr:rowOff>57150</xdr:rowOff>
    </xdr:from>
    <xdr:to>
      <xdr:col>7</xdr:col>
      <xdr:colOff>953366</xdr:colOff>
      <xdr:row>133</xdr:row>
      <xdr:rowOff>133350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66675</xdr:colOff>
      <xdr:row>135</xdr:row>
      <xdr:rowOff>57150</xdr:rowOff>
    </xdr:from>
    <xdr:to>
      <xdr:col>7</xdr:col>
      <xdr:colOff>953366</xdr:colOff>
      <xdr:row>149</xdr:row>
      <xdr:rowOff>133350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66675</xdr:colOff>
      <xdr:row>151</xdr:row>
      <xdr:rowOff>57150</xdr:rowOff>
    </xdr:from>
    <xdr:to>
      <xdr:col>7</xdr:col>
      <xdr:colOff>953366</xdr:colOff>
      <xdr:row>165</xdr:row>
      <xdr:rowOff>133350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66675</xdr:colOff>
      <xdr:row>167</xdr:row>
      <xdr:rowOff>57150</xdr:rowOff>
    </xdr:from>
    <xdr:to>
      <xdr:col>7</xdr:col>
      <xdr:colOff>953366</xdr:colOff>
      <xdr:row>181</xdr:row>
      <xdr:rowOff>133350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183</xdr:row>
      <xdr:rowOff>57150</xdr:rowOff>
    </xdr:from>
    <xdr:to>
      <xdr:col>7</xdr:col>
      <xdr:colOff>953366</xdr:colOff>
      <xdr:row>197</xdr:row>
      <xdr:rowOff>133350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202</xdr:row>
          <xdr:rowOff>9525</xdr:rowOff>
        </xdr:from>
        <xdr:to>
          <xdr:col>8</xdr:col>
          <xdr:colOff>38100</xdr:colOff>
          <xdr:row>217</xdr:row>
          <xdr:rowOff>19050</xdr:rowOff>
        </xdr:to>
        <xdr:pic>
          <xdr:nvPicPr>
            <xdr:cNvPr id="17" name="Picture 16"/>
            <xdr:cNvPicPr>
              <a:picLocks noChangeAspect="1" noChangeArrowheads="1"/>
              <a:extLst>
                <a:ext uri="{84589F7E-364E-4C9E-8A38-B11213B215E9}">
                  <a14:cameraTool cellRange="Chart15select" spid="_x0000_s87324"/>
                </a:ext>
              </a:extLst>
            </xdr:cNvPicPr>
          </xdr:nvPicPr>
          <xdr:blipFill>
            <a:blip xmlns:r="http://schemas.openxmlformats.org/officeDocument/2006/relationships" r:embed="rId12"/>
            <a:srcRect/>
            <a:stretch>
              <a:fillRect/>
            </a:stretch>
          </xdr:blipFill>
          <xdr:spPr bwMode="auto">
            <a:xfrm>
              <a:off x="2143125" y="39157275"/>
              <a:ext cx="6829425" cy="2867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8</xdr:row>
          <xdr:rowOff>285750</xdr:rowOff>
        </xdr:from>
        <xdr:to>
          <xdr:col>7</xdr:col>
          <xdr:colOff>723900</xdr:colOff>
          <xdr:row>9</xdr:row>
          <xdr:rowOff>85725</xdr:rowOff>
        </xdr:to>
        <xdr:sp macro="" textlink="">
          <xdr:nvSpPr>
            <xdr:cNvPr id="19457" name="Drop Down 1" hidden="1">
              <a:extLst>
                <a:ext uri="{63B3BB69-23CF-44E3-9099-C40C66FF867C}">
                  <a14:compatExt spid="_x0000_s19457"/>
                </a:ext>
              </a:extLst>
            </xdr:cNvPr>
            <xdr:cNvSpPr/>
          </xdr:nvSpPr>
          <xdr:spPr>
            <a:xfrm>
              <a:off x="0" y="0"/>
              <a:ext cx="0" cy="0"/>
            </a:xfrm>
            <a:prstGeom prst="rect">
              <a:avLst/>
            </a:prstGeom>
          </xdr:spPr>
        </xdr:sp>
        <xdr:clientData fLocksWithSheet="0"/>
      </xdr:twoCellAnchor>
    </mc:Choice>
    <mc:Fallback/>
  </mc:AlternateContent>
  <xdr:twoCellAnchor>
    <xdr:from>
      <xdr:col>4</xdr:col>
      <xdr:colOff>60613</xdr:colOff>
      <xdr:row>10</xdr:row>
      <xdr:rowOff>8659</xdr:rowOff>
    </xdr:from>
    <xdr:to>
      <xdr:col>9</xdr:col>
      <xdr:colOff>666750</xdr:colOff>
      <xdr:row>22</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34637</xdr:colOff>
      <xdr:row>10</xdr:row>
      <xdr:rowOff>17318</xdr:rowOff>
    </xdr:from>
    <xdr:to>
      <xdr:col>3</xdr:col>
      <xdr:colOff>753342</xdr:colOff>
      <xdr:row>18</xdr:row>
      <xdr:rowOff>51954</xdr:rowOff>
    </xdr:to>
    <xdr:sp macro="" textlink="">
      <xdr:nvSpPr>
        <xdr:cNvPr id="8" name="Rectangle 7"/>
        <xdr:cNvSpPr/>
      </xdr:nvSpPr>
      <xdr:spPr>
        <a:xfrm>
          <a:off x="34637" y="2372591"/>
          <a:ext cx="2407228" cy="1939636"/>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editAs="oneCell">
    <xdr:from>
      <xdr:col>9</xdr:col>
      <xdr:colOff>207818</xdr:colOff>
      <xdr:row>22</xdr:row>
      <xdr:rowOff>213809</xdr:rowOff>
    </xdr:from>
    <xdr:to>
      <xdr:col>10</xdr:col>
      <xdr:colOff>2</xdr:colOff>
      <xdr:row>24</xdr:row>
      <xdr:rowOff>164523</xdr:rowOff>
    </xdr:to>
    <xdr:pic>
      <xdr:nvPicPr>
        <xdr:cNvPr id="13" name="Picture 12">
          <a:hlinkClick xmlns:r="http://schemas.openxmlformats.org/officeDocument/2006/relationships" r:id="rId2"/>
        </xdr:cNvPr>
        <xdr:cNvPicPr>
          <a:picLocks noChangeAspect="1"/>
        </xdr:cNvPicPr>
      </xdr:nvPicPr>
      <xdr:blipFill rotWithShape="1">
        <a:blip xmlns:r="http://schemas.openxmlformats.org/officeDocument/2006/relationships" r:embed="rId3"/>
        <a:srcRect l="27014" t="12263" r="26934" b="13642"/>
        <a:stretch/>
      </xdr:blipFill>
      <xdr:spPr>
        <a:xfrm>
          <a:off x="6468341" y="5322673"/>
          <a:ext cx="493570" cy="444282"/>
        </a:xfrm>
        <a:prstGeom prst="rect">
          <a:avLst/>
        </a:prstGeom>
      </xdr:spPr>
    </xdr:pic>
    <xdr:clientData/>
  </xdr:twoCellAnchor>
  <xdr:twoCellAnchor>
    <xdr:from>
      <xdr:col>3</xdr:col>
      <xdr:colOff>0</xdr:colOff>
      <xdr:row>1</xdr:row>
      <xdr:rowOff>1</xdr:rowOff>
    </xdr:from>
    <xdr:to>
      <xdr:col>8</xdr:col>
      <xdr:colOff>675409</xdr:colOff>
      <xdr:row>2</xdr:row>
      <xdr:rowOff>133351</xdr:rowOff>
    </xdr:to>
    <xdr:sp macro="" textlink="">
      <xdr:nvSpPr>
        <xdr:cNvPr id="10" name="TextBox 9"/>
        <xdr:cNvSpPr txBox="1"/>
      </xdr:nvSpPr>
      <xdr:spPr>
        <a:xfrm>
          <a:off x="1688523" y="190501"/>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72675</xdr:colOff>
      <xdr:row>19</xdr:row>
      <xdr:rowOff>88361</xdr:rowOff>
    </xdr:from>
    <xdr:to>
      <xdr:col>2</xdr:col>
      <xdr:colOff>118394</xdr:colOff>
      <xdr:row>19</xdr:row>
      <xdr:rowOff>141789</xdr:rowOff>
    </xdr:to>
    <xdr:sp macro="" textlink="">
      <xdr:nvSpPr>
        <xdr:cNvPr id="27" name="Parallelogram 26"/>
        <xdr:cNvSpPr/>
      </xdr:nvSpPr>
      <xdr:spPr>
        <a:xfrm rot="19605101" flipH="1" flipV="1">
          <a:off x="999198" y="4097520"/>
          <a:ext cx="45719" cy="53428"/>
        </a:xfrm>
        <a:prstGeom prst="parallelogram">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145164</xdr:colOff>
      <xdr:row>19</xdr:row>
      <xdr:rowOff>0</xdr:rowOff>
    </xdr:from>
    <xdr:to>
      <xdr:col>3</xdr:col>
      <xdr:colOff>615998</xdr:colOff>
      <xdr:row>21</xdr:row>
      <xdr:rowOff>251113</xdr:rowOff>
    </xdr:to>
    <xdr:grpSp>
      <xdr:nvGrpSpPr>
        <xdr:cNvPr id="3" name="Group 2"/>
        <xdr:cNvGrpSpPr/>
      </xdr:nvGrpSpPr>
      <xdr:grpSpPr>
        <a:xfrm>
          <a:off x="145164" y="4448175"/>
          <a:ext cx="2156759" cy="632113"/>
          <a:chOff x="422257" y="4178901"/>
          <a:chExt cx="2171542" cy="635680"/>
        </a:xfrm>
      </xdr:grpSpPr>
      <xdr:sp macro="" textlink="">
        <xdr:nvSpPr>
          <xdr:cNvPr id="22" name="Oval 21"/>
          <xdr:cNvSpPr/>
        </xdr:nvSpPr>
        <xdr:spPr>
          <a:xfrm>
            <a:off x="1930977" y="4433456"/>
            <a:ext cx="363681" cy="311727"/>
          </a:xfrm>
          <a:prstGeom prst="ellipse">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3" name="Freeform 22"/>
          <xdr:cNvSpPr/>
        </xdr:nvSpPr>
        <xdr:spPr>
          <a:xfrm rot="10800000">
            <a:off x="1662544" y="4424796"/>
            <a:ext cx="900549" cy="389785"/>
          </a:xfrm>
          <a:custGeom>
            <a:avLst/>
            <a:gdLst>
              <a:gd name="connsiteX0" fmla="*/ 4 w 969826"/>
              <a:gd name="connsiteY0" fmla="*/ 199208 h 363856"/>
              <a:gd name="connsiteX1" fmla="*/ 493572 w 969826"/>
              <a:gd name="connsiteY1" fmla="*/ 49 h 363856"/>
              <a:gd name="connsiteX2" fmla="*/ 969822 w 969826"/>
              <a:gd name="connsiteY2" fmla="*/ 181890 h 363856"/>
              <a:gd name="connsiteX3" fmla="*/ 484913 w 969826"/>
              <a:gd name="connsiteY3" fmla="*/ 363730 h 363856"/>
              <a:gd name="connsiteX4" fmla="*/ 4 w 969826"/>
              <a:gd name="connsiteY4" fmla="*/ 199208 h 3638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9826" h="363856">
                <a:moveTo>
                  <a:pt x="4" y="199208"/>
                </a:moveTo>
                <a:cubicBezTo>
                  <a:pt x="1447" y="138595"/>
                  <a:pt x="331936" y="2935"/>
                  <a:pt x="493572" y="49"/>
                </a:cubicBezTo>
                <a:cubicBezTo>
                  <a:pt x="655208" y="-2837"/>
                  <a:pt x="971265" y="121277"/>
                  <a:pt x="969822" y="181890"/>
                </a:cubicBezTo>
                <a:cubicBezTo>
                  <a:pt x="968379" y="242503"/>
                  <a:pt x="646549" y="359400"/>
                  <a:pt x="484913" y="363730"/>
                </a:cubicBezTo>
                <a:cubicBezTo>
                  <a:pt x="323277" y="368060"/>
                  <a:pt x="-1439" y="259821"/>
                  <a:pt x="4" y="199208"/>
                </a:cubicBezTo>
                <a:close/>
              </a:path>
            </a:pathLst>
          </a:cu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4" name="Parallelogram 23"/>
          <xdr:cNvSpPr/>
        </xdr:nvSpPr>
        <xdr:spPr>
          <a:xfrm rot="19605101">
            <a:off x="2181304" y="4560585"/>
            <a:ext cx="45719" cy="45719"/>
          </a:xfrm>
          <a:prstGeom prst="parallelogram">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 name="Moon 1"/>
          <xdr:cNvSpPr/>
        </xdr:nvSpPr>
        <xdr:spPr>
          <a:xfrm rot="5197490">
            <a:off x="2058768" y="3804118"/>
            <a:ext cx="160247" cy="909814"/>
          </a:xfrm>
          <a:prstGeom prst="moon">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28" name="Freeform 27"/>
          <xdr:cNvSpPr/>
        </xdr:nvSpPr>
        <xdr:spPr>
          <a:xfrm rot="10800000" flipH="1">
            <a:off x="464670" y="4421331"/>
            <a:ext cx="900000" cy="389785"/>
          </a:xfrm>
          <a:custGeom>
            <a:avLst/>
            <a:gdLst>
              <a:gd name="connsiteX0" fmla="*/ 4 w 969826"/>
              <a:gd name="connsiteY0" fmla="*/ 199208 h 363856"/>
              <a:gd name="connsiteX1" fmla="*/ 493572 w 969826"/>
              <a:gd name="connsiteY1" fmla="*/ 49 h 363856"/>
              <a:gd name="connsiteX2" fmla="*/ 969822 w 969826"/>
              <a:gd name="connsiteY2" fmla="*/ 181890 h 363856"/>
              <a:gd name="connsiteX3" fmla="*/ 484913 w 969826"/>
              <a:gd name="connsiteY3" fmla="*/ 363730 h 363856"/>
              <a:gd name="connsiteX4" fmla="*/ 4 w 969826"/>
              <a:gd name="connsiteY4" fmla="*/ 199208 h 36385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69826" h="363856">
                <a:moveTo>
                  <a:pt x="4" y="199208"/>
                </a:moveTo>
                <a:cubicBezTo>
                  <a:pt x="1447" y="138595"/>
                  <a:pt x="331936" y="2935"/>
                  <a:pt x="493572" y="49"/>
                </a:cubicBezTo>
                <a:cubicBezTo>
                  <a:pt x="655208" y="-2837"/>
                  <a:pt x="971265" y="121277"/>
                  <a:pt x="969822" y="181890"/>
                </a:cubicBezTo>
                <a:cubicBezTo>
                  <a:pt x="968379" y="242503"/>
                  <a:pt x="646549" y="359400"/>
                  <a:pt x="484913" y="363730"/>
                </a:cubicBezTo>
                <a:cubicBezTo>
                  <a:pt x="323277" y="368060"/>
                  <a:pt x="-1439" y="259821"/>
                  <a:pt x="4" y="199208"/>
                </a:cubicBezTo>
                <a:close/>
              </a:path>
            </a:pathLst>
          </a:cu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1" name="Oval 30"/>
          <xdr:cNvSpPr/>
        </xdr:nvSpPr>
        <xdr:spPr>
          <a:xfrm>
            <a:off x="723900" y="4429992"/>
            <a:ext cx="363681" cy="311727"/>
          </a:xfrm>
          <a:prstGeom prst="ellipse">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2" name="Parallelogram 31"/>
          <xdr:cNvSpPr/>
        </xdr:nvSpPr>
        <xdr:spPr>
          <a:xfrm rot="19605101">
            <a:off x="974227" y="4557121"/>
            <a:ext cx="45719" cy="45719"/>
          </a:xfrm>
          <a:prstGeom prst="parallelogram">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sp macro="" textlink="">
        <xdr:nvSpPr>
          <xdr:cNvPr id="33" name="Moon 32"/>
          <xdr:cNvSpPr/>
        </xdr:nvSpPr>
        <xdr:spPr>
          <a:xfrm rot="5602645" flipV="1">
            <a:off x="806979" y="3816059"/>
            <a:ext cx="155724" cy="925167"/>
          </a:xfrm>
          <a:prstGeom prst="moon">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clientData/>
  </xdr:twoCellAnchor>
  <xdr:twoCellAnchor editAs="oneCell">
    <xdr:from>
      <xdr:col>0</xdr:col>
      <xdr:colOff>0</xdr:colOff>
      <xdr:row>0</xdr:row>
      <xdr:rowOff>0</xdr:rowOff>
    </xdr:from>
    <xdr:to>
      <xdr:col>11</xdr:col>
      <xdr:colOff>0</xdr:colOff>
      <xdr:row>3</xdr:row>
      <xdr:rowOff>51289</xdr:rowOff>
    </xdr:to>
    <xdr:pic>
      <xdr:nvPicPr>
        <xdr:cNvPr id="35" name="Picture 34"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744681</xdr:colOff>
      <xdr:row>0</xdr:row>
      <xdr:rowOff>129887</xdr:rowOff>
    </xdr:from>
    <xdr:to>
      <xdr:col>8</xdr:col>
      <xdr:colOff>658090</xdr:colOff>
      <xdr:row>2</xdr:row>
      <xdr:rowOff>72737</xdr:rowOff>
    </xdr:to>
    <xdr:sp macro="" textlink="">
      <xdr:nvSpPr>
        <xdr:cNvPr id="36" name="TextBox 35"/>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147205</xdr:colOff>
      <xdr:row>3</xdr:row>
      <xdr:rowOff>121227</xdr:rowOff>
    </xdr:from>
    <xdr:to>
      <xdr:col>10</xdr:col>
      <xdr:colOff>1</xdr:colOff>
      <xdr:row>5</xdr:row>
      <xdr:rowOff>216477</xdr:rowOff>
    </xdr:to>
    <xdr:sp macro="" textlink="">
      <xdr:nvSpPr>
        <xdr:cNvPr id="19" name="Pentagon 18">
          <a:hlinkClick xmlns:r="http://schemas.openxmlformats.org/officeDocument/2006/relationships" r:id="rId5"/>
        </xdr:cNvPr>
        <xdr:cNvSpPr/>
      </xdr:nvSpPr>
      <xdr:spPr>
        <a:xfrm>
          <a:off x="5645728"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latin typeface="Arial" panose="020B0604020202020204" pitchFamily="34" charset="0"/>
              <a:cs typeface="Arial" panose="020B0604020202020204" pitchFamily="34" charset="0"/>
            </a:rPr>
            <a:t>Sight Tests</a:t>
          </a:r>
          <a:r>
            <a:rPr lang="en-GB" sz="1000" baseline="0">
              <a:latin typeface="Arial" panose="020B0604020202020204" pitchFamily="34" charset="0"/>
              <a:cs typeface="Arial" panose="020B0604020202020204" pitchFamily="34" charset="0"/>
            </a:rPr>
            <a:t> &amp; Eye Examinations</a:t>
          </a:r>
          <a:endParaRPr lang="en-GB" sz="1000">
            <a:latin typeface="Arial" panose="020B0604020202020204" pitchFamily="34" charset="0"/>
            <a:cs typeface="Arial" panose="020B0604020202020204" pitchFamily="34" charset="0"/>
          </a:endParaRPr>
        </a:p>
      </xdr:txBody>
    </xdr:sp>
    <xdr:clientData/>
  </xdr:twoCellAnchor>
  <xdr:twoCellAnchor>
    <xdr:from>
      <xdr:col>0</xdr:col>
      <xdr:colOff>60613</xdr:colOff>
      <xdr:row>3</xdr:row>
      <xdr:rowOff>121225</xdr:rowOff>
    </xdr:from>
    <xdr:to>
      <xdr:col>2</xdr:col>
      <xdr:colOff>458931</xdr:colOff>
      <xdr:row>5</xdr:row>
      <xdr:rowOff>216476</xdr:rowOff>
    </xdr:to>
    <xdr:sp macro="" textlink="">
      <xdr:nvSpPr>
        <xdr:cNvPr id="20" name="Pentagon 19">
          <a:hlinkClick xmlns:r="http://schemas.openxmlformats.org/officeDocument/2006/relationships" r:id="rId6"/>
        </xdr:cNvPr>
        <xdr:cNvSpPr/>
      </xdr:nvSpPr>
      <xdr:spPr>
        <a:xfrm flipH="1">
          <a:off x="60613" y="952498"/>
          <a:ext cx="1324841" cy="476251"/>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Select</a:t>
          </a:r>
          <a:r>
            <a:rPr lang="en-GB" sz="1100" baseline="0">
              <a:latin typeface="Arial" panose="020B0604020202020204" pitchFamily="34" charset="0"/>
              <a:cs typeface="Arial" panose="020B0604020202020204" pitchFamily="34" charset="0"/>
            </a:rPr>
            <a:t> Health Board</a:t>
          </a:r>
          <a:endParaRPr lang="en-GB" sz="11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77932</xdr:colOff>
      <xdr:row>3</xdr:row>
      <xdr:rowOff>121227</xdr:rowOff>
    </xdr:from>
    <xdr:to>
      <xdr:col>10</xdr:col>
      <xdr:colOff>0</xdr:colOff>
      <xdr:row>6</xdr:row>
      <xdr:rowOff>17318</xdr:rowOff>
    </xdr:to>
    <xdr:sp macro="" textlink="">
      <xdr:nvSpPr>
        <xdr:cNvPr id="23" name="Pentagon 22">
          <a:hlinkClick xmlns:r="http://schemas.openxmlformats.org/officeDocument/2006/relationships" r:id="rId1"/>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EHEW</a:t>
          </a:r>
          <a:r>
            <a:rPr lang="en-GB" sz="1100" baseline="0">
              <a:latin typeface="Arial" panose="020B0604020202020204" pitchFamily="34" charset="0"/>
              <a:cs typeface="Arial" panose="020B0604020202020204" pitchFamily="34" charset="0"/>
            </a:rPr>
            <a:t> Examinations</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60614</xdr:colOff>
      <xdr:row>3</xdr:row>
      <xdr:rowOff>123225</xdr:rowOff>
    </xdr:from>
    <xdr:to>
      <xdr:col>2</xdr:col>
      <xdr:colOff>441614</xdr:colOff>
      <xdr:row>6</xdr:row>
      <xdr:rowOff>13322</xdr:rowOff>
    </xdr:to>
    <xdr:sp macro="" textlink="">
      <xdr:nvSpPr>
        <xdr:cNvPr id="24" name="Pentagon 23">
          <a:hlinkClick xmlns:r="http://schemas.openxmlformats.org/officeDocument/2006/relationships" r:id="rId2"/>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Sight</a:t>
          </a:r>
          <a:r>
            <a:rPr lang="en-GB" sz="1100" baseline="0">
              <a:latin typeface="Arial" panose="020B0604020202020204" pitchFamily="34" charset="0"/>
              <a:cs typeface="Arial" panose="020B0604020202020204" pitchFamily="34" charset="0"/>
            </a:rPr>
            <a:t> Loss</a:t>
          </a:r>
          <a:endParaRPr lang="en-GB" sz="1100">
            <a:latin typeface="Arial" panose="020B0604020202020204" pitchFamily="34" charset="0"/>
            <a:cs typeface="Arial" panose="020B0604020202020204" pitchFamily="34" charset="0"/>
          </a:endParaRPr>
        </a:p>
      </xdr:txBody>
    </xdr:sp>
    <xdr:clientData/>
  </xdr:twoCellAnchor>
  <xdr:twoCellAnchor editAs="oneCell">
    <xdr:from>
      <xdr:col>9</xdr:col>
      <xdr:colOff>138547</xdr:colOff>
      <xdr:row>25</xdr:row>
      <xdr:rowOff>25141</xdr:rowOff>
    </xdr:from>
    <xdr:to>
      <xdr:col>10</xdr:col>
      <xdr:colOff>1</xdr:colOff>
      <xdr:row>25</xdr:row>
      <xdr:rowOff>467591</xdr:rowOff>
    </xdr:to>
    <xdr:pic>
      <xdr:nvPicPr>
        <xdr:cNvPr id="30" name="Picture 29">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468342" y="5324505"/>
          <a:ext cx="493568" cy="442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57150</xdr:colOff>
          <xdr:row>10</xdr:row>
          <xdr:rowOff>38100</xdr:rowOff>
        </xdr:from>
        <xdr:to>
          <xdr:col>6</xdr:col>
          <xdr:colOff>104775</xdr:colOff>
          <xdr:row>11</xdr:row>
          <xdr:rowOff>66675</xdr:rowOff>
        </xdr:to>
        <xdr:sp macro="" textlink="">
          <xdr:nvSpPr>
            <xdr:cNvPr id="20481" name="Drop Down 1" hidden="1">
              <a:extLst>
                <a:ext uri="{63B3BB69-23CF-44E3-9099-C40C66FF867C}">
                  <a14:compatExt spid="_x0000_s20481"/>
                </a:ext>
              </a:extLst>
            </xdr:cNvPr>
            <xdr:cNvSpPr/>
          </xdr:nvSpPr>
          <xdr:spPr>
            <a:xfrm>
              <a:off x="0" y="0"/>
              <a:ext cx="0" cy="0"/>
            </a:xfrm>
            <a:prstGeom prst="rect">
              <a:avLst/>
            </a:prstGeom>
          </xdr:spPr>
        </xdr:sp>
        <xdr:clientData fLocksWithSheet="0"/>
      </xdr:twoCellAnchor>
    </mc:Choice>
    <mc:Fallback/>
  </mc:AlternateContent>
  <xdr:twoCellAnchor>
    <xdr:from>
      <xdr:col>0</xdr:col>
      <xdr:colOff>61278</xdr:colOff>
      <xdr:row>11</xdr:row>
      <xdr:rowOff>101245</xdr:rowOff>
    </xdr:from>
    <xdr:to>
      <xdr:col>6</xdr:col>
      <xdr:colOff>77932</xdr:colOff>
      <xdr:row>20</xdr:row>
      <xdr:rowOff>180669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77932</xdr:colOff>
      <xdr:row>20</xdr:row>
      <xdr:rowOff>263769</xdr:rowOff>
    </xdr:from>
    <xdr:to>
      <xdr:col>6</xdr:col>
      <xdr:colOff>77932</xdr:colOff>
      <xdr:row>25</xdr:row>
      <xdr:rowOff>36633</xdr:rowOff>
    </xdr:to>
    <xdr:sp macro="" textlink="">
      <xdr:nvSpPr>
        <xdr:cNvPr id="12" name="Rectangle 11"/>
        <xdr:cNvSpPr/>
      </xdr:nvSpPr>
      <xdr:spPr>
        <a:xfrm>
          <a:off x="77932" y="4489405"/>
          <a:ext cx="4043795" cy="846592"/>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editAs="oneCell">
    <xdr:from>
      <xdr:col>7</xdr:col>
      <xdr:colOff>145471</xdr:colOff>
      <xdr:row>23</xdr:row>
      <xdr:rowOff>153943</xdr:rowOff>
    </xdr:from>
    <xdr:to>
      <xdr:col>8</xdr:col>
      <xdr:colOff>526471</xdr:colOff>
      <xdr:row>25</xdr:row>
      <xdr:rowOff>125606</xdr:rowOff>
    </xdr:to>
    <xdr:pic>
      <xdr:nvPicPr>
        <xdr:cNvPr id="10" name="Picture 9"/>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4849089" y="5016888"/>
          <a:ext cx="1129146" cy="373445"/>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753340</xdr:colOff>
      <xdr:row>1</xdr:row>
      <xdr:rowOff>25977</xdr:rowOff>
    </xdr:from>
    <xdr:to>
      <xdr:col>8</xdr:col>
      <xdr:colOff>614795</xdr:colOff>
      <xdr:row>2</xdr:row>
      <xdr:rowOff>159327</xdr:rowOff>
    </xdr:to>
    <xdr:sp macro="" textlink="">
      <xdr:nvSpPr>
        <xdr:cNvPr id="13" name="TextBox 12"/>
        <xdr:cNvSpPr txBox="1"/>
      </xdr:nvSpPr>
      <xdr:spPr>
        <a:xfrm>
          <a:off x="1679863" y="21647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4" name="Picture 13" descr="P:\statshare\StatsBranding\Images-logos\banner.jp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727363</xdr:colOff>
      <xdr:row>0</xdr:row>
      <xdr:rowOff>129887</xdr:rowOff>
    </xdr:from>
    <xdr:to>
      <xdr:col>8</xdr:col>
      <xdr:colOff>588818</xdr:colOff>
      <xdr:row>2</xdr:row>
      <xdr:rowOff>72737</xdr:rowOff>
    </xdr:to>
    <xdr:sp macro="" textlink="">
      <xdr:nvSpPr>
        <xdr:cNvPr id="15" name="TextBox 14"/>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77932</xdr:colOff>
      <xdr:row>3</xdr:row>
      <xdr:rowOff>121227</xdr:rowOff>
    </xdr:from>
    <xdr:to>
      <xdr:col>10</xdr:col>
      <xdr:colOff>0</xdr:colOff>
      <xdr:row>6</xdr:row>
      <xdr:rowOff>17318</xdr:rowOff>
    </xdr:to>
    <xdr:sp macro="" textlink="">
      <xdr:nvSpPr>
        <xdr:cNvPr id="2" name="Pentagon 1">
          <a:hlinkClick xmlns:r="http://schemas.openxmlformats.org/officeDocument/2006/relationships" r:id="rId1"/>
        </xdr:cNvPr>
        <xdr:cNvSpPr/>
      </xdr:nvSpPr>
      <xdr:spPr>
        <a:xfrm>
          <a:off x="5640532" y="949902"/>
          <a:ext cx="1312718" cy="47711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Vouchers</a:t>
          </a:r>
          <a:r>
            <a:rPr lang="en-GB" sz="1100" baseline="0">
              <a:latin typeface="Arial" panose="020B0604020202020204" pitchFamily="34" charset="0"/>
              <a:cs typeface="Arial" panose="020B0604020202020204" pitchFamily="34" charset="0"/>
            </a:rPr>
            <a:t> and Repairs</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60614</xdr:colOff>
      <xdr:row>3</xdr:row>
      <xdr:rowOff>123225</xdr:rowOff>
    </xdr:from>
    <xdr:to>
      <xdr:col>2</xdr:col>
      <xdr:colOff>441614</xdr:colOff>
      <xdr:row>6</xdr:row>
      <xdr:rowOff>13322</xdr:rowOff>
    </xdr:to>
    <xdr:sp macro="" textlink="">
      <xdr:nvSpPr>
        <xdr:cNvPr id="3" name="Pentagon 2">
          <a:hlinkClick xmlns:r="http://schemas.openxmlformats.org/officeDocument/2006/relationships" r:id="rId2"/>
        </xdr:cNvPr>
        <xdr:cNvSpPr/>
      </xdr:nvSpPr>
      <xdr:spPr>
        <a:xfrm flipH="1">
          <a:off x="60614" y="951900"/>
          <a:ext cx="1323975" cy="471122"/>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Sight Tests</a:t>
          </a:r>
          <a:r>
            <a:rPr lang="en-GB" sz="1000" baseline="0">
              <a:solidFill>
                <a:schemeClr val="lt1"/>
              </a:solidFill>
              <a:effectLst/>
              <a:latin typeface="Arial" panose="020B0604020202020204" pitchFamily="34" charset="0"/>
              <a:ea typeface="+mn-ea"/>
              <a:cs typeface="Arial" panose="020B0604020202020204" pitchFamily="34" charset="0"/>
            </a:rPr>
            <a:t> &amp; Eye Examinations</a:t>
          </a:r>
          <a:endParaRPr lang="en-GB" sz="1000">
            <a:effectLst/>
            <a:latin typeface="Arial" panose="020B0604020202020204" pitchFamily="34" charset="0"/>
            <a:cs typeface="Arial" panose="020B0604020202020204" pitchFamily="34" charset="0"/>
          </a:endParaRPr>
        </a:p>
      </xdr:txBody>
    </xdr:sp>
    <xdr:clientData/>
  </xdr:twoCellAnchor>
  <xdr:twoCellAnchor editAs="oneCell">
    <xdr:from>
      <xdr:col>9</xdr:col>
      <xdr:colOff>138546</xdr:colOff>
      <xdr:row>25</xdr:row>
      <xdr:rowOff>25141</xdr:rowOff>
    </xdr:from>
    <xdr:to>
      <xdr:col>10</xdr:col>
      <xdr:colOff>3463</xdr:colOff>
      <xdr:row>25</xdr:row>
      <xdr:rowOff>467591</xdr:rowOff>
    </xdr:to>
    <xdr:pic>
      <xdr:nvPicPr>
        <xdr:cNvPr id="4" name="Picture 3">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463146" y="5311516"/>
          <a:ext cx="493567" cy="442450"/>
        </a:xfrm>
        <a:prstGeom prst="rect">
          <a:avLst/>
        </a:prstGeom>
      </xdr:spPr>
    </xdr:pic>
    <xdr:clientData/>
  </xdr:twoCellAnchor>
  <xdr:twoCellAnchor>
    <xdr:from>
      <xdr:col>0</xdr:col>
      <xdr:colOff>103908</xdr:colOff>
      <xdr:row>8</xdr:row>
      <xdr:rowOff>233795</xdr:rowOff>
    </xdr:from>
    <xdr:to>
      <xdr:col>3</xdr:col>
      <xdr:colOff>121227</xdr:colOff>
      <xdr:row>24</xdr:row>
      <xdr:rowOff>69273</xdr:rowOff>
    </xdr:to>
    <xdr:sp macro="" textlink="">
      <xdr:nvSpPr>
        <xdr:cNvPr id="7" name="Rectangle 6"/>
        <xdr:cNvSpPr/>
      </xdr:nvSpPr>
      <xdr:spPr>
        <a:xfrm>
          <a:off x="103908" y="2190750"/>
          <a:ext cx="1723160" cy="2935432"/>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xdr:from>
      <xdr:col>2</xdr:col>
      <xdr:colOff>753340</xdr:colOff>
      <xdr:row>1</xdr:row>
      <xdr:rowOff>25977</xdr:rowOff>
    </xdr:from>
    <xdr:to>
      <xdr:col>8</xdr:col>
      <xdr:colOff>614795</xdr:colOff>
      <xdr:row>2</xdr:row>
      <xdr:rowOff>159327</xdr:rowOff>
    </xdr:to>
    <xdr:sp macro="" textlink="">
      <xdr:nvSpPr>
        <xdr:cNvPr id="9" name="TextBox 8"/>
        <xdr:cNvSpPr txBox="1"/>
      </xdr:nvSpPr>
      <xdr:spPr>
        <a:xfrm>
          <a:off x="1696315" y="216477"/>
          <a:ext cx="448108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0" name="Picture 9" descr="P:\statshare\StatsBranding\Images-logos\banner.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010400" cy="879964"/>
        </a:xfrm>
        <a:prstGeom prst="rect">
          <a:avLst/>
        </a:prstGeom>
        <a:noFill/>
        <a:ln>
          <a:noFill/>
        </a:ln>
      </xdr:spPr>
    </xdr:pic>
    <xdr:clientData/>
  </xdr:twoCellAnchor>
  <xdr:twoCellAnchor>
    <xdr:from>
      <xdr:col>2</xdr:col>
      <xdr:colOff>727363</xdr:colOff>
      <xdr:row>0</xdr:row>
      <xdr:rowOff>129887</xdr:rowOff>
    </xdr:from>
    <xdr:to>
      <xdr:col>8</xdr:col>
      <xdr:colOff>588818</xdr:colOff>
      <xdr:row>2</xdr:row>
      <xdr:rowOff>72737</xdr:rowOff>
    </xdr:to>
    <xdr:sp macro="" textlink="">
      <xdr:nvSpPr>
        <xdr:cNvPr id="11" name="TextBox 10"/>
        <xdr:cNvSpPr txBox="1"/>
      </xdr:nvSpPr>
      <xdr:spPr>
        <a:xfrm>
          <a:off x="1670338" y="129887"/>
          <a:ext cx="448108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181841</xdr:colOff>
      <xdr:row>8</xdr:row>
      <xdr:rowOff>234659</xdr:rowOff>
    </xdr:from>
    <xdr:to>
      <xdr:col>9</xdr:col>
      <xdr:colOff>580158</xdr:colOff>
      <xdr:row>24</xdr:row>
      <xdr:rowOff>69272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77932</xdr:colOff>
      <xdr:row>3</xdr:row>
      <xdr:rowOff>121227</xdr:rowOff>
    </xdr:from>
    <xdr:to>
      <xdr:col>10</xdr:col>
      <xdr:colOff>0</xdr:colOff>
      <xdr:row>6</xdr:row>
      <xdr:rowOff>17318</xdr:rowOff>
    </xdr:to>
    <xdr:sp macro="" textlink="">
      <xdr:nvSpPr>
        <xdr:cNvPr id="2" name="Pentagon 1">
          <a:hlinkClick xmlns:r="http://schemas.openxmlformats.org/officeDocument/2006/relationships" r:id="rId1"/>
        </xdr:cNvPr>
        <xdr:cNvSpPr/>
      </xdr:nvSpPr>
      <xdr:spPr>
        <a:xfrm>
          <a:off x="5640532" y="949902"/>
          <a:ext cx="1312718" cy="47711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Optometry Practices</a:t>
          </a:r>
        </a:p>
      </xdr:txBody>
    </xdr:sp>
    <xdr:clientData/>
  </xdr:twoCellAnchor>
  <xdr:twoCellAnchor>
    <xdr:from>
      <xdr:col>0</xdr:col>
      <xdr:colOff>60614</xdr:colOff>
      <xdr:row>3</xdr:row>
      <xdr:rowOff>123225</xdr:rowOff>
    </xdr:from>
    <xdr:to>
      <xdr:col>2</xdr:col>
      <xdr:colOff>441614</xdr:colOff>
      <xdr:row>6</xdr:row>
      <xdr:rowOff>13322</xdr:rowOff>
    </xdr:to>
    <xdr:sp macro="" textlink="">
      <xdr:nvSpPr>
        <xdr:cNvPr id="3" name="Pentagon 2">
          <a:hlinkClick xmlns:r="http://schemas.openxmlformats.org/officeDocument/2006/relationships" r:id="rId2"/>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EHEW Examinations</a:t>
          </a:r>
          <a:endParaRPr lang="en-GB" sz="1000">
            <a:effectLst/>
            <a:latin typeface="Arial" panose="020B0604020202020204" pitchFamily="34" charset="0"/>
            <a:cs typeface="Arial" panose="020B0604020202020204" pitchFamily="34" charset="0"/>
          </a:endParaRPr>
        </a:p>
      </xdr:txBody>
    </xdr:sp>
    <xdr:clientData/>
  </xdr:twoCellAnchor>
  <xdr:twoCellAnchor editAs="oneCell">
    <xdr:from>
      <xdr:col>9</xdr:col>
      <xdr:colOff>138546</xdr:colOff>
      <xdr:row>25</xdr:row>
      <xdr:rowOff>25141</xdr:rowOff>
    </xdr:from>
    <xdr:to>
      <xdr:col>10</xdr:col>
      <xdr:colOff>3463</xdr:colOff>
      <xdr:row>25</xdr:row>
      <xdr:rowOff>467591</xdr:rowOff>
    </xdr:to>
    <xdr:pic>
      <xdr:nvPicPr>
        <xdr:cNvPr id="4" name="Picture 3">
          <a:hlinkClick xmlns:r="http://schemas.openxmlformats.org/officeDocument/2006/relationships" r:id="rId3"/>
        </xdr:cNvPr>
        <xdr:cNvPicPr>
          <a:picLocks noChangeAspect="1"/>
        </xdr:cNvPicPr>
      </xdr:nvPicPr>
      <xdr:blipFill rotWithShape="1">
        <a:blip xmlns:r="http://schemas.openxmlformats.org/officeDocument/2006/relationships" r:embed="rId4"/>
        <a:srcRect l="27014" t="12263" r="26934" b="13642"/>
        <a:stretch/>
      </xdr:blipFill>
      <xdr:spPr>
        <a:xfrm>
          <a:off x="6463146" y="5311516"/>
          <a:ext cx="493567" cy="442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10</xdr:row>
          <xdr:rowOff>57150</xdr:rowOff>
        </xdr:from>
        <xdr:to>
          <xdr:col>6</xdr:col>
          <xdr:colOff>104775</xdr:colOff>
          <xdr:row>11</xdr:row>
          <xdr:rowOff>76200</xdr:rowOff>
        </xdr:to>
        <xdr:sp macro="" textlink="">
          <xdr:nvSpPr>
            <xdr:cNvPr id="69633" name="Drop Down 1" hidden="1">
              <a:extLst>
                <a:ext uri="{63B3BB69-23CF-44E3-9099-C40C66FF867C}">
                  <a14:compatExt spid="_x0000_s69633"/>
                </a:ext>
              </a:extLst>
            </xdr:cNvPr>
            <xdr:cNvSpPr/>
          </xdr:nvSpPr>
          <xdr:spPr>
            <a:xfrm>
              <a:off x="0" y="0"/>
              <a:ext cx="0" cy="0"/>
            </a:xfrm>
            <a:prstGeom prst="rect">
              <a:avLst/>
            </a:prstGeom>
          </xdr:spPr>
        </xdr:sp>
        <xdr:clientData fLocksWithSheet="0"/>
      </xdr:twoCellAnchor>
    </mc:Choice>
    <mc:Fallback/>
  </mc:AlternateContent>
  <xdr:twoCellAnchor>
    <xdr:from>
      <xdr:col>0</xdr:col>
      <xdr:colOff>61278</xdr:colOff>
      <xdr:row>11</xdr:row>
      <xdr:rowOff>101245</xdr:rowOff>
    </xdr:from>
    <xdr:to>
      <xdr:col>6</xdr:col>
      <xdr:colOff>69273</xdr:colOff>
      <xdr:row>20</xdr:row>
      <xdr:rowOff>180669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77933</xdr:colOff>
      <xdr:row>20</xdr:row>
      <xdr:rowOff>263769</xdr:rowOff>
    </xdr:from>
    <xdr:to>
      <xdr:col>6</xdr:col>
      <xdr:colOff>69274</xdr:colOff>
      <xdr:row>25</xdr:row>
      <xdr:rowOff>36633</xdr:rowOff>
    </xdr:to>
    <xdr:sp macro="" textlink="">
      <xdr:nvSpPr>
        <xdr:cNvPr id="7" name="Rectangle 6"/>
        <xdr:cNvSpPr/>
      </xdr:nvSpPr>
      <xdr:spPr>
        <a:xfrm>
          <a:off x="77933" y="4489405"/>
          <a:ext cx="4035136" cy="846592"/>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editAs="oneCell">
    <xdr:from>
      <xdr:col>7</xdr:col>
      <xdr:colOff>138544</xdr:colOff>
      <xdr:row>24</xdr:row>
      <xdr:rowOff>22325</xdr:rowOff>
    </xdr:from>
    <xdr:to>
      <xdr:col>8</xdr:col>
      <xdr:colOff>519544</xdr:colOff>
      <xdr:row>25</xdr:row>
      <xdr:rowOff>160243</xdr:rowOff>
    </xdr:to>
    <xdr:pic>
      <xdr:nvPicPr>
        <xdr:cNvPr id="8" name="Picture 7"/>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a:stretch/>
      </xdr:blipFill>
      <xdr:spPr bwMode="auto">
        <a:xfrm>
          <a:off x="4939144" y="5070575"/>
          <a:ext cx="1143000" cy="376043"/>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753340</xdr:colOff>
      <xdr:row>1</xdr:row>
      <xdr:rowOff>25977</xdr:rowOff>
    </xdr:from>
    <xdr:to>
      <xdr:col>8</xdr:col>
      <xdr:colOff>614795</xdr:colOff>
      <xdr:row>2</xdr:row>
      <xdr:rowOff>159327</xdr:rowOff>
    </xdr:to>
    <xdr:sp macro="" textlink="">
      <xdr:nvSpPr>
        <xdr:cNvPr id="9" name="TextBox 8"/>
        <xdr:cNvSpPr txBox="1"/>
      </xdr:nvSpPr>
      <xdr:spPr>
        <a:xfrm>
          <a:off x="1696315" y="216477"/>
          <a:ext cx="448108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0" name="Picture 9" descr="P:\statshare\StatsBranding\Images-logos\banner.jpg"/>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727363</xdr:colOff>
      <xdr:row>0</xdr:row>
      <xdr:rowOff>129887</xdr:rowOff>
    </xdr:from>
    <xdr:to>
      <xdr:col>8</xdr:col>
      <xdr:colOff>588818</xdr:colOff>
      <xdr:row>2</xdr:row>
      <xdr:rowOff>72737</xdr:rowOff>
    </xdr:to>
    <xdr:sp macro="" textlink="">
      <xdr:nvSpPr>
        <xdr:cNvPr id="11" name="TextBox 10"/>
        <xdr:cNvSpPr txBox="1"/>
      </xdr:nvSpPr>
      <xdr:spPr>
        <a:xfrm>
          <a:off x="1670338" y="129887"/>
          <a:ext cx="4481080"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211399</xdr:colOff>
      <xdr:row>26</xdr:row>
      <xdr:rowOff>7323</xdr:rowOff>
    </xdr:from>
    <xdr:to>
      <xdr:col>10</xdr:col>
      <xdr:colOff>95250</xdr:colOff>
      <xdr:row>26</xdr:row>
      <xdr:rowOff>450272</xdr:rowOff>
    </xdr:to>
    <xdr:pic>
      <xdr:nvPicPr>
        <xdr:cNvPr id="6" name="Picture 5">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71922" y="5324005"/>
          <a:ext cx="489987" cy="442949"/>
        </a:xfrm>
        <a:prstGeom prst="rect">
          <a:avLst/>
        </a:prstGeom>
      </xdr:spPr>
    </xdr:pic>
    <xdr:clientData/>
  </xdr:twoCellAnchor>
  <xdr:twoCellAnchor>
    <xdr:from>
      <xdr:col>0</xdr:col>
      <xdr:colOff>161191</xdr:colOff>
      <xdr:row>21</xdr:row>
      <xdr:rowOff>2463</xdr:rowOff>
    </xdr:from>
    <xdr:to>
      <xdr:col>9</xdr:col>
      <xdr:colOff>597477</xdr:colOff>
      <xdr:row>25</xdr:row>
      <xdr:rowOff>51954</xdr:rowOff>
    </xdr:to>
    <xdr:sp macro="" textlink="">
      <xdr:nvSpPr>
        <xdr:cNvPr id="9" name="Rectangle 8"/>
        <xdr:cNvSpPr/>
      </xdr:nvSpPr>
      <xdr:spPr>
        <a:xfrm>
          <a:off x="161191" y="4219440"/>
          <a:ext cx="6696809" cy="967355"/>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xdr:from>
      <xdr:col>0</xdr:col>
      <xdr:colOff>99113</xdr:colOff>
      <xdr:row>10</xdr:row>
      <xdr:rowOff>187836</xdr:rowOff>
    </xdr:from>
    <xdr:to>
      <xdr:col>6</xdr:col>
      <xdr:colOff>670613</xdr:colOff>
      <xdr:row>20</xdr:row>
      <xdr:rowOff>100645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701387</xdr:colOff>
      <xdr:row>9</xdr:row>
      <xdr:rowOff>103909</xdr:rowOff>
    </xdr:from>
    <xdr:to>
      <xdr:col>11</xdr:col>
      <xdr:colOff>0</xdr:colOff>
      <xdr:row>22</xdr:row>
      <xdr:rowOff>31373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xdr:row>
      <xdr:rowOff>46182</xdr:rowOff>
    </xdr:from>
    <xdr:to>
      <xdr:col>5</xdr:col>
      <xdr:colOff>398317</xdr:colOff>
      <xdr:row>11</xdr:row>
      <xdr:rowOff>138545</xdr:rowOff>
    </xdr:to>
    <xdr:sp macro="" textlink="">
      <xdr:nvSpPr>
        <xdr:cNvPr id="13" name="TextBox 12"/>
        <xdr:cNvSpPr txBox="1"/>
      </xdr:nvSpPr>
      <xdr:spPr>
        <a:xfrm>
          <a:off x="0" y="2029114"/>
          <a:ext cx="3610840" cy="473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b="1" u="none">
              <a:latin typeface="Arial" panose="020B0604020202020204" pitchFamily="34" charset="0"/>
              <a:cs typeface="Arial" panose="020B0604020202020204" pitchFamily="34" charset="0"/>
            </a:rPr>
            <a:t>Chart</a:t>
          </a:r>
          <a:r>
            <a:rPr lang="en-GB" sz="900" b="1" u="none" baseline="0">
              <a:latin typeface="Arial" panose="020B0604020202020204" pitchFamily="34" charset="0"/>
              <a:cs typeface="Arial" panose="020B0604020202020204" pitchFamily="34" charset="0"/>
            </a:rPr>
            <a:t> 5a: </a:t>
          </a:r>
          <a:r>
            <a:rPr lang="en-GB" sz="900" b="1" u="none">
              <a:latin typeface="Arial" panose="020B0604020202020204" pitchFamily="34" charset="0"/>
              <a:cs typeface="Arial" panose="020B0604020202020204" pitchFamily="34" charset="0"/>
            </a:rPr>
            <a:t>Percentage of optometry practices that were accredited to provide Eye Health Examinations Wales services</a:t>
          </a:r>
        </a:p>
      </xdr:txBody>
    </xdr:sp>
    <xdr:clientData/>
  </xdr:twoCellAnchor>
  <xdr:twoCellAnchor>
    <xdr:from>
      <xdr:col>5</xdr:col>
      <xdr:colOff>372342</xdr:colOff>
      <xdr:row>9</xdr:row>
      <xdr:rowOff>46184</xdr:rowOff>
    </xdr:from>
    <xdr:to>
      <xdr:col>11</xdr:col>
      <xdr:colOff>0</xdr:colOff>
      <xdr:row>11</xdr:row>
      <xdr:rowOff>164523</xdr:rowOff>
    </xdr:to>
    <xdr:sp macro="" textlink="">
      <xdr:nvSpPr>
        <xdr:cNvPr id="14" name="TextBox 13"/>
        <xdr:cNvSpPr txBox="1"/>
      </xdr:nvSpPr>
      <xdr:spPr>
        <a:xfrm>
          <a:off x="3584865" y="2029116"/>
          <a:ext cx="3446317" cy="499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b="1" u="none">
              <a:latin typeface="Arial" panose="020B0604020202020204" pitchFamily="34" charset="0"/>
              <a:cs typeface="Arial" panose="020B0604020202020204" pitchFamily="34" charset="0"/>
            </a:rPr>
            <a:t>Chart</a:t>
          </a:r>
          <a:r>
            <a:rPr lang="en-GB" sz="900" b="1" u="none" baseline="0">
              <a:latin typeface="Arial" panose="020B0604020202020204" pitchFamily="34" charset="0"/>
              <a:cs typeface="Arial" panose="020B0604020202020204" pitchFamily="34" charset="0"/>
            </a:rPr>
            <a:t> 5b: </a:t>
          </a:r>
          <a:r>
            <a:rPr lang="en-GB" sz="900" b="1" u="none">
              <a:latin typeface="Arial" panose="020B0604020202020204" pitchFamily="34" charset="0"/>
              <a:cs typeface="Arial" panose="020B0604020202020204" pitchFamily="34" charset="0"/>
            </a:rPr>
            <a:t>Percentage of optometry practices that were accredited to provide Low Vision Service Wales services</a:t>
          </a:r>
        </a:p>
      </xdr:txBody>
    </xdr:sp>
    <xdr:clientData/>
  </xdr:twoCellAnchor>
  <xdr:twoCellAnchor>
    <xdr:from>
      <xdr:col>4</xdr:col>
      <xdr:colOff>416171</xdr:colOff>
      <xdr:row>12</xdr:row>
      <xdr:rowOff>129886</xdr:rowOff>
    </xdr:from>
    <xdr:to>
      <xdr:col>6</xdr:col>
      <xdr:colOff>496767</xdr:colOff>
      <xdr:row>18</xdr:row>
      <xdr:rowOff>51289</xdr:rowOff>
    </xdr:to>
    <xdr:sp macro="" textlink="">
      <xdr:nvSpPr>
        <xdr:cNvPr id="15" name="Rectangle 14"/>
        <xdr:cNvSpPr/>
      </xdr:nvSpPr>
      <xdr:spPr>
        <a:xfrm>
          <a:off x="2866694" y="2684318"/>
          <a:ext cx="1604596" cy="1081721"/>
        </a:xfrm>
        <a:prstGeom prst="rect">
          <a:avLst/>
        </a:prstGeom>
        <a:no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u="none"/>
        </a:p>
      </xdr:txBody>
    </xdr:sp>
    <xdr:clientData/>
  </xdr:twoCellAnchor>
  <xdr:twoCellAnchor>
    <xdr:from>
      <xdr:col>3</xdr:col>
      <xdr:colOff>25977</xdr:colOff>
      <xdr:row>0</xdr:row>
      <xdr:rowOff>181841</xdr:rowOff>
    </xdr:from>
    <xdr:to>
      <xdr:col>8</xdr:col>
      <xdr:colOff>701386</xdr:colOff>
      <xdr:row>2</xdr:row>
      <xdr:rowOff>124691</xdr:rowOff>
    </xdr:to>
    <xdr:sp macro="" textlink="">
      <xdr:nvSpPr>
        <xdr:cNvPr id="16" name="TextBox 15"/>
        <xdr:cNvSpPr txBox="1"/>
      </xdr:nvSpPr>
      <xdr:spPr>
        <a:xfrm>
          <a:off x="1714500" y="181841"/>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7" name="Picture 16" descr="P:\statshare\StatsBranding\Images-logos\banner.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744681</xdr:colOff>
      <xdr:row>0</xdr:row>
      <xdr:rowOff>129887</xdr:rowOff>
    </xdr:from>
    <xdr:to>
      <xdr:col>8</xdr:col>
      <xdr:colOff>658090</xdr:colOff>
      <xdr:row>2</xdr:row>
      <xdr:rowOff>72737</xdr:rowOff>
    </xdr:to>
    <xdr:sp macro="" textlink="">
      <xdr:nvSpPr>
        <xdr:cNvPr id="18" name="TextBox 17"/>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147204</xdr:colOff>
      <xdr:row>3</xdr:row>
      <xdr:rowOff>121227</xdr:rowOff>
    </xdr:from>
    <xdr:to>
      <xdr:col>10</xdr:col>
      <xdr:colOff>95250</xdr:colOff>
      <xdr:row>6</xdr:row>
      <xdr:rowOff>17318</xdr:rowOff>
    </xdr:to>
    <xdr:sp macro="" textlink="">
      <xdr:nvSpPr>
        <xdr:cNvPr id="20" name="Pentagon 19">
          <a:hlinkClick xmlns:r="http://schemas.openxmlformats.org/officeDocument/2006/relationships" r:id="rId6"/>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Referrals</a:t>
          </a:r>
          <a:r>
            <a:rPr lang="en-GB" sz="1100" baseline="0">
              <a:latin typeface="Arial" panose="020B0604020202020204" pitchFamily="34" charset="0"/>
              <a:cs typeface="Arial" panose="020B0604020202020204" pitchFamily="34" charset="0"/>
            </a:rPr>
            <a:t> to HES</a:t>
          </a:r>
        </a:p>
      </xdr:txBody>
    </xdr:sp>
    <xdr:clientData/>
  </xdr:twoCellAnchor>
  <xdr:twoCellAnchor>
    <xdr:from>
      <xdr:col>0</xdr:col>
      <xdr:colOff>60614</xdr:colOff>
      <xdr:row>3</xdr:row>
      <xdr:rowOff>123225</xdr:rowOff>
    </xdr:from>
    <xdr:to>
      <xdr:col>2</xdr:col>
      <xdr:colOff>458932</xdr:colOff>
      <xdr:row>6</xdr:row>
      <xdr:rowOff>13322</xdr:rowOff>
    </xdr:to>
    <xdr:sp macro="" textlink="">
      <xdr:nvSpPr>
        <xdr:cNvPr id="21" name="Pentagon 20">
          <a:hlinkClick xmlns:r="http://schemas.openxmlformats.org/officeDocument/2006/relationships" r:id="rId7"/>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Vouchers &amp;</a:t>
          </a:r>
          <a:r>
            <a:rPr lang="en-GB" sz="1000" baseline="0">
              <a:solidFill>
                <a:schemeClr val="lt1"/>
              </a:solidFill>
              <a:effectLst/>
              <a:latin typeface="Arial" panose="020B0604020202020204" pitchFamily="34" charset="0"/>
              <a:ea typeface="+mn-ea"/>
              <a:cs typeface="Arial" panose="020B0604020202020204" pitchFamily="34" charset="0"/>
            </a:rPr>
            <a:t> Repairs</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207819</xdr:colOff>
      <xdr:row>24</xdr:row>
      <xdr:rowOff>8660</xdr:rowOff>
    </xdr:from>
    <xdr:to>
      <xdr:col>10</xdr:col>
      <xdr:colOff>1</xdr:colOff>
      <xdr:row>25</xdr:row>
      <xdr:rowOff>155863</xdr:rowOff>
    </xdr:to>
    <xdr:pic>
      <xdr:nvPicPr>
        <xdr:cNvPr id="6" name="Picture 5">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68342" y="5325342"/>
          <a:ext cx="493568" cy="441612"/>
        </a:xfrm>
        <a:prstGeom prst="rect">
          <a:avLst/>
        </a:prstGeom>
      </xdr:spPr>
    </xdr:pic>
    <xdr:clientData/>
  </xdr:twoCellAnchor>
  <xdr:twoCellAnchor>
    <xdr:from>
      <xdr:col>6</xdr:col>
      <xdr:colOff>727363</xdr:colOff>
      <xdr:row>7</xdr:row>
      <xdr:rowOff>253999</xdr:rowOff>
    </xdr:from>
    <xdr:to>
      <xdr:col>10</xdr:col>
      <xdr:colOff>25977</xdr:colOff>
      <xdr:row>23</xdr:row>
      <xdr:rowOff>25978</xdr:rowOff>
    </xdr:to>
    <xdr:sp macro="" textlink="">
      <xdr:nvSpPr>
        <xdr:cNvPr id="9" name="Rectangle 8"/>
        <xdr:cNvSpPr/>
      </xdr:nvSpPr>
      <xdr:spPr>
        <a:xfrm>
          <a:off x="4701886" y="2288885"/>
          <a:ext cx="2286000" cy="2811320"/>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0</xdr:col>
      <xdr:colOff>63500</xdr:colOff>
      <xdr:row>7</xdr:row>
      <xdr:rowOff>260735</xdr:rowOff>
    </xdr:from>
    <xdr:to>
      <xdr:col>6</xdr:col>
      <xdr:colOff>666750</xdr:colOff>
      <xdr:row>23</xdr:row>
      <xdr:rowOff>25977</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57505</xdr:colOff>
      <xdr:row>19</xdr:row>
      <xdr:rowOff>161785</xdr:rowOff>
    </xdr:from>
    <xdr:to>
      <xdr:col>6</xdr:col>
      <xdr:colOff>204042</xdr:colOff>
      <xdr:row>21</xdr:row>
      <xdr:rowOff>138175</xdr:rowOff>
    </xdr:to>
    <xdr:sp macro="" textlink="">
      <xdr:nvSpPr>
        <xdr:cNvPr id="7" name="TextBox 6"/>
        <xdr:cNvSpPr txBox="1"/>
      </xdr:nvSpPr>
      <xdr:spPr>
        <a:xfrm>
          <a:off x="3270028" y="4474012"/>
          <a:ext cx="908537" cy="357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700">
              <a:latin typeface="Arial" panose="020B0604020202020204" pitchFamily="34" charset="0"/>
              <a:cs typeface="Arial" panose="020B0604020202020204" pitchFamily="34" charset="0"/>
            </a:rPr>
            <a:t>Data</a:t>
          </a:r>
          <a:r>
            <a:rPr lang="en-GB" sz="700" baseline="0">
              <a:latin typeface="Arial" panose="020B0604020202020204" pitchFamily="34" charset="0"/>
              <a:cs typeface="Arial" panose="020B0604020202020204" pitchFamily="34" charset="0"/>
            </a:rPr>
            <a:t> downloaded on 18/05/2017</a:t>
          </a:r>
          <a:endParaRPr lang="en-GB" sz="700">
            <a:latin typeface="Arial" panose="020B0604020202020204" pitchFamily="34" charset="0"/>
            <a:cs typeface="Arial" panose="020B0604020202020204" pitchFamily="34" charset="0"/>
          </a:endParaRPr>
        </a:p>
      </xdr:txBody>
    </xdr:sp>
    <xdr:clientData/>
  </xdr:twoCellAnchor>
  <xdr:twoCellAnchor>
    <xdr:from>
      <xdr:col>3</xdr:col>
      <xdr:colOff>8659</xdr:colOff>
      <xdr:row>0</xdr:row>
      <xdr:rowOff>181841</xdr:rowOff>
    </xdr:from>
    <xdr:to>
      <xdr:col>8</xdr:col>
      <xdr:colOff>718704</xdr:colOff>
      <xdr:row>2</xdr:row>
      <xdr:rowOff>124691</xdr:rowOff>
    </xdr:to>
    <xdr:sp macro="" textlink="">
      <xdr:nvSpPr>
        <xdr:cNvPr id="12" name="TextBox 11"/>
        <xdr:cNvSpPr txBox="1"/>
      </xdr:nvSpPr>
      <xdr:spPr>
        <a:xfrm>
          <a:off x="1697182" y="181841"/>
          <a:ext cx="4520045"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4" name="Picture 13"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744681</xdr:colOff>
      <xdr:row>0</xdr:row>
      <xdr:rowOff>129887</xdr:rowOff>
    </xdr:from>
    <xdr:to>
      <xdr:col>8</xdr:col>
      <xdr:colOff>658090</xdr:colOff>
      <xdr:row>2</xdr:row>
      <xdr:rowOff>72737</xdr:rowOff>
    </xdr:to>
    <xdr:sp macro="" textlink="">
      <xdr:nvSpPr>
        <xdr:cNvPr id="15" name="TextBox 14"/>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147204</xdr:colOff>
      <xdr:row>3</xdr:row>
      <xdr:rowOff>121227</xdr:rowOff>
    </xdr:from>
    <xdr:to>
      <xdr:col>10</xdr:col>
      <xdr:colOff>0</xdr:colOff>
      <xdr:row>5</xdr:row>
      <xdr:rowOff>69273</xdr:rowOff>
    </xdr:to>
    <xdr:sp macro="" textlink="">
      <xdr:nvSpPr>
        <xdr:cNvPr id="16" name="Pentagon 15">
          <a:hlinkClick xmlns:r="http://schemas.openxmlformats.org/officeDocument/2006/relationships" r:id="rId5"/>
        </xdr:cNvPr>
        <xdr:cNvSpPr/>
      </xdr:nvSpPr>
      <xdr:spPr>
        <a:xfrm>
          <a:off x="5645727"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Low Vision Service Wales</a:t>
          </a:r>
        </a:p>
      </xdr:txBody>
    </xdr:sp>
    <xdr:clientData/>
  </xdr:twoCellAnchor>
  <xdr:twoCellAnchor>
    <xdr:from>
      <xdr:col>0</xdr:col>
      <xdr:colOff>60614</xdr:colOff>
      <xdr:row>3</xdr:row>
      <xdr:rowOff>123225</xdr:rowOff>
    </xdr:from>
    <xdr:to>
      <xdr:col>2</xdr:col>
      <xdr:colOff>458932</xdr:colOff>
      <xdr:row>5</xdr:row>
      <xdr:rowOff>65277</xdr:rowOff>
    </xdr:to>
    <xdr:sp macro="" textlink="">
      <xdr:nvSpPr>
        <xdr:cNvPr id="17" name="Pentagon 16">
          <a:hlinkClick xmlns:r="http://schemas.openxmlformats.org/officeDocument/2006/relationships" r:id="rId6"/>
        </xdr:cNvPr>
        <xdr:cNvSpPr/>
      </xdr:nvSpPr>
      <xdr:spPr>
        <a:xfrm flipH="1">
          <a:off x="60614"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Optometry Practices</a:t>
          </a:r>
          <a:endParaRPr lang="en-GB" sz="10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190500</xdr:colOff>
      <xdr:row>23</xdr:row>
      <xdr:rowOff>222468</xdr:rowOff>
    </xdr:from>
    <xdr:to>
      <xdr:col>9</xdr:col>
      <xdr:colOff>684068</xdr:colOff>
      <xdr:row>25</xdr:row>
      <xdr:rowOff>199160</xdr:rowOff>
    </xdr:to>
    <xdr:pic>
      <xdr:nvPicPr>
        <xdr:cNvPr id="6" name="Picture 5">
          <a:hlinkClick xmlns:r="http://schemas.openxmlformats.org/officeDocument/2006/relationships" r:id="rId1"/>
        </xdr:cNvPr>
        <xdr:cNvPicPr>
          <a:picLocks noChangeAspect="1"/>
        </xdr:cNvPicPr>
      </xdr:nvPicPr>
      <xdr:blipFill rotWithShape="1">
        <a:blip xmlns:r="http://schemas.openxmlformats.org/officeDocument/2006/relationships" r:embed="rId2"/>
        <a:srcRect l="27014" t="12263" r="26934" b="13642"/>
        <a:stretch/>
      </xdr:blipFill>
      <xdr:spPr>
        <a:xfrm>
          <a:off x="6468341" y="5322673"/>
          <a:ext cx="493568" cy="4442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552450</xdr:colOff>
          <xdr:row>9</xdr:row>
          <xdr:rowOff>38100</xdr:rowOff>
        </xdr:from>
        <xdr:to>
          <xdr:col>9</xdr:col>
          <xdr:colOff>76200</xdr:colOff>
          <xdr:row>10</xdr:row>
          <xdr:rowOff>28575</xdr:rowOff>
        </xdr:to>
        <xdr:sp macro="" textlink="">
          <xdr:nvSpPr>
            <xdr:cNvPr id="23555" name="Drop Down 3" hidden="1">
              <a:extLst>
                <a:ext uri="{63B3BB69-23CF-44E3-9099-C40C66FF867C}">
                  <a14:compatExt spid="_x0000_s23555"/>
                </a:ext>
              </a:extLst>
            </xdr:cNvPr>
            <xdr:cNvSpPr/>
          </xdr:nvSpPr>
          <xdr:spPr>
            <a:xfrm>
              <a:off x="0" y="0"/>
              <a:ext cx="0" cy="0"/>
            </a:xfrm>
            <a:prstGeom prst="rect">
              <a:avLst/>
            </a:prstGeom>
          </xdr:spPr>
        </xdr:sp>
        <xdr:clientData fLocksWithSheet="0"/>
      </xdr:twoCellAnchor>
    </mc:Choice>
    <mc:Fallback/>
  </mc:AlternateContent>
  <xdr:twoCellAnchor>
    <xdr:from>
      <xdr:col>4</xdr:col>
      <xdr:colOff>112568</xdr:colOff>
      <xdr:row>10</xdr:row>
      <xdr:rowOff>121229</xdr:rowOff>
    </xdr:from>
    <xdr:to>
      <xdr:col>9</xdr:col>
      <xdr:colOff>675409</xdr:colOff>
      <xdr:row>23</xdr:row>
      <xdr:rowOff>25977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87923</xdr:colOff>
      <xdr:row>10</xdr:row>
      <xdr:rowOff>138545</xdr:rowOff>
    </xdr:from>
    <xdr:to>
      <xdr:col>4</xdr:col>
      <xdr:colOff>34635</xdr:colOff>
      <xdr:row>23</xdr:row>
      <xdr:rowOff>25976</xdr:rowOff>
    </xdr:to>
    <xdr:sp macro="" textlink="">
      <xdr:nvSpPr>
        <xdr:cNvPr id="9" name="Rectangle 8"/>
        <xdr:cNvSpPr/>
      </xdr:nvSpPr>
      <xdr:spPr>
        <a:xfrm>
          <a:off x="87923" y="2736272"/>
          <a:ext cx="2414553" cy="2389909"/>
        </a:xfrm>
        <a:prstGeom prst="rect">
          <a:avLst/>
        </a:prstGeom>
        <a:no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ysClr val="windowText" lastClr="000000"/>
            </a:solidFill>
          </a:endParaRPr>
        </a:p>
      </xdr:txBody>
    </xdr:sp>
    <xdr:clientData/>
  </xdr:twoCellAnchor>
  <xdr:twoCellAnchor>
    <xdr:from>
      <xdr:col>2</xdr:col>
      <xdr:colOff>710045</xdr:colOff>
      <xdr:row>0</xdr:row>
      <xdr:rowOff>173182</xdr:rowOff>
    </xdr:from>
    <xdr:to>
      <xdr:col>8</xdr:col>
      <xdr:colOff>623454</xdr:colOff>
      <xdr:row>2</xdr:row>
      <xdr:rowOff>116032</xdr:rowOff>
    </xdr:to>
    <xdr:sp macro="" textlink="">
      <xdr:nvSpPr>
        <xdr:cNvPr id="11" name="TextBox 10"/>
        <xdr:cNvSpPr txBox="1"/>
      </xdr:nvSpPr>
      <xdr:spPr>
        <a:xfrm>
          <a:off x="1653886" y="173182"/>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0</xdr:rowOff>
    </xdr:from>
    <xdr:to>
      <xdr:col>11</xdr:col>
      <xdr:colOff>0</xdr:colOff>
      <xdr:row>3</xdr:row>
      <xdr:rowOff>51289</xdr:rowOff>
    </xdr:to>
    <xdr:pic>
      <xdr:nvPicPr>
        <xdr:cNvPr id="13" name="Picture 12" descr="P:\statshare\StatsBranding\Images-logos\banner.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7022523" cy="882562"/>
        </a:xfrm>
        <a:prstGeom prst="rect">
          <a:avLst/>
        </a:prstGeom>
        <a:noFill/>
        <a:ln>
          <a:noFill/>
        </a:ln>
      </xdr:spPr>
    </xdr:pic>
    <xdr:clientData/>
  </xdr:twoCellAnchor>
  <xdr:twoCellAnchor>
    <xdr:from>
      <xdr:col>2</xdr:col>
      <xdr:colOff>727363</xdr:colOff>
      <xdr:row>0</xdr:row>
      <xdr:rowOff>129887</xdr:rowOff>
    </xdr:from>
    <xdr:to>
      <xdr:col>8</xdr:col>
      <xdr:colOff>640772</xdr:colOff>
      <xdr:row>2</xdr:row>
      <xdr:rowOff>72737</xdr:rowOff>
    </xdr:to>
    <xdr:sp macro="" textlink="">
      <xdr:nvSpPr>
        <xdr:cNvPr id="14" name="TextBox 13"/>
        <xdr:cNvSpPr txBox="1"/>
      </xdr:nvSpPr>
      <xdr:spPr>
        <a:xfrm>
          <a:off x="1671204" y="129887"/>
          <a:ext cx="4485409" cy="583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700">
              <a:solidFill>
                <a:schemeClr val="bg1"/>
              </a:solidFill>
              <a:latin typeface="Arial" panose="020B0604020202020204" pitchFamily="34" charset="0"/>
              <a:cs typeface="Arial" panose="020B0604020202020204" pitchFamily="34" charset="0"/>
            </a:rPr>
            <a:t>Sensory Health </a:t>
          </a:r>
          <a:r>
            <a:rPr lang="en-GB" sz="2700" baseline="0">
              <a:solidFill>
                <a:schemeClr val="bg1"/>
              </a:solidFill>
              <a:latin typeface="Arial" panose="020B0604020202020204" pitchFamily="34" charset="0"/>
              <a:cs typeface="Arial" panose="020B0604020202020204" pitchFamily="34" charset="0"/>
            </a:rPr>
            <a:t>Dashboard</a:t>
          </a:r>
          <a:endParaRPr lang="en-GB" sz="2700">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129884</xdr:colOff>
      <xdr:row>3</xdr:row>
      <xdr:rowOff>121227</xdr:rowOff>
    </xdr:from>
    <xdr:to>
      <xdr:col>9</xdr:col>
      <xdr:colOff>684066</xdr:colOff>
      <xdr:row>5</xdr:row>
      <xdr:rowOff>207818</xdr:rowOff>
    </xdr:to>
    <xdr:sp macro="" textlink="">
      <xdr:nvSpPr>
        <xdr:cNvPr id="15" name="Pentagon 14">
          <a:hlinkClick xmlns:r="http://schemas.openxmlformats.org/officeDocument/2006/relationships" r:id="rId5"/>
        </xdr:cNvPr>
        <xdr:cNvSpPr/>
      </xdr:nvSpPr>
      <xdr:spPr>
        <a:xfrm>
          <a:off x="5645725" y="952500"/>
          <a:ext cx="1316182" cy="476250"/>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latin typeface="Arial" panose="020B0604020202020204" pitchFamily="34" charset="0"/>
              <a:cs typeface="Arial" panose="020B0604020202020204" pitchFamily="34" charset="0"/>
            </a:rPr>
            <a:t>DESW Appointments</a:t>
          </a:r>
        </a:p>
      </xdr:txBody>
    </xdr:sp>
    <xdr:clientData/>
  </xdr:twoCellAnchor>
  <xdr:twoCellAnchor>
    <xdr:from>
      <xdr:col>0</xdr:col>
      <xdr:colOff>60612</xdr:colOff>
      <xdr:row>3</xdr:row>
      <xdr:rowOff>123225</xdr:rowOff>
    </xdr:from>
    <xdr:to>
      <xdr:col>2</xdr:col>
      <xdr:colOff>441612</xdr:colOff>
      <xdr:row>5</xdr:row>
      <xdr:rowOff>203822</xdr:rowOff>
    </xdr:to>
    <xdr:sp macro="" textlink="">
      <xdr:nvSpPr>
        <xdr:cNvPr id="16" name="Pentagon 15">
          <a:hlinkClick xmlns:r="http://schemas.openxmlformats.org/officeDocument/2006/relationships" r:id="rId6"/>
        </xdr:cNvPr>
        <xdr:cNvSpPr/>
      </xdr:nvSpPr>
      <xdr:spPr>
        <a:xfrm flipH="1">
          <a:off x="60612" y="954498"/>
          <a:ext cx="1324841" cy="470256"/>
        </a:xfrm>
        <a:prstGeom prst="homePlate">
          <a:avLst/>
        </a:prstGeom>
        <a:solidFill>
          <a:srgbClr val="032163"/>
        </a:solidFill>
        <a:ln>
          <a:solidFill>
            <a:srgbClr val="385D8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00">
              <a:solidFill>
                <a:schemeClr val="lt1"/>
              </a:solidFill>
              <a:effectLst/>
              <a:latin typeface="Arial" panose="020B0604020202020204" pitchFamily="34" charset="0"/>
              <a:ea typeface="+mn-ea"/>
              <a:cs typeface="Arial" panose="020B0604020202020204" pitchFamily="34" charset="0"/>
            </a:rPr>
            <a:t>Referrals</a:t>
          </a:r>
          <a:r>
            <a:rPr lang="en-GB" sz="1000" baseline="0">
              <a:solidFill>
                <a:schemeClr val="lt1"/>
              </a:solidFill>
              <a:effectLst/>
              <a:latin typeface="Arial" panose="020B0604020202020204" pitchFamily="34" charset="0"/>
              <a:ea typeface="+mn-ea"/>
              <a:cs typeface="Arial" panose="020B0604020202020204" pitchFamily="34" charset="0"/>
            </a:rPr>
            <a:t> to HES</a:t>
          </a:r>
          <a:endParaRPr lang="en-GB" sz="10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ac001\workgroup_rw\stats\HSA\NHSPrimaryCommunityHealth\General%20Dental\Post%20dental%20contract%20data\Bulletins\Q1%202005-06\Wales%20monthly%20number%20of%20claims%20UDA%20%20April%20-%20June%20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ats/HSA/NHSPerformance/Delayed%20Transfers%20of%20Care/DToC%20Data%20Full%20download/DToC%20Releases/2008/SDR71%20%202008%20Delayed%20Transfers%20of%20Care%20April%202008/DToC%20Release%20Data%20April-New%20style%20release%20data%20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ats/HSA/NHSPerformance/Delayed%20Transfers%20of%20Care/DToC%20Data%20Full%20download/DToc%20monthly/Dtoc%20January%202005/Jan%2005%20-%20Full%20download%20-%20pivot%20tabl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ats/HSA/Substance%20Misuse/Quarterly%20reports/2010-11/Q2/Sep-09%20-%20full%20download%20-%20pivot%20tables%20+%20english%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ats/HSA/Substance%20Misuse/Annual%20Reports/2010-11/Excel%20tables%20and%20charts%202001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ats/HSA/NHSPrimaryCommunityHealth/Community/DentalServices/ElectronicDataEntry/0809/20090929CDSWRCardiffAndVale"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bles&amp;Charts%202016-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okups"/>
      <sheetName val="summary"/>
      <sheetName val="April 2006"/>
      <sheetName val="May 2006"/>
      <sheetName val="June 2006"/>
      <sheetName val="April06 UDA"/>
      <sheetName val="May06 UDA"/>
      <sheetName val="June06 UDA"/>
      <sheetName val="April_2006"/>
      <sheetName val="April_20062"/>
      <sheetName val="April_20061"/>
    </sheetNames>
    <sheetDataSet>
      <sheetData sheetId="0"/>
      <sheetData sheetId="1" refreshError="1">
        <row r="2">
          <cell r="A2" t="str">
            <v>LHB</v>
          </cell>
          <cell r="B2" t="str">
            <v>order</v>
          </cell>
        </row>
        <row r="3">
          <cell r="A3" t="str">
            <v>Anglesey</v>
          </cell>
          <cell r="B3">
            <v>1</v>
          </cell>
        </row>
        <row r="4">
          <cell r="A4" t="str">
            <v>Blaenau Gwent</v>
          </cell>
          <cell r="B4">
            <v>19</v>
          </cell>
        </row>
        <row r="5">
          <cell r="A5" t="str">
            <v>Bridgend</v>
          </cell>
          <cell r="B5">
            <v>13</v>
          </cell>
        </row>
        <row r="6">
          <cell r="A6" t="str">
            <v>Caerphilly</v>
          </cell>
          <cell r="B6">
            <v>18</v>
          </cell>
        </row>
        <row r="7">
          <cell r="A7" t="str">
            <v>Cardiff</v>
          </cell>
          <cell r="B7">
            <v>15</v>
          </cell>
        </row>
        <row r="8">
          <cell r="A8" t="str">
            <v>Carmarthen</v>
          </cell>
          <cell r="B8">
            <v>10</v>
          </cell>
        </row>
        <row r="9">
          <cell r="A9" t="str">
            <v>Ceredigion</v>
          </cell>
          <cell r="B9">
            <v>8</v>
          </cell>
        </row>
        <row r="10">
          <cell r="A10" t="str">
            <v>Conway</v>
          </cell>
          <cell r="B10">
            <v>3</v>
          </cell>
        </row>
        <row r="11">
          <cell r="A11" t="str">
            <v>Denbighshire</v>
          </cell>
          <cell r="B11">
            <v>4</v>
          </cell>
        </row>
        <row r="12">
          <cell r="A12" t="str">
            <v>Flintshire</v>
          </cell>
          <cell r="B12">
            <v>5</v>
          </cell>
        </row>
        <row r="13">
          <cell r="A13" t="str">
            <v>Gwynedd</v>
          </cell>
          <cell r="B13">
            <v>2</v>
          </cell>
        </row>
        <row r="14">
          <cell r="A14" t="str">
            <v>Merthyr Tydfil</v>
          </cell>
          <cell r="B14">
            <v>17</v>
          </cell>
        </row>
        <row r="15">
          <cell r="A15" t="str">
            <v>Monmouth</v>
          </cell>
          <cell r="B15">
            <v>21</v>
          </cell>
        </row>
        <row r="16">
          <cell r="A16" t="str">
            <v>Neath Port Talbot</v>
          </cell>
          <cell r="B16">
            <v>12</v>
          </cell>
        </row>
        <row r="17">
          <cell r="A17" t="str">
            <v>Newport</v>
          </cell>
          <cell r="B17">
            <v>22</v>
          </cell>
        </row>
        <row r="18">
          <cell r="A18" t="str">
            <v>Pembrokeshire</v>
          </cell>
          <cell r="B18">
            <v>9</v>
          </cell>
        </row>
        <row r="19">
          <cell r="A19" t="str">
            <v>Powys</v>
          </cell>
          <cell r="B19">
            <v>7</v>
          </cell>
        </row>
        <row r="20">
          <cell r="A20" t="str">
            <v>Rhondda Cynon Taf</v>
          </cell>
          <cell r="B20">
            <v>16</v>
          </cell>
        </row>
        <row r="21">
          <cell r="A21" t="str">
            <v>Swansea</v>
          </cell>
          <cell r="B21">
            <v>11</v>
          </cell>
        </row>
        <row r="22">
          <cell r="A22" t="str">
            <v>Torfaen</v>
          </cell>
          <cell r="B22">
            <v>20</v>
          </cell>
        </row>
        <row r="23">
          <cell r="A23" t="str">
            <v>Vale of Glamorgan</v>
          </cell>
          <cell r="B23">
            <v>14</v>
          </cell>
        </row>
        <row r="24">
          <cell r="A24" t="str">
            <v>Wrexham</v>
          </cell>
          <cell r="B24">
            <v>6</v>
          </cell>
        </row>
        <row r="25">
          <cell r="A25" t="str">
            <v>Total</v>
          </cell>
          <cell r="B25">
            <v>23</v>
          </cell>
        </row>
      </sheetData>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Trends by Trust"/>
      <sheetName val="Table Trends"/>
      <sheetName val="Trust table All"/>
      <sheetName val="Trust table ex MH"/>
      <sheetName val="Trust table MH"/>
      <sheetName val="LHB table All"/>
      <sheetName val="LHB table ex MH"/>
      <sheetName val="Hlth0809"/>
      <sheetName val="LHB table MH"/>
      <sheetName val="Hlth0810"/>
      <sheetName val="Class Pivot"/>
      <sheetName val="Class Tables"/>
      <sheetName val="Class Pivot 2"/>
      <sheetName val="ClassTables2"/>
      <sheetName val="WalesClassChart"/>
      <sheetName val="BethanData"/>
      <sheetName val="LA Pivot"/>
      <sheetName val="Trust Pivot"/>
      <sheetName val="Trust lookup"/>
      <sheetName val="Pop."/>
      <sheetName val="Beds"/>
      <sheetName val="Reason 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Reason</v>
          </cell>
          <cell r="B1" t="str">
            <v>Code</v>
          </cell>
          <cell r="C1" t="str">
            <v>Group</v>
          </cell>
          <cell r="D1" t="str">
            <v>Class</v>
          </cell>
        </row>
        <row r="2">
          <cell r="A2" t="str">
            <v>Awaiting completion of assessment (beyond local agreement)</v>
          </cell>
          <cell r="B2">
            <v>1.01</v>
          </cell>
          <cell r="C2" t="str">
            <v>1-Social care assessment</v>
          </cell>
          <cell r="D2">
            <v>0</v>
          </cell>
        </row>
        <row r="3">
          <cell r="A3" t="str">
            <v>Assessment completed; awaiting funding authorisation</v>
          </cell>
          <cell r="B3">
            <v>2.0099999999999998</v>
          </cell>
          <cell r="C3" t="str">
            <v>2-Social care arrangement</v>
          </cell>
          <cell r="D3">
            <v>2</v>
          </cell>
        </row>
        <row r="4">
          <cell r="A4" t="str">
            <v>Re housing (LA responsibility) sheltered or mainstream accommodation</v>
          </cell>
          <cell r="B4">
            <v>2.02</v>
          </cell>
          <cell r="C4" t="str">
            <v>2-Social care arrangement</v>
          </cell>
          <cell r="D4">
            <v>2</v>
          </cell>
        </row>
        <row r="5">
          <cell r="A5" t="str">
            <v>Awaiting start or re-start of home based care packages (beyond local agreement)</v>
          </cell>
          <cell r="B5">
            <v>2.0299999999999998</v>
          </cell>
          <cell r="C5" t="str">
            <v>2-Social care arrangement</v>
          </cell>
          <cell r="D5">
            <v>2</v>
          </cell>
        </row>
        <row r="6">
          <cell r="A6" t="str">
            <v>Awaiting completion of residential care placement arrangements (beyond local agreement)</v>
          </cell>
          <cell r="B6">
            <v>2.04</v>
          </cell>
          <cell r="C6" t="str">
            <v>2-Social care arrangement</v>
          </cell>
          <cell r="D6">
            <v>2</v>
          </cell>
        </row>
        <row r="7">
          <cell r="A7" t="str">
            <v>Awaiting completion of nursing care placement arrangements (beyond local agreement)</v>
          </cell>
          <cell r="B7">
            <v>2.0499999999999998</v>
          </cell>
          <cell r="C7" t="str">
            <v>2-Social care arrangement</v>
          </cell>
          <cell r="D7">
            <v>2</v>
          </cell>
        </row>
        <row r="8">
          <cell r="A8" t="str">
            <v>Awating home adaptation/equipment</v>
          </cell>
          <cell r="B8">
            <v>2.06</v>
          </cell>
          <cell r="C8" t="str">
            <v>2-Social care arrangement</v>
          </cell>
          <cell r="D8">
            <v>2</v>
          </cell>
        </row>
        <row r="9">
          <cell r="A9" t="str">
            <v>No appropriate placement available</v>
          </cell>
          <cell r="B9">
            <v>2.0699999999999998</v>
          </cell>
          <cell r="C9" t="str">
            <v>2-Social care arrangement</v>
          </cell>
          <cell r="D9">
            <v>2</v>
          </cell>
        </row>
        <row r="10">
          <cell r="A10" t="str">
            <v>No appropriate facility exists</v>
          </cell>
          <cell r="B10">
            <v>2.08</v>
          </cell>
          <cell r="C10" t="str">
            <v>2-Social care arrangement</v>
          </cell>
          <cell r="D10">
            <v>2</v>
          </cell>
        </row>
        <row r="11">
          <cell r="A11" t="str">
            <v>Funding not available for nursing or residential placement</v>
          </cell>
          <cell r="B11">
            <v>2.09</v>
          </cell>
          <cell r="C11" t="str">
            <v>2-Social care arrangement</v>
          </cell>
          <cell r="D11">
            <v>2</v>
          </cell>
        </row>
        <row r="12">
          <cell r="A12" t="str">
            <v>Funding not available for home care package</v>
          </cell>
          <cell r="B12">
            <v>2.1</v>
          </cell>
          <cell r="C12" t="str">
            <v>2-Social care arrangement</v>
          </cell>
          <cell r="D12">
            <v>2</v>
          </cell>
        </row>
        <row r="13">
          <cell r="A13" t="str">
            <v>Awaiting specialist assessment/review</v>
          </cell>
          <cell r="B13">
            <v>3.01</v>
          </cell>
          <cell r="C13" t="str">
            <v>3-Health care assessment</v>
          </cell>
          <cell r="D13">
            <v>0</v>
          </cell>
        </row>
        <row r="14">
          <cell r="A14" t="str">
            <v>Awaiting opinion of another consultant</v>
          </cell>
          <cell r="B14">
            <v>3.02</v>
          </cell>
          <cell r="C14" t="str">
            <v>3-Health care assessment</v>
          </cell>
          <cell r="D14">
            <v>0</v>
          </cell>
        </row>
        <row r="15">
          <cell r="A15" t="str">
            <v>Awaiting assessment by discharge liaison</v>
          </cell>
          <cell r="B15">
            <v>3.03</v>
          </cell>
          <cell r="C15" t="str">
            <v>3-Health care assessment</v>
          </cell>
          <cell r="D15">
            <v>0</v>
          </cell>
        </row>
        <row r="16">
          <cell r="A16" t="str">
            <v>Awaiting completion of OT assessment (including manual handling assessment)</v>
          </cell>
          <cell r="B16">
            <v>3.04</v>
          </cell>
          <cell r="C16" t="str">
            <v>3-Health care assessment</v>
          </cell>
          <cell r="D16">
            <v>0</v>
          </cell>
        </row>
        <row r="17">
          <cell r="A17" t="str">
            <v>Awaiting assessment/completion of healthcare arrangements by community health services</v>
          </cell>
          <cell r="B17">
            <v>3.05</v>
          </cell>
          <cell r="C17" t="str">
            <v>3-Health care assessment</v>
          </cell>
          <cell r="D17">
            <v>0</v>
          </cell>
        </row>
        <row r="18">
          <cell r="A18" t="str">
            <v>Awaiting assessment/completion of healthcare arrangements by community therapist</v>
          </cell>
          <cell r="B18">
            <v>3.06</v>
          </cell>
          <cell r="C18" t="str">
            <v>3-Health care assessment</v>
          </cell>
          <cell r="D18">
            <v>0</v>
          </cell>
        </row>
        <row r="19">
          <cell r="A19" t="str">
            <v>Awaiting assessment/completion of healthcare arrangements by community psychiatric nurse/CMHT</v>
          </cell>
          <cell r="B19">
            <v>3.07</v>
          </cell>
          <cell r="C19" t="str">
            <v>3-Health care assessment</v>
          </cell>
          <cell r="D19">
            <v>0</v>
          </cell>
        </row>
        <row r="20">
          <cell r="A20" t="str">
            <v>Awaiting assessment/completion of healthcare arrangements by palliative care/Macmillan nurse</v>
          </cell>
          <cell r="B20">
            <v>3.08</v>
          </cell>
          <cell r="C20" t="str">
            <v>3-Health care assessment</v>
          </cell>
          <cell r="D20">
            <v>0</v>
          </cell>
        </row>
        <row r="21">
          <cell r="A21" t="str">
            <v>Awaiting completion of assessment for NHS funded nursing care/continuing health care</v>
          </cell>
          <cell r="B21">
            <v>3.09</v>
          </cell>
          <cell r="C21" t="str">
            <v>3-Health care assessment</v>
          </cell>
          <cell r="D21">
            <v>1</v>
          </cell>
        </row>
        <row r="22">
          <cell r="A22" t="str">
            <v>Awaiting commencement of rehabilitation programme</v>
          </cell>
          <cell r="B22">
            <v>4.01</v>
          </cell>
          <cell r="C22" t="str">
            <v>4-Health care arrangement</v>
          </cell>
          <cell r="D22">
            <v>1</v>
          </cell>
        </row>
        <row r="23">
          <cell r="A23" t="str">
            <v>Awaiting another NHS bed eg tertiary; rehab; hospice; EMI</v>
          </cell>
          <cell r="B23">
            <v>4.0199999999999996</v>
          </cell>
          <cell r="C23" t="str">
            <v>4-Health care arrangement</v>
          </cell>
          <cell r="D23">
            <v>1</v>
          </cell>
        </row>
        <row r="24">
          <cell r="A24" t="str">
            <v>Awaiting OT home visit</v>
          </cell>
          <cell r="B24">
            <v>4.03</v>
          </cell>
          <cell r="C24" t="str">
            <v>4-Health care arrangement</v>
          </cell>
          <cell r="D24">
            <v>2</v>
          </cell>
        </row>
        <row r="25">
          <cell r="A25" t="str">
            <v>Awaiting completion of healthcare arrangements (inc. medication) to enable transfer/discharge</v>
          </cell>
          <cell r="B25">
            <v>4.04</v>
          </cell>
          <cell r="C25" t="str">
            <v>4-Health care arrangement</v>
          </cell>
          <cell r="D25">
            <v>3</v>
          </cell>
        </row>
        <row r="26">
          <cell r="A26" t="str">
            <v>Awaiting equipment provision</v>
          </cell>
          <cell r="B26">
            <v>4.05</v>
          </cell>
          <cell r="C26" t="str">
            <v>4-Health care arrangement</v>
          </cell>
          <cell r="D26">
            <v>2</v>
          </cell>
        </row>
        <row r="27">
          <cell r="A27" t="str">
            <v>Transport not available</v>
          </cell>
          <cell r="B27">
            <v>4.0599999999999996</v>
          </cell>
          <cell r="C27" t="str">
            <v>4-Health care arrangement</v>
          </cell>
          <cell r="D27">
            <v>3</v>
          </cell>
        </row>
        <row r="28">
          <cell r="A28" t="str">
            <v>No appropriate placement identified</v>
          </cell>
          <cell r="B28">
            <v>4.07</v>
          </cell>
          <cell r="C28" t="str">
            <v>4-Health care arrangement</v>
          </cell>
          <cell r="D28">
            <v>2</v>
          </cell>
        </row>
        <row r="29">
          <cell r="A29" t="str">
            <v>Awaiting continuing health care bed availability in other NHS hospital/speciality/facility</v>
          </cell>
          <cell r="B29">
            <v>4.08</v>
          </cell>
          <cell r="C29" t="str">
            <v>4-Health care arrangement</v>
          </cell>
          <cell r="D29">
            <v>1</v>
          </cell>
        </row>
        <row r="30">
          <cell r="A30" t="str">
            <v>Awaiting bed availability in non NHS hospital/speciality/facility eg continuing health care bed in a care home; hospice)</v>
          </cell>
          <cell r="B30">
            <v>4.09</v>
          </cell>
          <cell r="C30" t="str">
            <v>4-Health care arrangement</v>
          </cell>
          <cell r="D30">
            <v>2</v>
          </cell>
        </row>
        <row r="31">
          <cell r="A31" t="str">
            <v>Legal issues (including intervention by patients lawyer) - e.g. informed consent</v>
          </cell>
          <cell r="B31">
            <v>5.01</v>
          </cell>
          <cell r="C31" t="str">
            <v>5-Pat/carer/fam legal</v>
          </cell>
          <cell r="D31">
            <v>3</v>
          </cell>
        </row>
        <row r="32">
          <cell r="A32" t="str">
            <v>Patient refuses to participate in financial assessment</v>
          </cell>
          <cell r="B32">
            <v>5.0199999999999996</v>
          </cell>
          <cell r="C32" t="str">
            <v>5-Pat/carer/fam legal</v>
          </cell>
          <cell r="D32">
            <v>2</v>
          </cell>
        </row>
        <row r="33">
          <cell r="A33" t="str">
            <v>Financial and personal assets problem - e.g. confirming financial assessment</v>
          </cell>
          <cell r="B33">
            <v>5.03</v>
          </cell>
          <cell r="C33" t="str">
            <v>5-Pat/carer/fam legal</v>
          </cell>
          <cell r="D33">
            <v>2</v>
          </cell>
        </row>
        <row r="34">
          <cell r="A34" t="str">
            <v>Internal family and/or carer dispute issues (including dispute between patient/family and/or carers)</v>
          </cell>
          <cell r="B34">
            <v>6.01</v>
          </cell>
          <cell r="C34" t="str">
            <v>6-Pat/carer/fam dispute</v>
          </cell>
          <cell r="D34">
            <v>3</v>
          </cell>
        </row>
        <row r="35">
          <cell r="A35" t="str">
            <v>Disagreement between patient/family and/or carer and health services</v>
          </cell>
          <cell r="B35">
            <v>6.02</v>
          </cell>
          <cell r="C35" t="str">
            <v>6-Pat/carer/fam dispute</v>
          </cell>
          <cell r="D35">
            <v>3</v>
          </cell>
        </row>
        <row r="36">
          <cell r="A36" t="str">
            <v>Disagreement between patient/family and/or carer and social services</v>
          </cell>
          <cell r="B36">
            <v>6.03</v>
          </cell>
          <cell r="C36" t="str">
            <v>6-Pat/carer/fam dispute</v>
          </cell>
          <cell r="D36">
            <v>3</v>
          </cell>
        </row>
        <row r="37">
          <cell r="A37" t="str">
            <v>Disagreement between patient/family and/or carer with both services</v>
          </cell>
          <cell r="B37">
            <v>6.04</v>
          </cell>
          <cell r="C37" t="str">
            <v>6-Pat/carer/fam dispute</v>
          </cell>
          <cell r="D37">
            <v>3</v>
          </cell>
        </row>
        <row r="38">
          <cell r="A38" t="str">
            <v>Disagreement about post hospital care responsibility between health services and social services</v>
          </cell>
          <cell r="B38">
            <v>6.05</v>
          </cell>
          <cell r="C38" t="str">
            <v>6-Pat/carer/fam dispute</v>
          </cell>
          <cell r="D38">
            <v>2</v>
          </cell>
        </row>
        <row r="39">
          <cell r="A39" t="str">
            <v>Decision for continuing health care eligibility under review</v>
          </cell>
          <cell r="B39">
            <v>6.06</v>
          </cell>
          <cell r="C39" t="str">
            <v>6-Pat/carer/fam dispute</v>
          </cell>
          <cell r="D39">
            <v>3</v>
          </cell>
        </row>
        <row r="40">
          <cell r="A40" t="str">
            <v>Dispute between trust and LHB over eligibility for NHS funded continuing health care</v>
          </cell>
          <cell r="B40">
            <v>6.07</v>
          </cell>
          <cell r="C40" t="str">
            <v>6-Pat/carer/fam dispute</v>
          </cell>
          <cell r="D40">
            <v>1</v>
          </cell>
        </row>
        <row r="41">
          <cell r="A41" t="str">
            <v>Patient does not qualify for care and/or refuses to leave hospital</v>
          </cell>
          <cell r="B41">
            <v>7.01</v>
          </cell>
          <cell r="C41" t="str">
            <v>7-Pat/carer/fam choice/other</v>
          </cell>
          <cell r="D41">
            <v>2</v>
          </cell>
        </row>
        <row r="42">
          <cell r="A42" t="str">
            <v>Family/relatives arranging care</v>
          </cell>
          <cell r="B42">
            <v>7.02</v>
          </cell>
          <cell r="C42" t="str">
            <v>7-Pat/carer/fam choice/other</v>
          </cell>
          <cell r="D42">
            <v>2</v>
          </cell>
        </row>
        <row r="43">
          <cell r="A43" t="str">
            <v>Patient/family/carer selecting residential/nursing home of choice</v>
          </cell>
          <cell r="B43">
            <v>7.03</v>
          </cell>
          <cell r="C43" t="str">
            <v>7-Pat/carer/fam choice/other</v>
          </cell>
          <cell r="D43">
            <v>2</v>
          </cell>
        </row>
        <row r="44">
          <cell r="A44" t="str">
            <v>Patient waiting for place availability in residential/nursing home of choice</v>
          </cell>
          <cell r="B44">
            <v>7.04</v>
          </cell>
          <cell r="C44" t="str">
            <v>7-Pat/carer/fam choice/other</v>
          </cell>
          <cell r="D44">
            <v>2</v>
          </cell>
        </row>
        <row r="45">
          <cell r="A45" t="str">
            <v>Other patient/family related reason</v>
          </cell>
          <cell r="B45">
            <v>7.05</v>
          </cell>
          <cell r="C45" t="str">
            <v>7-Pat/carer/fam choice/other</v>
          </cell>
          <cell r="D45">
            <v>2</v>
          </cell>
        </row>
        <row r="46">
          <cell r="A46" t="str">
            <v>Principal reason not agreed</v>
          </cell>
          <cell r="B46">
            <v>8</v>
          </cell>
          <cell r="C46" t="str">
            <v>8-Other</v>
          </cell>
          <cell r="D46">
            <v>3</v>
          </cell>
        </row>
        <row r="47">
          <cell r="A47" t="str">
            <v>Patient/family/carer selecting residential care placement of choice</v>
          </cell>
          <cell r="B47" t="str">
            <v>7.03a</v>
          </cell>
          <cell r="C47" t="str">
            <v>7-Pat/carer/fam choice/other</v>
          </cell>
          <cell r="D47">
            <v>2</v>
          </cell>
        </row>
        <row r="48">
          <cell r="A48" t="str">
            <v>Patient/family/carer selecting nursing care placement of choice</v>
          </cell>
          <cell r="B48" t="str">
            <v>7.03b</v>
          </cell>
          <cell r="C48" t="str">
            <v>7-Pat/carer/fam choice/other</v>
          </cell>
          <cell r="D48">
            <v>2</v>
          </cell>
        </row>
        <row r="49">
          <cell r="A49" t="str">
            <v>Patient waiting for residential care place availability in care home of choice</v>
          </cell>
          <cell r="B49" t="str">
            <v>7.04a</v>
          </cell>
          <cell r="C49" t="str">
            <v>7-Pat/carer/fam choice/other</v>
          </cell>
          <cell r="D49">
            <v>2</v>
          </cell>
        </row>
        <row r="50">
          <cell r="A50" t="str">
            <v>Patient waiting for nursing care place availability in care home of choice</v>
          </cell>
          <cell r="B50" t="str">
            <v>7.04b</v>
          </cell>
          <cell r="C50" t="str">
            <v>7-Pat/carer/fam choice/other</v>
          </cell>
          <cell r="D50">
            <v>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 sub"/>
      <sheetName val="3 - Trust"/>
      <sheetName val="4 - Trust"/>
      <sheetName val="5 - Trust"/>
      <sheetName val="6 - Trust"/>
      <sheetName val="7 - LA"/>
      <sheetName val="8 - LA"/>
      <sheetName val="9 - LA"/>
      <sheetName val="10 - LA"/>
      <sheetName val="11 - Age"/>
      <sheetName val="12-Hospital"/>
      <sheetName val="Paste raw data "/>
      <sheetName val="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C1" t="str">
            <v>Reason</v>
          </cell>
          <cell r="D1" t="str">
            <v>Code</v>
          </cell>
        </row>
        <row r="2">
          <cell r="C2" t="str">
            <v>Assessment completed; awaiting funding authorisation</v>
          </cell>
          <cell r="D2">
            <v>2.0099999999999998</v>
          </cell>
        </row>
        <row r="3">
          <cell r="C3" t="str">
            <v>Awaiting another NHS bed eg tertiary; rehab; hospice; EMI</v>
          </cell>
          <cell r="D3">
            <v>4.0199999999999996</v>
          </cell>
        </row>
        <row r="4">
          <cell r="C4" t="str">
            <v>Awaiting assessment/completion of healthcare arrangements by community psychiatric nurse/CMHT</v>
          </cell>
          <cell r="D4">
            <v>3.07</v>
          </cell>
        </row>
        <row r="5">
          <cell r="C5" t="str">
            <v>Awaiting assessment by discharge liaison</v>
          </cell>
          <cell r="D5">
            <v>3.03</v>
          </cell>
        </row>
        <row r="6">
          <cell r="C6" t="str">
            <v>Awaiting assessment/completion of healthcare arrangements by palliative care/Macmillan nurse</v>
          </cell>
          <cell r="D6">
            <v>3.08</v>
          </cell>
        </row>
        <row r="7">
          <cell r="C7" t="str">
            <v>Awaiting assessment/completion of healthcare arrangements by community health services</v>
          </cell>
          <cell r="D7">
            <v>3.05</v>
          </cell>
        </row>
        <row r="8">
          <cell r="C8" t="str">
            <v>Awaiting assessment/completion of healthcare arrangements by community therapist</v>
          </cell>
          <cell r="D8">
            <v>3.06</v>
          </cell>
        </row>
        <row r="9">
          <cell r="C9" t="str">
            <v>Awaiting bed availability in non NHS hospital/speciality/facility eg continuing health care bed in a care home; hospice)</v>
          </cell>
          <cell r="D9">
            <v>4.09</v>
          </cell>
        </row>
        <row r="10">
          <cell r="C10" t="str">
            <v>Awaiting commencement of rehabilitation programme</v>
          </cell>
          <cell r="D10">
            <v>4.01</v>
          </cell>
        </row>
        <row r="11">
          <cell r="C11" t="str">
            <v>Awaiting completion of assessment (beyond local agreement)</v>
          </cell>
          <cell r="D11">
            <v>1.01</v>
          </cell>
        </row>
        <row r="12">
          <cell r="C12" t="str">
            <v>Awaiting completion of assessment for NHS funded nursing care/continuing health care</v>
          </cell>
          <cell r="D12">
            <v>3.09</v>
          </cell>
        </row>
        <row r="13">
          <cell r="C13" t="str">
            <v>Awaiting completion of healthcare arrangements (inc. medication) to enable transfer/discharge</v>
          </cell>
          <cell r="D13">
            <v>4.04</v>
          </cell>
        </row>
        <row r="14">
          <cell r="C14" t="str">
            <v>Awaiting completion of nursing care placement arrangements (beyond local agreement)</v>
          </cell>
          <cell r="D14">
            <v>2.0499999999999998</v>
          </cell>
        </row>
        <row r="15">
          <cell r="C15" t="str">
            <v>Awaiting completion of OT assessment (including manual handling assessment)</v>
          </cell>
          <cell r="D15">
            <v>3.04</v>
          </cell>
        </row>
        <row r="16">
          <cell r="C16" t="str">
            <v>Awaiting completion of residential care placement arrangements (beyond local agreement)</v>
          </cell>
          <cell r="D16">
            <v>2.04</v>
          </cell>
        </row>
        <row r="17">
          <cell r="C17" t="str">
            <v>Awaiting continuing health care bed availability in other NHS hospital/speciality/facility</v>
          </cell>
          <cell r="D17">
            <v>4.08</v>
          </cell>
        </row>
        <row r="18">
          <cell r="C18" t="str">
            <v>Awaiting equipment provision</v>
          </cell>
          <cell r="D18">
            <v>4.05</v>
          </cell>
        </row>
        <row r="19">
          <cell r="C19" t="str">
            <v>Awaiting opinion of another consultant</v>
          </cell>
          <cell r="D19">
            <v>3.02</v>
          </cell>
        </row>
        <row r="20">
          <cell r="C20" t="str">
            <v>Awaiting OT home visit</v>
          </cell>
          <cell r="D20">
            <v>4.03</v>
          </cell>
        </row>
        <row r="21">
          <cell r="C21" t="str">
            <v>Awaiting specialist assessment/review</v>
          </cell>
          <cell r="D21">
            <v>3.01</v>
          </cell>
        </row>
        <row r="22">
          <cell r="C22" t="str">
            <v>Awaiting start or re-start of home based care packages (beyond local agreement)</v>
          </cell>
          <cell r="D22">
            <v>2.0299999999999998</v>
          </cell>
        </row>
        <row r="23">
          <cell r="C23" t="str">
            <v>Awating home adaptation/equipment</v>
          </cell>
          <cell r="D23">
            <v>2.06</v>
          </cell>
        </row>
        <row r="24">
          <cell r="C24" t="str">
            <v>Decision for continuing health care eligibility under review</v>
          </cell>
          <cell r="D24">
            <v>6.06</v>
          </cell>
        </row>
        <row r="25">
          <cell r="C25" t="str">
            <v>Disagreement about post hospital care responsibility between health services and social services</v>
          </cell>
          <cell r="D25">
            <v>6.05</v>
          </cell>
        </row>
        <row r="26">
          <cell r="C26" t="str">
            <v>Disagreement between patient/family and/or carer and health services</v>
          </cell>
          <cell r="D26">
            <v>6.02</v>
          </cell>
        </row>
        <row r="27">
          <cell r="C27" t="str">
            <v>Disagreement between patient/family and/or carer and social services</v>
          </cell>
          <cell r="D27">
            <v>6.03</v>
          </cell>
        </row>
        <row r="28">
          <cell r="C28" t="str">
            <v>Disagreement between patient/family and/or carer with both services</v>
          </cell>
          <cell r="D28">
            <v>6.04</v>
          </cell>
        </row>
        <row r="29">
          <cell r="C29" t="str">
            <v>Dispute between trust and LHB over eligibility for NHS funded continuing health care</v>
          </cell>
          <cell r="D29">
            <v>6.07</v>
          </cell>
        </row>
        <row r="30">
          <cell r="C30" t="str">
            <v>Family/relatives arranging care</v>
          </cell>
          <cell r="D30">
            <v>7.02</v>
          </cell>
        </row>
        <row r="31">
          <cell r="C31" t="str">
            <v>Financial and personal assets problem - e.g. confirming financial assessment</v>
          </cell>
          <cell r="D31">
            <v>5.03</v>
          </cell>
        </row>
        <row r="32">
          <cell r="C32" t="str">
            <v>Funding not available for home care package</v>
          </cell>
          <cell r="D32">
            <v>2.1</v>
          </cell>
        </row>
        <row r="33">
          <cell r="C33" t="str">
            <v>Funding not available for nursing or residential placement</v>
          </cell>
          <cell r="D33">
            <v>2.09</v>
          </cell>
        </row>
        <row r="34">
          <cell r="C34" t="str">
            <v>Internal family and/or carer dispute issues (including dispute between patient/family and/or carers)</v>
          </cell>
          <cell r="D34">
            <v>6.01</v>
          </cell>
        </row>
        <row r="35">
          <cell r="C35" t="str">
            <v>Legal issues (including intervention by patients lawyer) - e.g. informed consent</v>
          </cell>
          <cell r="D35">
            <v>5.01</v>
          </cell>
        </row>
        <row r="36">
          <cell r="C36" t="str">
            <v>No appropriate facility exists</v>
          </cell>
          <cell r="D36">
            <v>2.08</v>
          </cell>
        </row>
        <row r="37">
          <cell r="C37" t="str">
            <v>No appropriate placement available</v>
          </cell>
          <cell r="D37">
            <v>2.0699999999999998</v>
          </cell>
        </row>
        <row r="38">
          <cell r="C38" t="str">
            <v>No appropriate placement identified</v>
          </cell>
          <cell r="D38">
            <v>4.07</v>
          </cell>
        </row>
        <row r="39">
          <cell r="C39" t="str">
            <v>Other patient/family related reason</v>
          </cell>
          <cell r="D39">
            <v>7.05</v>
          </cell>
        </row>
        <row r="40">
          <cell r="C40" t="str">
            <v>Patient refuses to participate in financial assessment</v>
          </cell>
          <cell r="D40">
            <v>5.0199999999999996</v>
          </cell>
        </row>
        <row r="41">
          <cell r="C41" t="str">
            <v>Patient does not qualify for care and/or refuses to leave hospital</v>
          </cell>
          <cell r="D41">
            <v>7.01</v>
          </cell>
        </row>
        <row r="42">
          <cell r="C42" t="str">
            <v>Patient waiting for place availability in residential/nursing home of choice</v>
          </cell>
          <cell r="D42">
            <v>7.04</v>
          </cell>
        </row>
        <row r="43">
          <cell r="C43" t="str">
            <v>Patient/family/carer selecting residential/nursing home of choice</v>
          </cell>
          <cell r="D43">
            <v>7.03</v>
          </cell>
        </row>
        <row r="44">
          <cell r="C44" t="str">
            <v>Principal reason not agreed</v>
          </cell>
          <cell r="D44">
            <v>8</v>
          </cell>
        </row>
        <row r="45">
          <cell r="C45" t="str">
            <v>Re housing (LA responsibility) sheltered or mainstream accommodation</v>
          </cell>
          <cell r="D45">
            <v>2.02</v>
          </cell>
        </row>
        <row r="46">
          <cell r="C46" t="str">
            <v>Transport not available</v>
          </cell>
          <cell r="D46">
            <v>4.0599999999999996</v>
          </cell>
        </row>
        <row r="47">
          <cell r="C47" t="str">
            <v>Patient/family/carer selecting residential care placement of choice</v>
          </cell>
          <cell r="D47" t="str">
            <v>7.03 a</v>
          </cell>
        </row>
        <row r="48">
          <cell r="C48" t="str">
            <v>Patient waiting for residential care place availability in care home of choice</v>
          </cell>
          <cell r="D48" t="str">
            <v>7.04 a</v>
          </cell>
        </row>
        <row r="49">
          <cell r="C49" t="str">
            <v>Patient waiting for nursing care place availability in care home of choice</v>
          </cell>
          <cell r="D49" t="str">
            <v>7.04 b</v>
          </cell>
        </row>
        <row r="50">
          <cell r="C50" t="str">
            <v>Patient/family/carer selecting nursing care placement of choice</v>
          </cell>
          <cell r="D50" t="str">
            <v>7.03 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 sub"/>
      <sheetName val="3 - Trust"/>
      <sheetName val="4 - Trust"/>
      <sheetName val="5 - Trust"/>
      <sheetName val="6 - Trust"/>
      <sheetName val="7 - LA"/>
      <sheetName val="8 - LA"/>
      <sheetName val="9 - LA"/>
      <sheetName val="10 - LA"/>
      <sheetName val="11 - Age"/>
      <sheetName val="12-Hospital"/>
      <sheetName val="Paste raw data "/>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C1" t="str">
            <v>Reason</v>
          </cell>
          <cell r="D1" t="str">
            <v>Code</v>
          </cell>
        </row>
        <row r="2">
          <cell r="C2" t="str">
            <v>Assessment completed; awaiting funding authorisation</v>
          </cell>
          <cell r="D2">
            <v>2.0099999999999998</v>
          </cell>
        </row>
        <row r="3">
          <cell r="C3" t="str">
            <v>Awaiting another NHS bed eg tertiary; rehab; hospice; EMI</v>
          </cell>
          <cell r="D3">
            <v>4.0199999999999996</v>
          </cell>
        </row>
        <row r="4">
          <cell r="C4" t="str">
            <v>Awaiting assessment/completion of healthcare arrangements by community psychiatric nurse/CMHT</v>
          </cell>
          <cell r="D4">
            <v>3.07</v>
          </cell>
        </row>
        <row r="5">
          <cell r="C5" t="str">
            <v>Awaiting assessment by discharge liaison</v>
          </cell>
          <cell r="D5">
            <v>3.03</v>
          </cell>
        </row>
        <row r="6">
          <cell r="C6" t="str">
            <v>Awaiting assessment/completion of healthcare arrangements by palliative care/Macmillan nurse</v>
          </cell>
          <cell r="D6">
            <v>3.08</v>
          </cell>
        </row>
        <row r="7">
          <cell r="C7" t="str">
            <v>Awaiting assessment/completion of healthcare arrangements by community health services</v>
          </cell>
          <cell r="D7">
            <v>3.05</v>
          </cell>
        </row>
        <row r="8">
          <cell r="C8" t="str">
            <v>Awaiting assessment/completion of healthcare arrangements by community therapist</v>
          </cell>
          <cell r="D8">
            <v>3.06</v>
          </cell>
        </row>
        <row r="9">
          <cell r="C9" t="str">
            <v>Awaiting bed availability in non NHS hospital/speciality/facility eg continuing health care bed in a care home; hospice)</v>
          </cell>
          <cell r="D9">
            <v>4.09</v>
          </cell>
        </row>
        <row r="10">
          <cell r="C10" t="str">
            <v>Awaiting commencement of rehabilitation programme</v>
          </cell>
          <cell r="D10">
            <v>4.01</v>
          </cell>
        </row>
        <row r="11">
          <cell r="C11" t="str">
            <v>Awaiting completion of assessment (beyond local agreement)</v>
          </cell>
          <cell r="D11">
            <v>1.01</v>
          </cell>
        </row>
        <row r="12">
          <cell r="C12" t="str">
            <v>Awaiting completion of assessment for NHS funded nursing care/continuing health care</v>
          </cell>
          <cell r="D12">
            <v>3.09</v>
          </cell>
        </row>
        <row r="13">
          <cell r="C13" t="str">
            <v>Awaiting completion of healthcare arrangements (inc. medication) to enable transfer/discharge</v>
          </cell>
          <cell r="D13">
            <v>4.04</v>
          </cell>
        </row>
        <row r="14">
          <cell r="C14" t="str">
            <v>Awaiting completion of nursing care placement arrangements (beyond local agreement)</v>
          </cell>
          <cell r="D14">
            <v>2.0499999999999998</v>
          </cell>
        </row>
        <row r="15">
          <cell r="C15" t="str">
            <v>Awaiting completion of OT assessment (including manual handling assessment)</v>
          </cell>
          <cell r="D15">
            <v>3.04</v>
          </cell>
        </row>
        <row r="16">
          <cell r="C16" t="str">
            <v>Awaiting completion of residential care placement arrangements (beyond local agreement)</v>
          </cell>
          <cell r="D16">
            <v>2.04</v>
          </cell>
        </row>
        <row r="17">
          <cell r="C17" t="str">
            <v>Awaiting continuing health care bed availability in other NHS hospital/speciality/facility</v>
          </cell>
          <cell r="D17">
            <v>4.08</v>
          </cell>
        </row>
        <row r="18">
          <cell r="C18" t="str">
            <v>Awaiting equipment provision</v>
          </cell>
          <cell r="D18">
            <v>4.05</v>
          </cell>
        </row>
        <row r="19">
          <cell r="C19" t="str">
            <v>Awaiting opinion of another consultant</v>
          </cell>
          <cell r="D19">
            <v>3.02</v>
          </cell>
        </row>
        <row r="20">
          <cell r="C20" t="str">
            <v>Awaiting OT home visit</v>
          </cell>
          <cell r="D20">
            <v>4.03</v>
          </cell>
        </row>
        <row r="21">
          <cell r="C21" t="str">
            <v>Awaiting specialist assessment/review</v>
          </cell>
          <cell r="D21">
            <v>3.01</v>
          </cell>
        </row>
        <row r="22">
          <cell r="C22" t="str">
            <v>Awaiting start or re-start of home based care packages (beyond local agreement)</v>
          </cell>
          <cell r="D22">
            <v>2.0299999999999998</v>
          </cell>
        </row>
        <row r="23">
          <cell r="C23" t="str">
            <v>Awating home adaptation/equipment</v>
          </cell>
          <cell r="D23">
            <v>2.06</v>
          </cell>
        </row>
        <row r="24">
          <cell r="C24" t="str">
            <v>Decision for continuing health care eligibility under review</v>
          </cell>
          <cell r="D24">
            <v>6.06</v>
          </cell>
        </row>
        <row r="25">
          <cell r="C25" t="str">
            <v>Disagreement about post hospital care responsibility between health services and social services</v>
          </cell>
          <cell r="D25">
            <v>6.05</v>
          </cell>
        </row>
        <row r="26">
          <cell r="C26" t="str">
            <v>Disagreement between patient/family and/or carer and health services</v>
          </cell>
          <cell r="D26">
            <v>6.02</v>
          </cell>
        </row>
        <row r="27">
          <cell r="C27" t="str">
            <v>Disagreement between patient/family and/or carer and social services</v>
          </cell>
          <cell r="D27">
            <v>6.03</v>
          </cell>
        </row>
        <row r="28">
          <cell r="C28" t="str">
            <v>Disagreement between patient/family and/or carer with both services</v>
          </cell>
          <cell r="D28">
            <v>6.04</v>
          </cell>
        </row>
        <row r="29">
          <cell r="C29" t="str">
            <v>Dispute between trust and LHB over eligibility for NHS funded continuing health care</v>
          </cell>
          <cell r="D29">
            <v>6.07</v>
          </cell>
        </row>
        <row r="30">
          <cell r="C30" t="str">
            <v>Family/relatives arranging care</v>
          </cell>
          <cell r="D30">
            <v>7.02</v>
          </cell>
        </row>
        <row r="31">
          <cell r="C31" t="str">
            <v>Financial and personal assets problem - e.g. confirming financial assessment</v>
          </cell>
          <cell r="D31">
            <v>5.03</v>
          </cell>
        </row>
        <row r="32">
          <cell r="C32" t="str">
            <v>Funding not available for home care package</v>
          </cell>
          <cell r="D32">
            <v>2.1</v>
          </cell>
        </row>
        <row r="33">
          <cell r="C33" t="str">
            <v>Funding not available for nursing or residential placement</v>
          </cell>
          <cell r="D33">
            <v>2.09</v>
          </cell>
        </row>
        <row r="34">
          <cell r="C34" t="str">
            <v>Internal family and/or carer dispute issues (including dispute between patient/family and/or carers)</v>
          </cell>
          <cell r="D34">
            <v>6.01</v>
          </cell>
        </row>
        <row r="35">
          <cell r="C35" t="str">
            <v>Legal issues (including intervention by patients lawyer) - e.g. informed consent</v>
          </cell>
          <cell r="D35">
            <v>5.01</v>
          </cell>
        </row>
        <row r="36">
          <cell r="C36" t="str">
            <v>No appropriate facility exists</v>
          </cell>
          <cell r="D36">
            <v>2.08</v>
          </cell>
        </row>
        <row r="37">
          <cell r="C37" t="str">
            <v>No appropriate placement available</v>
          </cell>
          <cell r="D37">
            <v>2.0699999999999998</v>
          </cell>
        </row>
        <row r="38">
          <cell r="C38" t="str">
            <v>No appropriate placement identified</v>
          </cell>
          <cell r="D38">
            <v>4.07</v>
          </cell>
        </row>
        <row r="39">
          <cell r="C39" t="str">
            <v>Other patient/family related reason</v>
          </cell>
          <cell r="D39">
            <v>7.05</v>
          </cell>
        </row>
        <row r="40">
          <cell r="C40" t="str">
            <v>Patient refuses to participate in financial assessment</v>
          </cell>
          <cell r="D40">
            <v>5.0199999999999996</v>
          </cell>
        </row>
        <row r="41">
          <cell r="C41" t="str">
            <v>Patient does not qualify for care and/or refuses to leave hospital</v>
          </cell>
          <cell r="D41">
            <v>7.01</v>
          </cell>
        </row>
        <row r="42">
          <cell r="C42" t="str">
            <v>Patient waiting for place availability in residential/nursing home of choice</v>
          </cell>
          <cell r="D42">
            <v>7.04</v>
          </cell>
        </row>
        <row r="43">
          <cell r="C43" t="str">
            <v>Patient/family/carer selecting residential/nursing home of choice</v>
          </cell>
          <cell r="D43">
            <v>7.03</v>
          </cell>
        </row>
        <row r="44">
          <cell r="C44" t="str">
            <v>Principal reason not agreed</v>
          </cell>
          <cell r="D44">
            <v>8</v>
          </cell>
        </row>
        <row r="45">
          <cell r="C45" t="str">
            <v>Re housing (LA responsibility) sheltered or mainstream accommodation</v>
          </cell>
          <cell r="D45">
            <v>2.02</v>
          </cell>
        </row>
        <row r="46">
          <cell r="C46" t="str">
            <v>Transport not available</v>
          </cell>
          <cell r="D46">
            <v>4.0599999999999996</v>
          </cell>
        </row>
        <row r="47">
          <cell r="C47" t="str">
            <v>Patient/family/carer selecting residential care placement of choice</v>
          </cell>
          <cell r="D47" t="str">
            <v>7.03 a</v>
          </cell>
        </row>
        <row r="48">
          <cell r="C48" t="str">
            <v>Patient waiting for residential care place availability in care home of choice</v>
          </cell>
          <cell r="D48" t="str">
            <v>7.04 a</v>
          </cell>
        </row>
        <row r="49">
          <cell r="C49" t="str">
            <v>Patient waiting for nursing care place availability in care home of choice</v>
          </cell>
          <cell r="D49" t="str">
            <v>7.04 b</v>
          </cell>
        </row>
        <row r="50">
          <cell r="C50" t="str">
            <v>Patient/family/carer selecting nursing care placement of choice</v>
          </cell>
          <cell r="D50" t="str">
            <v>7.03 b</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Table 1"/>
      <sheetName val="Chart 1"/>
      <sheetName val="Table 2a"/>
      <sheetName val="Table 2b"/>
      <sheetName val="Table 3a"/>
      <sheetName val="Table 3b"/>
      <sheetName val="Table 4"/>
      <sheetName val="Chart 2"/>
      <sheetName val="Table 5a"/>
      <sheetName val="Table 5b"/>
      <sheetName val="Table 5c"/>
      <sheetName val="Table 5d"/>
      <sheetName val="Table 5e"/>
      <sheetName val="Table 5f"/>
      <sheetName val="Table 5g"/>
      <sheetName val="Table 6"/>
      <sheetName val="Table 7"/>
      <sheetName val="Table 8"/>
      <sheetName val="Table 9"/>
      <sheetName val="Table 10a"/>
      <sheetName val="Table 10b"/>
      <sheetName val="Table 10c"/>
      <sheetName val="Table 11a"/>
      <sheetName val="Table 11b"/>
      <sheetName val="Chart3"/>
      <sheetName val="Table 12 "/>
      <sheetName val="Table 13 "/>
      <sheetName val="Table 14"/>
      <sheetName val="Table 15"/>
      <sheetName val="Table 16a"/>
      <sheetName val="Table 16b"/>
      <sheetName val="Table 16c"/>
      <sheetName val="Table 17"/>
      <sheetName val="Table 18a"/>
      <sheetName val="Table 18b"/>
      <sheetName val="Table 18c"/>
      <sheetName val="Table 19a"/>
      <sheetName val="Table 19b"/>
      <sheetName val="Table 19c"/>
      <sheetName val="Table 20a"/>
      <sheetName val="Table 20b"/>
      <sheetName val="Table 20c"/>
      <sheetName val="Table 21a"/>
      <sheetName val="Table 21b"/>
      <sheetName val="Table 21c"/>
      <sheetName val="Table 25"/>
      <sheetName val="Table 26"/>
      <sheetName val="Figure A1"/>
      <sheetName val="old Table 8"/>
      <sheetName val="Old Table 5d "/>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CDSWR"/>
      <sheetName val="Notes"/>
      <sheetName val="Transfer"/>
      <sheetName val="LookupCodes"/>
      <sheetName val="Details"/>
    </sheetNames>
    <sheetDataSet>
      <sheetData sheetId="0" refreshError="1"/>
      <sheetData sheetId="1" refreshError="1"/>
      <sheetData sheetId="2" refreshError="1"/>
      <sheetData sheetId="3" refreshError="1"/>
      <sheetData sheetId="4" refreshError="1"/>
      <sheetData sheetId="5">
        <row r="2">
          <cell r="A2">
            <v>200809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AT1 Data"/>
      <sheetName val="AT2 Data"/>
      <sheetName val="AT3 Data"/>
      <sheetName val="AT4 Data"/>
      <sheetName val="AT5 Data"/>
      <sheetName val="AT6 Data"/>
      <sheetName val="T1 Data"/>
      <sheetName val="T2 Data"/>
      <sheetName val="T3 Data"/>
      <sheetName val="T4 Data"/>
      <sheetName val="T5 Data"/>
      <sheetName val="T6 Data"/>
      <sheetName val="T7 Data"/>
      <sheetName val="T8 &amp; T9 Data"/>
      <sheetName val="T10 Data"/>
      <sheetName val="T14 Data"/>
      <sheetName val="T14 Data extra"/>
      <sheetName val="T15 Data"/>
      <sheetName val="T16 &amp; 17 Data"/>
      <sheetName val="T18 StatsWales"/>
      <sheetName val="T18 Data"/>
      <sheetName val="T19 Data"/>
      <sheetName val="T19 chart data Wales"/>
      <sheetName val="T20 Data"/>
      <sheetName val="T21 Data"/>
      <sheetName val="Population 2011"/>
      <sheetName val="Population 2012"/>
      <sheetName val="Population 2013"/>
      <sheetName val="Population 2014"/>
      <sheetName val="Population 2015"/>
      <sheetName val="Annex Table 1"/>
      <sheetName val="Annex Table 2"/>
      <sheetName val="Annex Table 3"/>
      <sheetName val="Annex Table 4"/>
      <sheetName val="Annex Table 5"/>
      <sheetName val="Annex Table 6"/>
      <sheetName val="Annex Table 7"/>
      <sheetName val="Annex Table 8"/>
      <sheetName val="Annex Table 9"/>
      <sheetName val="Table 1"/>
      <sheetName val="Table 2"/>
      <sheetName val="Table 3"/>
      <sheetName val="Table 4"/>
      <sheetName val="Table 5"/>
      <sheetName val="Table 6"/>
      <sheetName val="Table 7"/>
      <sheetName val="Tables 8 &amp; 9"/>
      <sheetName val="Table 10a"/>
      <sheetName val="Table 10b"/>
      <sheetName val="Table 11"/>
      <sheetName val="Table 12"/>
      <sheetName val="Table 13"/>
      <sheetName val="Table 14"/>
      <sheetName val="Table 15"/>
      <sheetName val="Table 16 "/>
      <sheetName val="Table 17"/>
      <sheetName val="Table 18"/>
      <sheetName val="Table 19 eth"/>
      <sheetName val="Table 19"/>
      <sheetName val="Table 20"/>
      <sheetName val="Table Old"/>
      <sheetName val="Table 21"/>
      <sheetName val="Table 22a"/>
      <sheetName val="Table 22b"/>
      <sheetName val="Table 23"/>
      <sheetName val="Table 24"/>
      <sheetName val="Table 25"/>
      <sheetName val="Table 26"/>
      <sheetName val="Table 27"/>
      <sheetName val="Table 28"/>
      <sheetName val="Map Data"/>
      <sheetName val="Maps"/>
      <sheetName val="Chart Data"/>
      <sheetName val="Charts"/>
      <sheetName val="Chart 1"/>
      <sheetName val="Chart 2"/>
      <sheetName val="Chart 3"/>
      <sheetName val="Chart 4"/>
      <sheetName val="Chart 5"/>
      <sheetName val="Chart 6"/>
      <sheetName val="Chart 7"/>
      <sheetName val="Chart 8"/>
      <sheetName val="Chart 9"/>
      <sheetName val="Chart 10"/>
      <sheetName val="Chart 11"/>
      <sheetName val="Chart 12"/>
      <sheetName val="Chart 13"/>
      <sheetName val="Chart 14"/>
      <sheetName val="Chart 15"/>
      <sheetName val="Chart 16"/>
      <sheetName val="Chart 17"/>
      <sheetName val="Chart 18"/>
      <sheetName val="Chart 19"/>
      <sheetName val="Chart 20"/>
      <sheetName val="Chart 21"/>
      <sheetName val="Chart 22"/>
      <sheetName val="Chart 23"/>
      <sheetName val="Extra workforce data"/>
      <sheetName val="Extra disability registers"/>
      <sheetName val="Extra Hearing aid WT"/>
      <sheetName val="Extra Ophthalmology WT"/>
      <sheetName val="Extra EHEW"/>
      <sheetName val="Dashboard"/>
      <sheetName val="Infographics"/>
      <sheetName val="Front page Infograph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3">
          <cell r="B3">
            <v>46.677244915359559</v>
          </cell>
          <cell r="C3">
            <v>38.470516023618302</v>
          </cell>
          <cell r="D3">
            <v>47.950028294836514</v>
          </cell>
          <cell r="E3">
            <v>120.65084051172133</v>
          </cell>
          <cell r="F3">
            <v>97.934180343492628</v>
          </cell>
          <cell r="G3">
            <v>112.66948987917168</v>
          </cell>
          <cell r="H3">
            <v>15.214351855495135</v>
          </cell>
          <cell r="I3">
            <v>11.738405715821022</v>
          </cell>
          <cell r="J3">
            <v>14.052070728756002</v>
          </cell>
          <cell r="K3">
            <v>2.6697903213426377</v>
          </cell>
          <cell r="L3">
            <v>2.4981888131104948</v>
          </cell>
          <cell r="M3">
            <v>3.6648586697229364</v>
          </cell>
        </row>
        <row r="4">
          <cell r="B4">
            <v>47.473719905052562</v>
          </cell>
          <cell r="C4">
            <v>43.715846994535518</v>
          </cell>
          <cell r="D4">
            <v>58.804903424254761</v>
          </cell>
          <cell r="E4">
            <v>106.9747539580659</v>
          </cell>
          <cell r="F4">
            <v>104.19147416051442</v>
          </cell>
          <cell r="G4">
            <v>143.45102172258331</v>
          </cell>
          <cell r="H4">
            <v>20.044097013429546</v>
          </cell>
          <cell r="I4">
            <v>12.470071827613726</v>
          </cell>
          <cell r="J4">
            <v>11.176236836876615</v>
          </cell>
          <cell r="K4">
            <v>6.8493737103913563</v>
          </cell>
          <cell r="L4" t="str">
            <v>*</v>
          </cell>
          <cell r="M4">
            <v>5.1415644066634671</v>
          </cell>
        </row>
        <row r="5">
          <cell r="B5">
            <v>30.997171182529058</v>
          </cell>
          <cell r="C5">
            <v>38.021922502988367</v>
          </cell>
          <cell r="D5">
            <v>40.184850311432591</v>
          </cell>
          <cell r="E5">
            <v>62.755671253253993</v>
          </cell>
          <cell r="F5">
            <v>106.63520549965401</v>
          </cell>
          <cell r="G5">
            <v>102.61100391483286</v>
          </cell>
          <cell r="H5">
            <v>5.5962840673792602</v>
          </cell>
          <cell r="I5">
            <v>10.669487122392933</v>
          </cell>
          <cell r="J5">
            <v>10.183063713578189</v>
          </cell>
          <cell r="K5">
            <v>4.768617726740322</v>
          </cell>
          <cell r="L5">
            <v>2.3852614693806968</v>
          </cell>
          <cell r="M5">
            <v>2.6911863646557523</v>
          </cell>
        </row>
        <row r="6">
          <cell r="B6">
            <v>53.196596954158743</v>
          </cell>
          <cell r="C6">
            <v>48.565872722996701</v>
          </cell>
          <cell r="D6">
            <v>51.953884742304922</v>
          </cell>
          <cell r="E6">
            <v>143.70270623348173</v>
          </cell>
          <cell r="F6">
            <v>134.62653420201843</v>
          </cell>
          <cell r="G6">
            <v>156.13332428212613</v>
          </cell>
          <cell r="H6">
            <v>17.340038148083927</v>
          </cell>
          <cell r="I6">
            <v>10.995535812460142</v>
          </cell>
          <cell r="J6">
            <v>11.316305335820488</v>
          </cell>
          <cell r="K6">
            <v>4.8610620094746517</v>
          </cell>
          <cell r="L6">
            <v>5.2814344375932505</v>
          </cell>
          <cell r="M6">
            <v>5.7007542536397127</v>
          </cell>
        </row>
        <row r="7">
          <cell r="B7">
            <v>38.287563318481375</v>
          </cell>
          <cell r="C7">
            <v>38.857521295611129</v>
          </cell>
          <cell r="D7">
            <v>41.788127453788732</v>
          </cell>
          <cell r="E7">
            <v>129.76266596456915</v>
          </cell>
          <cell r="F7">
            <v>125.43811104962184</v>
          </cell>
          <cell r="G7">
            <v>117.91383219954649</v>
          </cell>
          <cell r="H7">
            <v>4.6600493965236032</v>
          </cell>
          <cell r="I7">
            <v>5.9718130424396847</v>
          </cell>
          <cell r="J7">
            <v>10.602556541446056</v>
          </cell>
          <cell r="K7" t="str">
            <v>*</v>
          </cell>
          <cell r="L7">
            <v>2.7578273048541697</v>
          </cell>
          <cell r="M7">
            <v>5.1111277113549605</v>
          </cell>
        </row>
        <row r="8">
          <cell r="B8">
            <v>42.306955090735464</v>
          </cell>
          <cell r="C8">
            <v>42.039900000172295</v>
          </cell>
          <cell r="D8">
            <v>44.00220698569413</v>
          </cell>
          <cell r="E8">
            <v>123.12078797304302</v>
          </cell>
          <cell r="F8">
            <v>118.4952013966152</v>
          </cell>
          <cell r="G8">
            <v>115.33104445568183</v>
          </cell>
          <cell r="H8">
            <v>10.555238531898262</v>
          </cell>
          <cell r="I8">
            <v>14.105112611282779</v>
          </cell>
          <cell r="J8">
            <v>10.785512115725277</v>
          </cell>
          <cell r="K8">
            <v>4.4170675490093725</v>
          </cell>
          <cell r="L8">
            <v>5.0111347413953808</v>
          </cell>
          <cell r="M8">
            <v>2.6022170889597938</v>
          </cell>
        </row>
        <row r="9">
          <cell r="B9">
            <v>30.697330585191356</v>
          </cell>
          <cell r="C9">
            <v>30.084298278555703</v>
          </cell>
          <cell r="D9">
            <v>32.593986203254453</v>
          </cell>
          <cell r="E9">
            <v>94.789334139271631</v>
          </cell>
          <cell r="F9">
            <v>99.549337458801361</v>
          </cell>
          <cell r="G9">
            <v>107.19815777980705</v>
          </cell>
          <cell r="H9">
            <v>7.8798188568700436</v>
          </cell>
          <cell r="I9">
            <v>8.7362748524029357</v>
          </cell>
          <cell r="J9">
            <v>10.51015372242227</v>
          </cell>
          <cell r="K9" t="str">
            <v>*</v>
          </cell>
          <cell r="L9" t="str">
            <v>*</v>
          </cell>
          <cell r="M9">
            <v>1.6855812967899308</v>
          </cell>
        </row>
        <row r="10">
          <cell r="B10">
            <v>42.239648690700662</v>
          </cell>
          <cell r="C10">
            <v>40.200049417277164</v>
          </cell>
          <cell r="D10">
            <v>44.787398607202256</v>
          </cell>
          <cell r="E10">
            <v>115.21236035496062</v>
          </cell>
          <cell r="F10">
            <v>113.37997582745422</v>
          </cell>
          <cell r="G10">
            <v>121.48412303348577</v>
          </cell>
          <cell r="H10">
            <v>11.760038275829841</v>
          </cell>
          <cell r="I10">
            <v>11.015377836690563</v>
          </cell>
          <cell r="J10">
            <v>11.714140623658393</v>
          </cell>
          <cell r="K10">
            <v>3.5620360448051644</v>
          </cell>
          <cell r="L10">
            <v>3.2172468372780143</v>
          </cell>
          <cell r="M10">
            <v>3.6612178032319589</v>
          </cell>
        </row>
        <row r="14">
          <cell r="B14">
            <v>222.44891490091317</v>
          </cell>
          <cell r="C14">
            <v>224.84099453830459</v>
          </cell>
          <cell r="D14">
            <v>224.80211613698444</v>
          </cell>
          <cell r="E14">
            <v>434.08601194398904</v>
          </cell>
          <cell r="F14">
            <v>432.89043753032189</v>
          </cell>
          <cell r="G14">
            <v>433.32091475319856</v>
          </cell>
          <cell r="H14">
            <v>55.118238551177733</v>
          </cell>
          <cell r="I14">
            <v>59.655544180345444</v>
          </cell>
          <cell r="J14">
            <v>57.366647060644887</v>
          </cell>
          <cell r="K14">
            <v>231.94629995020594</v>
          </cell>
          <cell r="L14">
            <v>235.51907052098755</v>
          </cell>
          <cell r="M14">
            <v>238.11149694851099</v>
          </cell>
          <cell r="N14">
            <v>20871</v>
          </cell>
          <cell r="O14">
            <v>21840</v>
          </cell>
          <cell r="P14">
            <v>25086</v>
          </cell>
          <cell r="R14">
            <v>81.022941106971089</v>
          </cell>
          <cell r="S14">
            <v>77.784161515278484</v>
          </cell>
          <cell r="T14">
            <v>75.883439672960648</v>
          </cell>
          <cell r="U14">
            <v>109.65854919767949</v>
          </cell>
          <cell r="V14">
            <v>111.29980510605951</v>
          </cell>
          <cell r="W14">
            <v>117.39731677139183</v>
          </cell>
          <cell r="X14">
            <v>101.08764852849126</v>
          </cell>
          <cell r="Y14">
            <v>95.108120064885455</v>
          </cell>
          <cell r="Z14">
            <v>89.839529178341138</v>
          </cell>
          <cell r="AA14">
            <v>8.6781991764139708</v>
          </cell>
          <cell r="AB14">
            <v>8.1500648693325726</v>
          </cell>
          <cell r="AC14">
            <v>8.5878068693815308</v>
          </cell>
          <cell r="AD14">
            <v>48.042273322237122</v>
          </cell>
          <cell r="AE14">
            <v>45.318906329605277</v>
          </cell>
          <cell r="AF14">
            <v>47.890535917901943</v>
          </cell>
          <cell r="AH14">
            <v>394</v>
          </cell>
          <cell r="AI14">
            <v>129</v>
          </cell>
          <cell r="AJ14">
            <v>330</v>
          </cell>
          <cell r="AK14">
            <v>5882</v>
          </cell>
          <cell r="AL14">
            <v>3409</v>
          </cell>
          <cell r="AM14">
            <v>3123</v>
          </cell>
          <cell r="AN14">
            <v>1778</v>
          </cell>
          <cell r="AO14">
            <v>3</v>
          </cell>
          <cell r="AP14">
            <v>436</v>
          </cell>
          <cell r="AQ14">
            <v>50</v>
          </cell>
          <cell r="AR14">
            <v>65</v>
          </cell>
          <cell r="AS14">
            <v>1290</v>
          </cell>
          <cell r="AT14">
            <v>1692</v>
          </cell>
          <cell r="AU14">
            <v>2411</v>
          </cell>
          <cell r="AV14">
            <v>1564</v>
          </cell>
          <cell r="AW14">
            <v>1</v>
          </cell>
          <cell r="AX14">
            <v>53</v>
          </cell>
          <cell r="AY14">
            <v>15</v>
          </cell>
          <cell r="AZ14">
            <v>48</v>
          </cell>
          <cell r="BA14">
            <v>841</v>
          </cell>
          <cell r="BB14">
            <v>636</v>
          </cell>
          <cell r="BC14">
            <v>608</v>
          </cell>
          <cell r="BD14">
            <v>328</v>
          </cell>
          <cell r="BE14">
            <v>0</v>
          </cell>
        </row>
        <row r="15">
          <cell r="B15">
            <v>193.11852270586022</v>
          </cell>
          <cell r="C15">
            <v>203.44988766755631</v>
          </cell>
          <cell r="D15">
            <v>205.25173022119688</v>
          </cell>
          <cell r="E15">
            <v>302.98351208015845</v>
          </cell>
          <cell r="F15">
            <v>333.32199687485991</v>
          </cell>
          <cell r="G15">
            <v>312.64459443147985</v>
          </cell>
          <cell r="H15">
            <v>36.42353864635632</v>
          </cell>
          <cell r="I15">
            <v>40.24302162834168</v>
          </cell>
          <cell r="J15">
            <v>46.185723329253115</v>
          </cell>
          <cell r="K15">
            <v>274.03286711691163</v>
          </cell>
          <cell r="L15">
            <v>255.88575885189923</v>
          </cell>
          <cell r="M15">
            <v>296.56862745098039</v>
          </cell>
          <cell r="N15">
            <v>4707</v>
          </cell>
          <cell r="O15">
            <v>4652</v>
          </cell>
          <cell r="P15">
            <v>5811</v>
          </cell>
          <cell r="R15">
            <v>51.268136423591478</v>
          </cell>
          <cell r="S15">
            <v>48.076778094419566</v>
          </cell>
          <cell r="T15">
            <v>51.642767750787833</v>
          </cell>
          <cell r="U15">
            <v>85.059779136624996</v>
          </cell>
          <cell r="V15">
            <v>85.972222222222229</v>
          </cell>
          <cell r="W15">
            <v>96.805555555555557</v>
          </cell>
          <cell r="X15">
            <v>62.891773862927423</v>
          </cell>
          <cell r="Y15">
            <v>57.604715548807718</v>
          </cell>
          <cell r="Z15">
            <v>60.328659462355986</v>
          </cell>
          <cell r="AA15">
            <v>5.3815715093273031</v>
          </cell>
          <cell r="AB15">
            <v>5.5035358332956381</v>
          </cell>
          <cell r="AC15">
            <v>6.1594366791815567</v>
          </cell>
          <cell r="AD15">
            <v>31.623619603906182</v>
          </cell>
          <cell r="AE15">
            <v>33.05555555555555</v>
          </cell>
          <cell r="AF15">
            <v>36.620370370370374</v>
          </cell>
          <cell r="AH15">
            <v>144</v>
          </cell>
          <cell r="AI15">
            <v>50</v>
          </cell>
          <cell r="AJ15">
            <v>69</v>
          </cell>
          <cell r="AK15">
            <v>1358</v>
          </cell>
          <cell r="AL15">
            <v>985</v>
          </cell>
          <cell r="AM15">
            <v>884</v>
          </cell>
          <cell r="AN15">
            <v>634</v>
          </cell>
          <cell r="AO15">
            <v>0</v>
          </cell>
          <cell r="AP15">
            <v>105</v>
          </cell>
          <cell r="AQ15">
            <v>3</v>
          </cell>
          <cell r="AR15">
            <v>11</v>
          </cell>
          <cell r="AS15">
            <v>198</v>
          </cell>
          <cell r="AT15">
            <v>232</v>
          </cell>
          <cell r="AU15">
            <v>286</v>
          </cell>
          <cell r="AV15">
            <v>191</v>
          </cell>
          <cell r="AW15">
            <v>0</v>
          </cell>
          <cell r="AX15">
            <v>9</v>
          </cell>
          <cell r="AY15">
            <v>7</v>
          </cell>
          <cell r="AZ15">
            <v>6</v>
          </cell>
          <cell r="BA15">
            <v>151</v>
          </cell>
          <cell r="BB15">
            <v>109</v>
          </cell>
          <cell r="BC15">
            <v>192</v>
          </cell>
          <cell r="BD15">
            <v>187</v>
          </cell>
          <cell r="BE15">
            <v>0</v>
          </cell>
        </row>
        <row r="16">
          <cell r="B16">
            <v>256.38494852717133</v>
          </cell>
          <cell r="C16">
            <v>263.80049526523305</v>
          </cell>
          <cell r="D16">
            <v>271.957497997281</v>
          </cell>
          <cell r="E16">
            <v>388.81271672178525</v>
          </cell>
          <cell r="F16">
            <v>428.42244828620551</v>
          </cell>
          <cell r="G16">
            <v>421.38861402447446</v>
          </cell>
          <cell r="H16">
            <v>67.232180380151846</v>
          </cell>
          <cell r="I16">
            <v>74.780553991901655</v>
          </cell>
          <cell r="J16">
            <v>75.996010753333238</v>
          </cell>
          <cell r="K16">
            <v>289.03274616079494</v>
          </cell>
          <cell r="L16">
            <v>305.11967634853198</v>
          </cell>
          <cell r="M16">
            <v>316.6587159312561</v>
          </cell>
          <cell r="N16">
            <v>15429</v>
          </cell>
          <cell r="O16">
            <v>16298</v>
          </cell>
          <cell r="P16">
            <v>19367</v>
          </cell>
          <cell r="R16">
            <v>85.952983028159665</v>
          </cell>
          <cell r="S16">
            <v>86.363505893343145</v>
          </cell>
          <cell r="T16">
            <v>85.512839581555667</v>
          </cell>
          <cell r="U16">
            <v>121.30268199233717</v>
          </cell>
          <cell r="V16">
            <v>131.40099588123195</v>
          </cell>
          <cell r="W16">
            <v>137.90188725640868</v>
          </cell>
          <cell r="X16">
            <v>107.29802509077936</v>
          </cell>
          <cell r="Y16">
            <v>106.31768507783012</v>
          </cell>
          <cell r="Z16">
            <v>102.59269309519698</v>
          </cell>
          <cell r="AA16">
            <v>7.0757235233300957</v>
          </cell>
          <cell r="AB16">
            <v>7.1732567211771556</v>
          </cell>
          <cell r="AC16">
            <v>7.9743443215414285</v>
          </cell>
          <cell r="AD16">
            <v>40.812260536398469</v>
          </cell>
          <cell r="AE16">
            <v>41.617999631155094</v>
          </cell>
          <cell r="AF16">
            <v>45.967295752136224</v>
          </cell>
          <cell r="AH16">
            <v>324</v>
          </cell>
          <cell r="AI16">
            <v>133</v>
          </cell>
          <cell r="AJ16">
            <v>213</v>
          </cell>
          <cell r="AK16">
            <v>3942</v>
          </cell>
          <cell r="AL16">
            <v>2444</v>
          </cell>
          <cell r="AM16">
            <v>1963</v>
          </cell>
          <cell r="AN16">
            <v>1094</v>
          </cell>
          <cell r="AO16">
            <v>0</v>
          </cell>
          <cell r="AP16">
            <v>894</v>
          </cell>
          <cell r="AQ16">
            <v>65</v>
          </cell>
          <cell r="AR16">
            <v>93</v>
          </cell>
          <cell r="AS16">
            <v>1350</v>
          </cell>
          <cell r="AT16">
            <v>1420</v>
          </cell>
          <cell r="AU16">
            <v>1922</v>
          </cell>
          <cell r="AV16">
            <v>1343</v>
          </cell>
          <cell r="AW16">
            <v>1</v>
          </cell>
          <cell r="AX16">
            <v>55</v>
          </cell>
          <cell r="AY16">
            <v>20</v>
          </cell>
          <cell r="AZ16">
            <v>28</v>
          </cell>
          <cell r="BA16">
            <v>659</v>
          </cell>
          <cell r="BB16">
            <v>555</v>
          </cell>
          <cell r="BC16">
            <v>501</v>
          </cell>
          <cell r="BD16">
            <v>348</v>
          </cell>
          <cell r="BE16">
            <v>0</v>
          </cell>
        </row>
        <row r="17">
          <cell r="B17">
            <v>249.52915960007724</v>
          </cell>
          <cell r="C17">
            <v>251.7479722760369</v>
          </cell>
          <cell r="D17">
            <v>256.99474371319934</v>
          </cell>
          <cell r="E17">
            <v>429.45271044471349</v>
          </cell>
          <cell r="F17">
            <v>461.57909021754369</v>
          </cell>
          <cell r="G17">
            <v>441.07665831045324</v>
          </cell>
          <cell r="H17">
            <v>73.521814030462437</v>
          </cell>
          <cell r="I17">
            <v>69.625849088466879</v>
          </cell>
          <cell r="J17">
            <v>70.463964199562795</v>
          </cell>
          <cell r="K17">
            <v>285.32636619040858</v>
          </cell>
          <cell r="L17">
            <v>289.7669712880197</v>
          </cell>
          <cell r="M17">
            <v>342.88170451701365</v>
          </cell>
          <cell r="N17">
            <v>16214</v>
          </cell>
          <cell r="O17">
            <v>16548</v>
          </cell>
          <cell r="P17">
            <v>22991</v>
          </cell>
          <cell r="R17">
            <v>98.535184445154016</v>
          </cell>
          <cell r="S17">
            <v>97.448740736793638</v>
          </cell>
          <cell r="T17">
            <v>99.545926853497647</v>
          </cell>
          <cell r="U17">
            <v>124.39192365294008</v>
          </cell>
          <cell r="V17">
            <v>133.39934927146697</v>
          </cell>
          <cell r="W17">
            <v>145.47808960031338</v>
          </cell>
          <cell r="X17">
            <v>120.30747588424437</v>
          </cell>
          <cell r="Y17">
            <v>115.83210087568482</v>
          </cell>
          <cell r="Z17">
            <v>115.80873147557732</v>
          </cell>
          <cell r="AA17">
            <v>9.7399431358639834</v>
          </cell>
          <cell r="AB17">
            <v>9.876947319141486</v>
          </cell>
          <cell r="AC17">
            <v>10.185245096733185</v>
          </cell>
          <cell r="AD17">
            <v>55.030226177071832</v>
          </cell>
          <cell r="AE17">
            <v>55.660141245089612</v>
          </cell>
          <cell r="AF17">
            <v>57.488274916482581</v>
          </cell>
          <cell r="AH17">
            <v>548</v>
          </cell>
          <cell r="AI17">
            <v>151</v>
          </cell>
          <cell r="AJ17">
            <v>400</v>
          </cell>
          <cell r="AK17">
            <v>6274</v>
          </cell>
          <cell r="AL17">
            <v>3161</v>
          </cell>
          <cell r="AM17">
            <v>2657</v>
          </cell>
          <cell r="AN17">
            <v>1631</v>
          </cell>
          <cell r="AO17">
            <v>4</v>
          </cell>
          <cell r="AP17">
            <v>878</v>
          </cell>
          <cell r="AQ17">
            <v>32</v>
          </cell>
          <cell r="AR17">
            <v>41</v>
          </cell>
          <cell r="AS17">
            <v>887</v>
          </cell>
          <cell r="AT17">
            <v>950</v>
          </cell>
          <cell r="AU17">
            <v>1415</v>
          </cell>
          <cell r="AV17">
            <v>924</v>
          </cell>
          <cell r="AW17">
            <v>0</v>
          </cell>
          <cell r="AX17">
            <v>73</v>
          </cell>
          <cell r="AY17">
            <v>14</v>
          </cell>
          <cell r="AZ17">
            <v>47</v>
          </cell>
          <cell r="BA17">
            <v>881</v>
          </cell>
          <cell r="BB17">
            <v>671</v>
          </cell>
          <cell r="BC17">
            <v>834</v>
          </cell>
          <cell r="BD17">
            <v>518</v>
          </cell>
          <cell r="BE17">
            <v>0</v>
          </cell>
        </row>
        <row r="18">
          <cell r="B18">
            <v>276.71623534818031</v>
          </cell>
          <cell r="C18">
            <v>284.36483731275382</v>
          </cell>
          <cell r="D18">
            <v>286.65307429187652</v>
          </cell>
          <cell r="E18">
            <v>516.80856549739099</v>
          </cell>
          <cell r="F18">
            <v>508.43541488392532</v>
          </cell>
          <cell r="G18">
            <v>542.3344917071272</v>
          </cell>
          <cell r="H18">
            <v>86.283841173974096</v>
          </cell>
          <cell r="I18">
            <v>96.496196977701445</v>
          </cell>
          <cell r="J18">
            <v>74.640483780885148</v>
          </cell>
          <cell r="K18">
            <v>395.05877959564629</v>
          </cell>
          <cell r="L18">
            <v>397.70461100503013</v>
          </cell>
          <cell r="M18">
            <v>397.51884750838514</v>
          </cell>
          <cell r="N18">
            <v>14057</v>
          </cell>
          <cell r="O18">
            <v>13152</v>
          </cell>
          <cell r="P18">
            <v>17803</v>
          </cell>
          <cell r="R18">
            <v>126.77012904075985</v>
          </cell>
          <cell r="S18">
            <v>124.58927999730399</v>
          </cell>
          <cell r="T18">
            <v>122.58075387129931</v>
          </cell>
          <cell r="U18">
            <v>164.23965804535246</v>
          </cell>
          <cell r="V18">
            <v>169.7631464580617</v>
          </cell>
          <cell r="W18">
            <v>181.82312038244243</v>
          </cell>
          <cell r="X18">
            <v>150.99644422393118</v>
          </cell>
          <cell r="Y18">
            <v>146.1483548575508</v>
          </cell>
          <cell r="Z18">
            <v>139.29285718499816</v>
          </cell>
          <cell r="AA18">
            <v>14.106969687754475</v>
          </cell>
          <cell r="AB18">
            <v>14.106863025932229</v>
          </cell>
          <cell r="AC18">
            <v>16.152459265000758</v>
          </cell>
          <cell r="AD18">
            <v>74.730131130913563</v>
          </cell>
          <cell r="AE18">
            <v>75.003621613791111</v>
          </cell>
          <cell r="AF18">
            <v>85.488193539040992</v>
          </cell>
          <cell r="AH18">
            <v>724</v>
          </cell>
          <cell r="AI18">
            <v>185</v>
          </cell>
          <cell r="AJ18">
            <v>390</v>
          </cell>
          <cell r="AK18">
            <v>5010</v>
          </cell>
          <cell r="AL18">
            <v>2062</v>
          </cell>
          <cell r="AM18">
            <v>1777</v>
          </cell>
          <cell r="AN18">
            <v>983</v>
          </cell>
          <cell r="AO18">
            <v>2</v>
          </cell>
          <cell r="AP18">
            <v>447</v>
          </cell>
          <cell r="AQ18">
            <v>41</v>
          </cell>
          <cell r="AR18">
            <v>64</v>
          </cell>
          <cell r="AS18">
            <v>879</v>
          </cell>
          <cell r="AT18">
            <v>742</v>
          </cell>
          <cell r="AU18">
            <v>1015</v>
          </cell>
          <cell r="AV18">
            <v>567</v>
          </cell>
          <cell r="AW18">
            <v>1</v>
          </cell>
          <cell r="AX18">
            <v>133</v>
          </cell>
          <cell r="AY18">
            <v>36</v>
          </cell>
          <cell r="AZ18">
            <v>70</v>
          </cell>
          <cell r="BA18">
            <v>1022</v>
          </cell>
          <cell r="BB18">
            <v>599</v>
          </cell>
          <cell r="BC18">
            <v>688</v>
          </cell>
          <cell r="BD18">
            <v>366</v>
          </cell>
          <cell r="BE18">
            <v>0</v>
          </cell>
        </row>
        <row r="19">
          <cell r="B19">
            <v>254.15359380841866</v>
          </cell>
          <cell r="C19">
            <v>259.33800742193483</v>
          </cell>
          <cell r="D19">
            <v>261.01387272705404</v>
          </cell>
          <cell r="E19">
            <v>484.16680274635246</v>
          </cell>
          <cell r="F19">
            <v>510.38213543136493</v>
          </cell>
          <cell r="G19">
            <v>507.90970101056411</v>
          </cell>
          <cell r="H19">
            <v>78.190119169774107</v>
          </cell>
          <cell r="I19">
            <v>70.232882453101709</v>
          </cell>
          <cell r="J19">
            <v>72.210066494247414</v>
          </cell>
          <cell r="K19">
            <v>313.97486166025226</v>
          </cell>
          <cell r="L19">
            <v>340.33563692431045</v>
          </cell>
          <cell r="M19">
            <v>344.6702885729286</v>
          </cell>
          <cell r="N19">
            <v>26291</v>
          </cell>
          <cell r="O19">
            <v>24943</v>
          </cell>
          <cell r="P19">
            <v>30596</v>
          </cell>
          <cell r="R19">
            <v>110.0980184389758</v>
          </cell>
          <cell r="S19">
            <v>107.02505547543869</v>
          </cell>
          <cell r="T19">
            <v>106.57472038831948</v>
          </cell>
          <cell r="U19">
            <v>136.94746853560116</v>
          </cell>
          <cell r="V19">
            <v>141.1486785767016</v>
          </cell>
          <cell r="W19">
            <v>148.2725527831094</v>
          </cell>
          <cell r="X19">
            <v>133.39983842933731</v>
          </cell>
          <cell r="Y19">
            <v>127.33030428197713</v>
          </cell>
          <cell r="Z19">
            <v>124.22782137775943</v>
          </cell>
          <cell r="AA19">
            <v>11.454149803325633</v>
          </cell>
          <cell r="AB19">
            <v>11.287597393556771</v>
          </cell>
          <cell r="AC19">
            <v>12.411716275144427</v>
          </cell>
          <cell r="AD19">
            <v>60.158637820068883</v>
          </cell>
          <cell r="AE19">
            <v>59.344086815296031</v>
          </cell>
          <cell r="AF19">
            <v>65.13915547024952</v>
          </cell>
          <cell r="AH19">
            <v>824</v>
          </cell>
          <cell r="AI19">
            <v>252</v>
          </cell>
          <cell r="AJ19">
            <v>533</v>
          </cell>
          <cell r="AK19">
            <v>8332</v>
          </cell>
          <cell r="AL19">
            <v>3862</v>
          </cell>
          <cell r="AM19">
            <v>3329</v>
          </cell>
          <cell r="AN19">
            <v>1889</v>
          </cell>
          <cell r="AO19">
            <v>7</v>
          </cell>
          <cell r="AP19">
            <v>1043</v>
          </cell>
          <cell r="AQ19">
            <v>61</v>
          </cell>
          <cell r="AR19">
            <v>75</v>
          </cell>
          <cell r="AS19">
            <v>1287</v>
          </cell>
          <cell r="AT19">
            <v>1386</v>
          </cell>
          <cell r="AU19">
            <v>1907</v>
          </cell>
          <cell r="AV19">
            <v>1262</v>
          </cell>
          <cell r="AW19">
            <v>0</v>
          </cell>
          <cell r="AX19">
            <v>127</v>
          </cell>
          <cell r="AY19">
            <v>34</v>
          </cell>
          <cell r="AZ19">
            <v>68</v>
          </cell>
          <cell r="BA19">
            <v>1327</v>
          </cell>
          <cell r="BB19">
            <v>922</v>
          </cell>
          <cell r="BC19">
            <v>1232</v>
          </cell>
          <cell r="BD19">
            <v>836</v>
          </cell>
          <cell r="BE19">
            <v>1</v>
          </cell>
        </row>
        <row r="20">
          <cell r="B20">
            <v>232.11592206299443</v>
          </cell>
          <cell r="C20">
            <v>242.61065452024948</v>
          </cell>
          <cell r="D20">
            <v>241.98765554345317</v>
          </cell>
          <cell r="E20">
            <v>531.23491811331758</v>
          </cell>
          <cell r="F20">
            <v>541.68846196441291</v>
          </cell>
          <cell r="G20">
            <v>542.68055279785756</v>
          </cell>
          <cell r="H20">
            <v>64.023706337803745</v>
          </cell>
          <cell r="I20">
            <v>60.260556614156812</v>
          </cell>
          <cell r="J20">
            <v>54.165876017008067</v>
          </cell>
          <cell r="K20">
            <v>327.87759822817839</v>
          </cell>
          <cell r="L20">
            <v>338.50475922727816</v>
          </cell>
          <cell r="M20">
            <v>357.09516081661354</v>
          </cell>
          <cell r="N20">
            <v>26128</v>
          </cell>
          <cell r="O20">
            <v>24303</v>
          </cell>
          <cell r="P20">
            <v>28670</v>
          </cell>
          <cell r="R20">
            <v>98.747040846177939</v>
          </cell>
          <cell r="S20">
            <v>98.691702148727586</v>
          </cell>
          <cell r="T20">
            <v>95.943905337162093</v>
          </cell>
          <cell r="U20">
            <v>139.40961484396962</v>
          </cell>
          <cell r="V20">
            <v>144.85610505727857</v>
          </cell>
          <cell r="W20">
            <v>153.20480581167925</v>
          </cell>
          <cell r="X20">
            <v>105.80397163891229</v>
          </cell>
          <cell r="Y20">
            <v>104.42147739159577</v>
          </cell>
          <cell r="Z20">
            <v>97.221046787565299</v>
          </cell>
          <cell r="AA20">
            <v>12.068990557679898</v>
          </cell>
          <cell r="AB20">
            <v>13.054097765455325</v>
          </cell>
          <cell r="AC20">
            <v>14.099993398686339</v>
          </cell>
          <cell r="AD20">
            <v>64.683722237840868</v>
          </cell>
          <cell r="AE20">
            <v>70.310142497904451</v>
          </cell>
          <cell r="AF20">
            <v>75.618887957530035</v>
          </cell>
          <cell r="AH20">
            <v>940</v>
          </cell>
          <cell r="AI20">
            <v>284</v>
          </cell>
          <cell r="AJ20">
            <v>599</v>
          </cell>
          <cell r="AK20">
            <v>9626</v>
          </cell>
          <cell r="AL20">
            <v>3303</v>
          </cell>
          <cell r="AM20">
            <v>2663</v>
          </cell>
          <cell r="AN20">
            <v>1879</v>
          </cell>
          <cell r="AO20">
            <v>0</v>
          </cell>
          <cell r="AP20">
            <v>736</v>
          </cell>
          <cell r="AQ20">
            <v>60</v>
          </cell>
          <cell r="AR20">
            <v>75</v>
          </cell>
          <cell r="AS20">
            <v>1390</v>
          </cell>
          <cell r="AT20">
            <v>1222</v>
          </cell>
          <cell r="AU20">
            <v>1503</v>
          </cell>
          <cell r="AV20">
            <v>935</v>
          </cell>
          <cell r="AW20">
            <v>0</v>
          </cell>
          <cell r="AX20">
            <v>184</v>
          </cell>
          <cell r="AY20">
            <v>50</v>
          </cell>
          <cell r="AZ20">
            <v>81</v>
          </cell>
          <cell r="BA20">
            <v>1603</v>
          </cell>
          <cell r="BB20">
            <v>626</v>
          </cell>
          <cell r="BC20">
            <v>528</v>
          </cell>
          <cell r="BD20">
            <v>382</v>
          </cell>
          <cell r="BE20">
            <v>1</v>
          </cell>
        </row>
        <row r="21">
          <cell r="B21">
            <v>242.63753720849303</v>
          </cell>
          <cell r="C21">
            <v>248.26029351879876</v>
          </cell>
          <cell r="D21">
            <v>250.66326007087252</v>
          </cell>
          <cell r="E21">
            <v>448.15196481876796</v>
          </cell>
          <cell r="F21">
            <v>465.77695922801018</v>
          </cell>
          <cell r="G21">
            <v>463.05475219415865</v>
          </cell>
          <cell r="H21">
            <v>67.88738494003654</v>
          </cell>
          <cell r="I21">
            <v>68.091111393601224</v>
          </cell>
          <cell r="J21">
            <v>65.314051147069137</v>
          </cell>
          <cell r="K21">
            <v>296.73986791049151</v>
          </cell>
          <cell r="L21">
            <v>306.55581884706504</v>
          </cell>
          <cell r="M21">
            <v>322.74920850270547</v>
          </cell>
          <cell r="N21">
            <v>123697</v>
          </cell>
          <cell r="O21">
            <v>121736</v>
          </cell>
          <cell r="P21">
            <v>150324</v>
          </cell>
          <cell r="R21">
            <v>95.919646472421405</v>
          </cell>
          <cell r="S21">
            <v>94.149049106736626</v>
          </cell>
          <cell r="T21">
            <v>93.419479162566006</v>
          </cell>
          <cell r="U21">
            <v>128.01144832483541</v>
          </cell>
          <cell r="V21">
            <v>133.37379274575943</v>
          </cell>
          <cell r="W21">
            <v>141.84865898658174</v>
          </cell>
          <cell r="X21">
            <v>115.40277189372391</v>
          </cell>
          <cell r="Y21">
            <v>111.19357454175129</v>
          </cell>
          <cell r="Z21">
            <v>107.24513321592386</v>
          </cell>
          <cell r="AA21">
            <v>10.086557853789541</v>
          </cell>
          <cell r="AB21">
            <v>10.13524632746558</v>
          </cell>
          <cell r="AC21">
            <v>10.983238283803676</v>
          </cell>
          <cell r="AD21">
            <v>55.383434173033351</v>
          </cell>
          <cell r="AE21">
            <v>55.835790012047781</v>
          </cell>
          <cell r="AF21">
            <v>60.3883743420093</v>
          </cell>
          <cell r="AH21">
            <v>3898</v>
          </cell>
          <cell r="AI21">
            <v>1184</v>
          </cell>
          <cell r="AJ21">
            <v>2534</v>
          </cell>
          <cell r="AK21">
            <v>40424</v>
          </cell>
          <cell r="AL21">
            <v>19226</v>
          </cell>
          <cell r="AM21">
            <v>16396</v>
          </cell>
          <cell r="AN21">
            <v>9888</v>
          </cell>
          <cell r="AO21">
            <v>16</v>
          </cell>
          <cell r="AP21">
            <v>4539</v>
          </cell>
          <cell r="AQ21">
            <v>312</v>
          </cell>
          <cell r="AR21">
            <v>424</v>
          </cell>
          <cell r="AS21">
            <v>7281</v>
          </cell>
          <cell r="AT21">
            <v>7644</v>
          </cell>
          <cell r="AU21">
            <v>10459</v>
          </cell>
          <cell r="AV21">
            <v>6786</v>
          </cell>
          <cell r="AW21">
            <v>3</v>
          </cell>
          <cell r="AX21">
            <v>634</v>
          </cell>
          <cell r="AY21">
            <v>176</v>
          </cell>
          <cell r="AZ21">
            <v>348</v>
          </cell>
          <cell r="BA21">
            <v>6484</v>
          </cell>
          <cell r="BB21">
            <v>4118</v>
          </cell>
          <cell r="BC21">
            <v>4583</v>
          </cell>
          <cell r="BD21">
            <v>2965</v>
          </cell>
          <cell r="BE21">
            <v>2</v>
          </cell>
        </row>
        <row r="25">
          <cell r="B25">
            <v>0.81707317073170727</v>
          </cell>
          <cell r="C25">
            <v>0.9</v>
          </cell>
          <cell r="D25">
            <v>0.92592592592592593</v>
          </cell>
          <cell r="E25">
            <v>0.18292682926829273</v>
          </cell>
          <cell r="F25">
            <v>9.9999999999999978E-2</v>
          </cell>
          <cell r="G25">
            <v>7.407407407407407E-2</v>
          </cell>
          <cell r="H25">
            <v>0.42682926829268292</v>
          </cell>
          <cell r="I25">
            <v>0.48749999999999999</v>
          </cell>
          <cell r="J25">
            <v>0.50617283950617287</v>
          </cell>
          <cell r="K25">
            <v>0.57317073170731714</v>
          </cell>
          <cell r="L25">
            <v>0.51249999999999996</v>
          </cell>
          <cell r="M25">
            <v>0.49382716049382713</v>
          </cell>
        </row>
        <row r="26">
          <cell r="B26">
            <v>0.65</v>
          </cell>
          <cell r="C26">
            <v>0.84210526315789469</v>
          </cell>
          <cell r="D26">
            <v>0.94736842105263153</v>
          </cell>
          <cell r="E26">
            <v>0.35</v>
          </cell>
          <cell r="F26">
            <v>0.15789473684210531</v>
          </cell>
          <cell r="G26">
            <v>5.2631578947368474E-2</v>
          </cell>
          <cell r="H26">
            <v>0.8</v>
          </cell>
          <cell r="I26">
            <v>0.84210526315789469</v>
          </cell>
          <cell r="J26">
            <v>0.78947368421052633</v>
          </cell>
          <cell r="K26">
            <v>0.19999999999999996</v>
          </cell>
          <cell r="L26">
            <v>0.15789473684210531</v>
          </cell>
          <cell r="M26">
            <v>0.21052631578947367</v>
          </cell>
        </row>
        <row r="27">
          <cell r="B27">
            <v>0.73333333333333328</v>
          </cell>
          <cell r="C27">
            <v>0.80851063829787229</v>
          </cell>
          <cell r="D27">
            <v>0.93478260869565222</v>
          </cell>
          <cell r="E27">
            <v>0.26666666666666672</v>
          </cell>
          <cell r="F27">
            <v>0.19148936170212771</v>
          </cell>
          <cell r="G27">
            <v>6.5217391304347783E-2</v>
          </cell>
          <cell r="H27">
            <v>0.66666666666666663</v>
          </cell>
          <cell r="I27">
            <v>0.65957446808510634</v>
          </cell>
          <cell r="J27">
            <v>0.69565217391304346</v>
          </cell>
          <cell r="K27">
            <v>0.33333333333333337</v>
          </cell>
          <cell r="L27">
            <v>0.34042553191489366</v>
          </cell>
          <cell r="M27">
            <v>0.30434782608695654</v>
          </cell>
        </row>
        <row r="28">
          <cell r="B28">
            <v>0.660377358490566</v>
          </cell>
          <cell r="C28">
            <v>0.7407407407407407</v>
          </cell>
          <cell r="D28">
            <v>0.85185185185185186</v>
          </cell>
          <cell r="E28">
            <v>0.339622641509434</v>
          </cell>
          <cell r="F28">
            <v>0.2592592592592593</v>
          </cell>
          <cell r="G28">
            <v>0.14814814814814814</v>
          </cell>
          <cell r="H28">
            <v>0.43396226415094341</v>
          </cell>
          <cell r="I28">
            <v>0.42592592592592593</v>
          </cell>
          <cell r="J28">
            <v>0.46296296296296297</v>
          </cell>
          <cell r="K28">
            <v>0.56603773584905659</v>
          </cell>
          <cell r="L28">
            <v>0.57407407407407407</v>
          </cell>
          <cell r="M28">
            <v>0.53703703703703698</v>
          </cell>
        </row>
        <row r="29">
          <cell r="B29">
            <v>1</v>
          </cell>
          <cell r="C29">
            <v>0.9642857142857143</v>
          </cell>
          <cell r="D29">
            <v>0.9642857142857143</v>
          </cell>
          <cell r="E29">
            <v>0</v>
          </cell>
          <cell r="F29">
            <v>3.5714285714285698E-2</v>
          </cell>
          <cell r="G29">
            <v>3.5714285714285698E-2</v>
          </cell>
          <cell r="H29">
            <v>0.6428571428571429</v>
          </cell>
          <cell r="I29">
            <v>0.6428571428571429</v>
          </cell>
          <cell r="J29">
            <v>0.6428571428571429</v>
          </cell>
          <cell r="K29">
            <v>0.3571428571428571</v>
          </cell>
          <cell r="L29">
            <v>0.3571428571428571</v>
          </cell>
          <cell r="M29">
            <v>0.3571428571428571</v>
          </cell>
        </row>
        <row r="30">
          <cell r="B30">
            <v>0.85507246376811596</v>
          </cell>
          <cell r="C30">
            <v>0.87878787878787878</v>
          </cell>
          <cell r="D30">
            <v>0.94117647058823528</v>
          </cell>
          <cell r="E30">
            <v>0.14492753623188404</v>
          </cell>
          <cell r="F30">
            <v>0.12121212121212122</v>
          </cell>
          <cell r="G30">
            <v>5.8823529411764719E-2</v>
          </cell>
          <cell r="H30">
            <v>0.57971014492753625</v>
          </cell>
          <cell r="I30">
            <v>0.59090909090909094</v>
          </cell>
          <cell r="J30">
            <v>0.63235294117647056</v>
          </cell>
          <cell r="K30">
            <v>0.42028985507246375</v>
          </cell>
          <cell r="L30">
            <v>0.40909090909090906</v>
          </cell>
          <cell r="M30">
            <v>0.36764705882352944</v>
          </cell>
        </row>
        <row r="31">
          <cell r="B31">
            <v>0.89393939393939392</v>
          </cell>
          <cell r="C31">
            <v>0.96969696969696972</v>
          </cell>
          <cell r="D31">
            <v>0.94202898550724634</v>
          </cell>
          <cell r="E31">
            <v>0.10606060606060608</v>
          </cell>
          <cell r="F31">
            <v>3.0303030303030276E-2</v>
          </cell>
          <cell r="G31">
            <v>5.7971014492753659E-2</v>
          </cell>
          <cell r="H31">
            <v>0.56060606060606055</v>
          </cell>
          <cell r="I31">
            <v>0.54545454545454541</v>
          </cell>
          <cell r="J31">
            <v>0.52173913043478259</v>
          </cell>
          <cell r="K31">
            <v>0.43939393939393945</v>
          </cell>
          <cell r="L31">
            <v>0.45454545454545459</v>
          </cell>
          <cell r="M31">
            <v>0.47826086956521741</v>
          </cell>
        </row>
        <row r="32">
          <cell r="B32">
            <v>0.80991735537190079</v>
          </cell>
          <cell r="C32">
            <v>0.875</v>
          </cell>
          <cell r="D32">
            <v>0.92602739726027394</v>
          </cell>
          <cell r="E32">
            <v>0.19008264462809921</v>
          </cell>
          <cell r="F32">
            <v>0.125</v>
          </cell>
          <cell r="G32">
            <v>7.3972602739726057E-2</v>
          </cell>
          <cell r="H32">
            <v>0.54820936639118456</v>
          </cell>
          <cell r="I32">
            <v>0.56111111111111112</v>
          </cell>
          <cell r="J32">
            <v>0.57534246575342463</v>
          </cell>
          <cell r="K32">
            <v>0.45179063360881544</v>
          </cell>
          <cell r="L32">
            <v>0.43888888888888888</v>
          </cell>
          <cell r="M32">
            <v>0.42465753424657537</v>
          </cell>
        </row>
        <row r="36">
          <cell r="B36">
            <v>17525</v>
          </cell>
          <cell r="C36">
            <v>20025</v>
          </cell>
          <cell r="D36">
            <v>23112</v>
          </cell>
          <cell r="E36">
            <v>13733</v>
          </cell>
          <cell r="F36">
            <v>14547</v>
          </cell>
          <cell r="G36">
            <v>13745</v>
          </cell>
          <cell r="H36">
            <v>8901</v>
          </cell>
          <cell r="I36">
            <v>5039</v>
          </cell>
        </row>
        <row r="37">
          <cell r="B37">
            <v>2909</v>
          </cell>
          <cell r="C37">
            <v>3281</v>
          </cell>
          <cell r="D37">
            <v>3371</v>
          </cell>
          <cell r="E37">
            <v>3231</v>
          </cell>
          <cell r="F37">
            <v>2214</v>
          </cell>
          <cell r="G37">
            <v>2461</v>
          </cell>
          <cell r="H37">
            <v>2565</v>
          </cell>
          <cell r="I37">
            <v>1879</v>
          </cell>
        </row>
        <row r="38">
          <cell r="B38">
            <v>15447</v>
          </cell>
          <cell r="C38">
            <v>15908</v>
          </cell>
          <cell r="D38">
            <v>16378</v>
          </cell>
          <cell r="E38">
            <v>17983</v>
          </cell>
          <cell r="F38">
            <v>8017</v>
          </cell>
          <cell r="G38">
            <v>6792</v>
          </cell>
          <cell r="H38">
            <v>6070</v>
          </cell>
          <cell r="I38">
            <v>6940</v>
          </cell>
        </row>
        <row r="39">
          <cell r="B39">
            <v>11383</v>
          </cell>
          <cell r="C39">
            <v>10390</v>
          </cell>
          <cell r="D39">
            <v>13510</v>
          </cell>
          <cell r="E39">
            <v>17332</v>
          </cell>
          <cell r="F39">
            <v>8904</v>
          </cell>
          <cell r="G39">
            <v>8751</v>
          </cell>
          <cell r="H39">
            <v>5987</v>
          </cell>
          <cell r="I39">
            <v>5841</v>
          </cell>
        </row>
        <row r="40">
          <cell r="B40">
            <v>7532</v>
          </cell>
          <cell r="C40">
            <v>9411</v>
          </cell>
          <cell r="D40">
            <v>12307</v>
          </cell>
          <cell r="E40">
            <v>7366</v>
          </cell>
          <cell r="F40">
            <v>4180</v>
          </cell>
          <cell r="G40">
            <v>5320</v>
          </cell>
          <cell r="H40">
            <v>5853</v>
          </cell>
          <cell r="I40">
            <v>1935</v>
          </cell>
        </row>
        <row r="41">
          <cell r="B41">
            <v>7957</v>
          </cell>
          <cell r="C41">
            <v>11513</v>
          </cell>
          <cell r="D41">
            <v>16417</v>
          </cell>
          <cell r="E41">
            <v>17781</v>
          </cell>
          <cell r="F41">
            <v>7317</v>
          </cell>
          <cell r="G41">
            <v>6149</v>
          </cell>
          <cell r="H41">
            <v>6786</v>
          </cell>
          <cell r="I41">
            <v>6556</v>
          </cell>
        </row>
        <row r="42">
          <cell r="B42">
            <v>8195</v>
          </cell>
          <cell r="C42">
            <v>11077</v>
          </cell>
          <cell r="D42">
            <v>13188</v>
          </cell>
          <cell r="E42">
            <v>14420</v>
          </cell>
          <cell r="F42">
            <v>4308</v>
          </cell>
          <cell r="G42">
            <v>3950</v>
          </cell>
          <cell r="H42">
            <v>3103</v>
          </cell>
          <cell r="I42">
            <v>3634</v>
          </cell>
        </row>
        <row r="43">
          <cell r="B43">
            <v>70948</v>
          </cell>
          <cell r="C43">
            <v>81605</v>
          </cell>
          <cell r="D43">
            <v>98283</v>
          </cell>
          <cell r="E43">
            <v>91846</v>
          </cell>
          <cell r="F43">
            <v>49487</v>
          </cell>
          <cell r="G43">
            <v>47168</v>
          </cell>
          <cell r="H43">
            <v>39265</v>
          </cell>
          <cell r="I43">
            <v>31824</v>
          </cell>
        </row>
        <row r="47">
          <cell r="B47">
            <v>1112</v>
          </cell>
          <cell r="C47">
            <v>1244</v>
          </cell>
          <cell r="D47">
            <v>1437</v>
          </cell>
          <cell r="E47">
            <v>1423</v>
          </cell>
          <cell r="F47">
            <v>1781</v>
          </cell>
          <cell r="G47">
            <v>16.105811706839464</v>
          </cell>
          <cell r="H47">
            <v>17.977242314150864</v>
          </cell>
          <cell r="I47">
            <v>20.704918174509174</v>
          </cell>
          <cell r="J47">
            <v>20.503200112962112</v>
          </cell>
          <cell r="K47">
            <v>25.645345463394545</v>
          </cell>
          <cell r="L47">
            <v>53.279757866722328</v>
          </cell>
          <cell r="M47">
            <v>60.15386998502607</v>
          </cell>
          <cell r="N47">
            <v>68.062187560451648</v>
          </cell>
          <cell r="O47">
            <v>66.484081491361138</v>
          </cell>
          <cell r="P47">
            <v>83.042289399598687</v>
          </cell>
        </row>
        <row r="48">
          <cell r="B48">
            <v>243</v>
          </cell>
          <cell r="C48">
            <v>255</v>
          </cell>
          <cell r="D48">
            <v>307</v>
          </cell>
          <cell r="E48">
            <v>316</v>
          </cell>
          <cell r="F48">
            <v>315</v>
          </cell>
          <cell r="G48">
            <v>18.277273000782237</v>
          </cell>
          <cell r="H48">
            <v>19.215553294902225</v>
          </cell>
          <cell r="I48">
            <v>23.139250047107591</v>
          </cell>
          <cell r="J48">
            <v>23.8175993970228</v>
          </cell>
          <cell r="K48">
            <v>23.748134075179806</v>
          </cell>
          <cell r="L48">
            <v>52.063522251806774</v>
          </cell>
          <cell r="M48">
            <v>55.024819705909898</v>
          </cell>
          <cell r="N48">
            <v>64.458205759801103</v>
          </cell>
          <cell r="O48">
            <v>65.379037270655402</v>
          </cell>
          <cell r="P48">
            <v>66.575467396260834</v>
          </cell>
        </row>
        <row r="49">
          <cell r="B49">
            <v>1057</v>
          </cell>
          <cell r="C49">
            <v>1103</v>
          </cell>
          <cell r="D49">
            <v>1202</v>
          </cell>
          <cell r="E49">
            <v>1322</v>
          </cell>
          <cell r="F49">
            <v>1442</v>
          </cell>
          <cell r="G49">
            <v>27.569262228806618</v>
          </cell>
          <cell r="H49">
            <v>28.730991440613067</v>
          </cell>
          <cell r="I49">
            <v>31.3029800332822</v>
          </cell>
          <cell r="J49">
            <v>34.428069554075769</v>
          </cell>
          <cell r="K49">
            <v>37.627632564341425</v>
          </cell>
          <cell r="L49">
            <v>87.70269417628873</v>
          </cell>
          <cell r="M49">
            <v>89.633809837466401</v>
          </cell>
          <cell r="N49">
            <v>98.140586390003691</v>
          </cell>
          <cell r="O49">
            <v>106.99076426981651</v>
          </cell>
          <cell r="P49">
            <v>116.64761508884962</v>
          </cell>
        </row>
        <row r="50">
          <cell r="B50">
            <v>1447</v>
          </cell>
          <cell r="C50">
            <v>1426</v>
          </cell>
          <cell r="D50">
            <v>1535</v>
          </cell>
          <cell r="E50">
            <v>1440</v>
          </cell>
          <cell r="F50">
            <v>1462</v>
          </cell>
          <cell r="G50">
            <v>27.854724234380082</v>
          </cell>
          <cell r="H50">
            <v>27.38568493019147</v>
          </cell>
          <cell r="I50">
            <v>29.3498482794488</v>
          </cell>
          <cell r="J50">
            <v>27.533408157919393</v>
          </cell>
          <cell r="K50">
            <v>27.822922891300294</v>
          </cell>
          <cell r="L50">
            <v>102.54667881577119</v>
          </cell>
          <cell r="M50">
            <v>99.429975504971495</v>
          </cell>
          <cell r="N50">
            <v>105.51728287355975</v>
          </cell>
          <cell r="O50">
            <v>99.575825035347918</v>
          </cell>
          <cell r="P50">
            <v>99.453861764354784</v>
          </cell>
        </row>
        <row r="51">
          <cell r="B51">
            <v>655</v>
          </cell>
          <cell r="C51">
            <v>617</v>
          </cell>
          <cell r="D51">
            <v>653</v>
          </cell>
          <cell r="E51">
            <v>671</v>
          </cell>
          <cell r="F51">
            <v>631</v>
          </cell>
          <cell r="G51">
            <v>22.241313154293593</v>
          </cell>
          <cell r="H51">
            <v>20.905687227878765</v>
          </cell>
          <cell r="I51">
            <v>22.064314266116579</v>
          </cell>
          <cell r="J51">
            <v>22.672518947265274</v>
          </cell>
          <cell r="K51">
            <v>21.264764857532818</v>
          </cell>
          <cell r="L51">
            <v>84.755420073502179</v>
          </cell>
          <cell r="M51">
            <v>79.304603053650553</v>
          </cell>
          <cell r="N51">
            <v>82.168003471493165</v>
          </cell>
          <cell r="O51">
            <v>84.687635605201635</v>
          </cell>
          <cell r="P51">
            <v>79.153474420929854</v>
          </cell>
        </row>
        <row r="52">
          <cell r="B52">
            <v>1249</v>
          </cell>
          <cell r="C52">
            <v>1321</v>
          </cell>
          <cell r="D52">
            <v>1317</v>
          </cell>
          <cell r="E52">
            <v>1571</v>
          </cell>
          <cell r="F52">
            <v>1761</v>
          </cell>
          <cell r="G52">
            <v>21.609706893479199</v>
          </cell>
          <cell r="H52">
            <v>22.811219459127162</v>
          </cell>
          <cell r="I52">
            <v>22.691208319765128</v>
          </cell>
          <cell r="J52">
            <v>27.067492991914214</v>
          </cell>
          <cell r="K52">
            <v>30.268705664768497</v>
          </cell>
          <cell r="L52">
            <v>80.701580818181171</v>
          </cell>
          <cell r="M52">
            <v>83.826395534847322</v>
          </cell>
          <cell r="N52">
            <v>82.1680246641709</v>
          </cell>
          <cell r="O52">
            <v>96.894957057916756</v>
          </cell>
          <cell r="P52">
            <v>107.99121334916022</v>
          </cell>
        </row>
        <row r="53">
          <cell r="B53">
            <v>1088</v>
          </cell>
          <cell r="C53">
            <v>1271</v>
          </cell>
          <cell r="D53">
            <v>1339</v>
          </cell>
          <cell r="E53">
            <v>1306</v>
          </cell>
          <cell r="F53">
            <v>1400</v>
          </cell>
          <cell r="G53">
            <v>22.889650007153016</v>
          </cell>
          <cell r="H53">
            <v>26.541705560393343</v>
          </cell>
          <cell r="I53">
            <v>27.781293375852478</v>
          </cell>
          <cell r="J53">
            <v>27.096616242616381</v>
          </cell>
          <cell r="K53">
            <v>28.880747268706479</v>
          </cell>
          <cell r="L53">
            <v>102.63069705093834</v>
          </cell>
          <cell r="M53">
            <v>115.67314339961409</v>
          </cell>
          <cell r="N53">
            <v>122.05019986607958</v>
          </cell>
          <cell r="O53">
            <v>119.91964774871659</v>
          </cell>
          <cell r="P53">
            <v>125.85354132041091</v>
          </cell>
        </row>
        <row r="54">
          <cell r="B54">
            <v>6851</v>
          </cell>
          <cell r="C54">
            <v>7237</v>
          </cell>
          <cell r="D54">
            <v>7790</v>
          </cell>
          <cell r="E54">
            <v>8049</v>
          </cell>
          <cell r="F54">
            <v>8792</v>
          </cell>
          <cell r="G54">
            <v>22.286436827824506</v>
          </cell>
          <cell r="H54">
            <v>23.478366941213569</v>
          </cell>
          <cell r="I54">
            <v>25.193755829492282</v>
          </cell>
          <cell r="J54">
            <v>26.031391613810449</v>
          </cell>
          <cell r="K54">
            <v>28.369654794994396</v>
          </cell>
          <cell r="L54">
            <v>80.093378281870329</v>
          </cell>
          <cell r="M54">
            <v>83.381708129874625</v>
          </cell>
          <cell r="N54">
            <v>88.796928753053805</v>
          </cell>
          <cell r="O54">
            <v>91.364610859051709</v>
          </cell>
          <cell r="P54">
            <v>99.11139379642951</v>
          </cell>
        </row>
        <row r="58">
          <cell r="B58">
            <v>33423</v>
          </cell>
          <cell r="C58">
            <v>35119</v>
          </cell>
          <cell r="D58">
            <v>36329</v>
          </cell>
          <cell r="E58">
            <v>29909</v>
          </cell>
          <cell r="F58">
            <v>33812</v>
          </cell>
          <cell r="G58">
            <v>33706</v>
          </cell>
          <cell r="H58">
            <v>24245</v>
          </cell>
          <cell r="I58">
            <v>27389</v>
          </cell>
          <cell r="J58">
            <v>28639</v>
          </cell>
          <cell r="K58">
            <v>0.81062556421144139</v>
          </cell>
          <cell r="L58">
            <v>0.81003785638234949</v>
          </cell>
          <cell r="M58">
            <v>0.84967068177772498</v>
          </cell>
        </row>
        <row r="59">
          <cell r="B59">
            <v>7176</v>
          </cell>
          <cell r="C59">
            <v>7494</v>
          </cell>
          <cell r="D59">
            <v>7736</v>
          </cell>
          <cell r="E59">
            <v>4576</v>
          </cell>
          <cell r="F59">
            <v>5593</v>
          </cell>
          <cell r="G59">
            <v>7229</v>
          </cell>
          <cell r="H59">
            <v>4893</v>
          </cell>
          <cell r="I59">
            <v>5940</v>
          </cell>
          <cell r="J59">
            <v>6612</v>
          </cell>
          <cell r="K59">
            <v>1.0692744755244756</v>
          </cell>
          <cell r="L59">
            <v>1.0620418380118004</v>
          </cell>
          <cell r="M59">
            <v>0.91464932909116059</v>
          </cell>
        </row>
        <row r="60">
          <cell r="B60">
            <v>20009</v>
          </cell>
          <cell r="C60">
            <v>21153</v>
          </cell>
          <cell r="D60">
            <v>21717</v>
          </cell>
          <cell r="E60">
            <v>17860</v>
          </cell>
          <cell r="F60">
            <v>19248</v>
          </cell>
          <cell r="G60">
            <v>21960</v>
          </cell>
          <cell r="H60">
            <v>14736</v>
          </cell>
          <cell r="I60">
            <v>15959</v>
          </cell>
          <cell r="J60">
            <v>18543</v>
          </cell>
          <cell r="K60">
            <v>0.8250839865621501</v>
          </cell>
          <cell r="L60">
            <v>0.82912510390689942</v>
          </cell>
          <cell r="M60">
            <v>0.84439890710382515</v>
          </cell>
        </row>
        <row r="61">
          <cell r="B61">
            <v>28753</v>
          </cell>
          <cell r="C61">
            <v>30724</v>
          </cell>
          <cell r="D61">
            <v>31302</v>
          </cell>
          <cell r="E61">
            <v>28428</v>
          </cell>
          <cell r="F61">
            <v>29193</v>
          </cell>
          <cell r="G61">
            <v>28517</v>
          </cell>
          <cell r="H61">
            <v>21548</v>
          </cell>
          <cell r="I61">
            <v>23681</v>
          </cell>
          <cell r="J61">
            <v>25316</v>
          </cell>
          <cell r="K61">
            <v>0.7579850851273392</v>
          </cell>
          <cell r="L61">
            <v>0.81118761346898227</v>
          </cell>
          <cell r="M61">
            <v>0.88775116597117509</v>
          </cell>
        </row>
        <row r="62">
          <cell r="B62">
            <v>15607</v>
          </cell>
          <cell r="C62">
            <v>16658</v>
          </cell>
          <cell r="D62">
            <v>17119</v>
          </cell>
          <cell r="E62">
            <v>15923</v>
          </cell>
          <cell r="F62">
            <v>15806</v>
          </cell>
          <cell r="G62">
            <v>16882</v>
          </cell>
          <cell r="H62">
            <v>12715</v>
          </cell>
          <cell r="I62">
            <v>13066</v>
          </cell>
          <cell r="J62">
            <v>14281</v>
          </cell>
          <cell r="K62">
            <v>0.79853042768322557</v>
          </cell>
          <cell r="L62">
            <v>0.82664810831329871</v>
          </cell>
          <cell r="M62">
            <v>0.84593057694585949</v>
          </cell>
        </row>
        <row r="63">
          <cell r="B63">
            <v>33410</v>
          </cell>
          <cell r="C63">
            <v>35003</v>
          </cell>
          <cell r="D63">
            <v>35647</v>
          </cell>
          <cell r="E63">
            <v>32399</v>
          </cell>
          <cell r="F63">
            <v>30866</v>
          </cell>
          <cell r="G63">
            <v>33965</v>
          </cell>
          <cell r="H63">
            <v>25133</v>
          </cell>
          <cell r="I63">
            <v>25112</v>
          </cell>
          <cell r="J63">
            <v>27994</v>
          </cell>
          <cell r="K63">
            <v>0.77573381894502913</v>
          </cell>
          <cell r="L63">
            <v>0.81358128685284781</v>
          </cell>
          <cell r="M63">
            <v>0.82420138377741792</v>
          </cell>
        </row>
        <row r="64">
          <cell r="B64">
            <v>20227</v>
          </cell>
          <cell r="C64">
            <v>21517</v>
          </cell>
          <cell r="D64">
            <v>22249</v>
          </cell>
          <cell r="E64">
            <v>21048</v>
          </cell>
          <cell r="F64">
            <v>20470</v>
          </cell>
          <cell r="G64">
            <v>22045</v>
          </cell>
          <cell r="H64">
            <v>16159</v>
          </cell>
          <cell r="I64">
            <v>15366</v>
          </cell>
          <cell r="J64">
            <v>17879</v>
          </cell>
          <cell r="K64">
            <v>0.76772139870771572</v>
          </cell>
          <cell r="L64">
            <v>0.75065950170981921</v>
          </cell>
          <cell r="M64">
            <v>0.81102290768881835</v>
          </cell>
        </row>
        <row r="65">
          <cell r="B65">
            <v>158952</v>
          </cell>
          <cell r="C65">
            <v>167668</v>
          </cell>
          <cell r="D65">
            <v>172101</v>
          </cell>
          <cell r="E65">
            <v>150393</v>
          </cell>
          <cell r="F65">
            <v>154988</v>
          </cell>
          <cell r="G65">
            <v>164304</v>
          </cell>
          <cell r="H65">
            <v>119623</v>
          </cell>
          <cell r="I65">
            <v>126513</v>
          </cell>
          <cell r="J65">
            <v>139264</v>
          </cell>
          <cell r="K65">
            <v>0.7954027115623733</v>
          </cell>
          <cell r="L65">
            <v>0.81627609879474539</v>
          </cell>
          <cell r="M65">
            <v>0.84759957152595189</v>
          </cell>
        </row>
        <row r="69">
          <cell r="B69">
            <v>135</v>
          </cell>
          <cell r="C69">
            <v>116</v>
          </cell>
          <cell r="D69">
            <v>100</v>
          </cell>
          <cell r="E69">
            <v>106</v>
          </cell>
          <cell r="F69">
            <v>102</v>
          </cell>
          <cell r="G69">
            <v>95</v>
          </cell>
          <cell r="H69">
            <v>87</v>
          </cell>
          <cell r="I69">
            <v>73</v>
          </cell>
          <cell r="J69">
            <v>79</v>
          </cell>
          <cell r="K69">
            <v>80</v>
          </cell>
          <cell r="L69">
            <v>222</v>
          </cell>
          <cell r="M69">
            <v>201</v>
          </cell>
          <cell r="N69">
            <v>172</v>
          </cell>
          <cell r="O69">
            <v>183</v>
          </cell>
          <cell r="P69">
            <v>180</v>
          </cell>
          <cell r="Q69">
            <v>8</v>
          </cell>
          <cell r="R69">
            <v>2</v>
          </cell>
          <cell r="S69">
            <v>1</v>
          </cell>
          <cell r="T69">
            <v>2</v>
          </cell>
          <cell r="U69">
            <v>2</v>
          </cell>
          <cell r="V69">
            <v>33.390909999999998</v>
          </cell>
          <cell r="W69">
            <v>32.99091</v>
          </cell>
          <cell r="X69">
            <v>34.040909999999997</v>
          </cell>
          <cell r="Y69">
            <v>30.190909999999999</v>
          </cell>
          <cell r="Z69">
            <v>33.190910000000002</v>
          </cell>
          <cell r="AA69">
            <v>1.3</v>
          </cell>
          <cell r="AB69">
            <v>0.3</v>
          </cell>
          <cell r="AC69">
            <v>0.3</v>
          </cell>
          <cell r="AD69">
            <v>1.7</v>
          </cell>
          <cell r="AE69">
            <v>1.9</v>
          </cell>
          <cell r="AF69">
            <v>26.090910000000001</v>
          </cell>
          <cell r="AG69">
            <v>26.090910000000001</v>
          </cell>
          <cell r="AH69">
            <v>26</v>
          </cell>
          <cell r="AI69">
            <v>30.2</v>
          </cell>
          <cell r="AJ69">
            <v>28.7</v>
          </cell>
        </row>
        <row r="70">
          <cell r="B70">
            <v>24</v>
          </cell>
          <cell r="C70">
            <v>17</v>
          </cell>
          <cell r="D70">
            <v>18</v>
          </cell>
          <cell r="E70">
            <v>19</v>
          </cell>
          <cell r="F70">
            <v>20</v>
          </cell>
          <cell r="G70">
            <v>13</v>
          </cell>
          <cell r="H70">
            <v>10</v>
          </cell>
          <cell r="I70">
            <v>12</v>
          </cell>
          <cell r="J70">
            <v>15</v>
          </cell>
          <cell r="K70">
            <v>14</v>
          </cell>
          <cell r="L70">
            <v>37</v>
          </cell>
          <cell r="M70">
            <v>27</v>
          </cell>
          <cell r="N70">
            <v>30</v>
          </cell>
          <cell r="O70">
            <v>34</v>
          </cell>
          <cell r="P70">
            <v>34</v>
          </cell>
          <cell r="Q70">
            <v>0</v>
          </cell>
          <cell r="R70">
            <v>0</v>
          </cell>
          <cell r="S70">
            <v>0</v>
          </cell>
          <cell r="T70">
            <v>0</v>
          </cell>
          <cell r="U70">
            <v>0</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row>
        <row r="71">
          <cell r="B71">
            <v>40</v>
          </cell>
          <cell r="C71">
            <v>35</v>
          </cell>
          <cell r="D71">
            <v>35</v>
          </cell>
          <cell r="E71">
            <v>40</v>
          </cell>
          <cell r="F71">
            <v>38</v>
          </cell>
          <cell r="G71">
            <v>35</v>
          </cell>
          <cell r="H71">
            <v>34</v>
          </cell>
          <cell r="I71">
            <v>40</v>
          </cell>
          <cell r="J71">
            <v>43</v>
          </cell>
          <cell r="K71">
            <v>47</v>
          </cell>
          <cell r="L71">
            <v>73</v>
          </cell>
          <cell r="M71">
            <v>67</v>
          </cell>
          <cell r="N71">
            <v>73</v>
          </cell>
          <cell r="O71">
            <v>81</v>
          </cell>
          <cell r="P71">
            <v>83</v>
          </cell>
          <cell r="Q71">
            <v>2</v>
          </cell>
          <cell r="R71">
            <v>2</v>
          </cell>
          <cell r="S71">
            <v>2</v>
          </cell>
          <cell r="T71">
            <v>2</v>
          </cell>
          <cell r="U71">
            <v>2</v>
          </cell>
          <cell r="V71">
            <v>20.9</v>
          </cell>
          <cell r="W71">
            <v>20.9</v>
          </cell>
          <cell r="X71">
            <v>18.899999999999999</v>
          </cell>
          <cell r="Y71">
            <v>17.899999999999999</v>
          </cell>
          <cell r="Z71">
            <v>15.9</v>
          </cell>
          <cell r="AA71" t="str">
            <v>.</v>
          </cell>
          <cell r="AB71" t="str">
            <v>.</v>
          </cell>
          <cell r="AC71" t="str">
            <v>.</v>
          </cell>
          <cell r="AD71" t="str">
            <v>.</v>
          </cell>
          <cell r="AE71" t="str">
            <v>.</v>
          </cell>
          <cell r="AF71">
            <v>7</v>
          </cell>
          <cell r="AG71">
            <v>8</v>
          </cell>
          <cell r="AH71">
            <v>9</v>
          </cell>
          <cell r="AI71">
            <v>15.7</v>
          </cell>
          <cell r="AJ71">
            <v>16.2</v>
          </cell>
        </row>
        <row r="72">
          <cell r="B72">
            <v>44</v>
          </cell>
          <cell r="C72">
            <v>46</v>
          </cell>
          <cell r="D72">
            <v>42</v>
          </cell>
          <cell r="E72">
            <v>46</v>
          </cell>
          <cell r="F72">
            <v>45</v>
          </cell>
          <cell r="G72">
            <v>67</v>
          </cell>
          <cell r="H72">
            <v>71</v>
          </cell>
          <cell r="I72">
            <v>74</v>
          </cell>
          <cell r="J72">
            <v>77</v>
          </cell>
          <cell r="K72">
            <v>72</v>
          </cell>
          <cell r="L72">
            <v>108</v>
          </cell>
          <cell r="M72">
            <v>114</v>
          </cell>
          <cell r="N72">
            <v>113</v>
          </cell>
          <cell r="O72">
            <v>121</v>
          </cell>
          <cell r="P72">
            <v>116</v>
          </cell>
          <cell r="Q72">
            <v>3</v>
          </cell>
          <cell r="R72">
            <v>3</v>
          </cell>
          <cell r="S72">
            <v>3</v>
          </cell>
          <cell r="T72">
            <v>2</v>
          </cell>
          <cell r="U72">
            <v>1</v>
          </cell>
          <cell r="V72">
            <v>31.090910000000001</v>
          </cell>
          <cell r="W72">
            <v>32</v>
          </cell>
          <cell r="X72">
            <v>30.9375</v>
          </cell>
          <cell r="Y72">
            <v>28</v>
          </cell>
          <cell r="Z72">
            <v>27.8</v>
          </cell>
          <cell r="AA72" t="str">
            <v>.</v>
          </cell>
          <cell r="AB72" t="str">
            <v>.</v>
          </cell>
          <cell r="AC72" t="str">
            <v>.</v>
          </cell>
          <cell r="AD72" t="str">
            <v>.</v>
          </cell>
          <cell r="AE72" t="str">
            <v>.</v>
          </cell>
          <cell r="AF72">
            <v>26.9</v>
          </cell>
          <cell r="AG72">
            <v>27.9</v>
          </cell>
          <cell r="AH72">
            <v>30.9</v>
          </cell>
          <cell r="AI72">
            <v>23.637</v>
          </cell>
          <cell r="AJ72">
            <v>25.75</v>
          </cell>
        </row>
        <row r="73">
          <cell r="B73">
            <v>38</v>
          </cell>
          <cell r="C73">
            <v>33</v>
          </cell>
          <cell r="D73">
            <v>37</v>
          </cell>
          <cell r="E73">
            <v>40</v>
          </cell>
          <cell r="F73">
            <v>42</v>
          </cell>
          <cell r="G73">
            <v>30</v>
          </cell>
          <cell r="H73">
            <v>33</v>
          </cell>
          <cell r="I73">
            <v>34</v>
          </cell>
          <cell r="J73">
            <v>38</v>
          </cell>
          <cell r="K73">
            <v>35</v>
          </cell>
          <cell r="L73">
            <v>67</v>
          </cell>
          <cell r="M73">
            <v>65</v>
          </cell>
          <cell r="N73">
            <v>70</v>
          </cell>
          <cell r="O73">
            <v>77</v>
          </cell>
          <cell r="P73">
            <v>76</v>
          </cell>
          <cell r="Q73">
            <v>1</v>
          </cell>
          <cell r="R73">
            <v>1</v>
          </cell>
          <cell r="S73">
            <v>1</v>
          </cell>
          <cell r="T73">
            <v>1</v>
          </cell>
          <cell r="U73">
            <v>1</v>
          </cell>
          <cell r="V73">
            <v>15.981820000000001</v>
          </cell>
          <cell r="W73">
            <v>14.381819999999999</v>
          </cell>
          <cell r="X73">
            <v>17</v>
          </cell>
          <cell r="Y73">
            <v>15.5</v>
          </cell>
          <cell r="Z73">
            <v>18</v>
          </cell>
          <cell r="AA73" t="str">
            <v>.</v>
          </cell>
          <cell r="AB73" t="str">
            <v>.</v>
          </cell>
          <cell r="AC73" t="str">
            <v>.</v>
          </cell>
          <cell r="AD73" t="str">
            <v>.</v>
          </cell>
          <cell r="AE73" t="str">
            <v>.</v>
          </cell>
          <cell r="AF73">
            <v>17.8</v>
          </cell>
          <cell r="AG73">
            <v>18.8</v>
          </cell>
          <cell r="AH73">
            <v>19.899999999999999</v>
          </cell>
          <cell r="AI73">
            <v>14.9</v>
          </cell>
          <cell r="AJ73">
            <v>17.8</v>
          </cell>
        </row>
        <row r="74">
          <cell r="B74">
            <v>76</v>
          </cell>
          <cell r="C74">
            <v>76</v>
          </cell>
          <cell r="D74">
            <v>74</v>
          </cell>
          <cell r="E74">
            <v>73</v>
          </cell>
          <cell r="F74">
            <v>73</v>
          </cell>
          <cell r="G74">
            <v>73</v>
          </cell>
          <cell r="H74">
            <v>73</v>
          </cell>
          <cell r="I74">
            <v>83</v>
          </cell>
          <cell r="J74">
            <v>84</v>
          </cell>
          <cell r="K74">
            <v>86</v>
          </cell>
          <cell r="L74">
            <v>149</v>
          </cell>
          <cell r="M74">
            <v>149</v>
          </cell>
          <cell r="N74">
            <v>157</v>
          </cell>
          <cell r="O74">
            <v>157</v>
          </cell>
          <cell r="P74">
            <v>159</v>
          </cell>
          <cell r="Q74">
            <v>0</v>
          </cell>
          <cell r="R74">
            <v>0</v>
          </cell>
          <cell r="S74">
            <v>0</v>
          </cell>
          <cell r="T74">
            <v>0</v>
          </cell>
          <cell r="U74">
            <v>0</v>
          </cell>
          <cell r="V74">
            <v>16.75</v>
          </cell>
          <cell r="W74">
            <v>17.75</v>
          </cell>
          <cell r="X74">
            <v>17.75</v>
          </cell>
          <cell r="Y74">
            <v>18.75</v>
          </cell>
          <cell r="Z74">
            <v>17.100000000000001</v>
          </cell>
          <cell r="AA74" t="str">
            <v>.</v>
          </cell>
          <cell r="AB74" t="str">
            <v>.</v>
          </cell>
          <cell r="AC74" t="str">
            <v>.</v>
          </cell>
          <cell r="AD74" t="str">
            <v>.</v>
          </cell>
          <cell r="AE74" t="str">
            <v>.</v>
          </cell>
          <cell r="AF74">
            <v>13</v>
          </cell>
          <cell r="AG74">
            <v>16</v>
          </cell>
          <cell r="AH74">
            <v>16</v>
          </cell>
          <cell r="AI74">
            <v>16.899999999999999</v>
          </cell>
          <cell r="AJ74">
            <v>16.7</v>
          </cell>
        </row>
        <row r="75">
          <cell r="B75">
            <v>79</v>
          </cell>
          <cell r="C75">
            <v>76</v>
          </cell>
          <cell r="D75">
            <v>76</v>
          </cell>
          <cell r="E75">
            <v>74</v>
          </cell>
          <cell r="F75">
            <v>71</v>
          </cell>
          <cell r="G75">
            <v>91</v>
          </cell>
          <cell r="H75">
            <v>94</v>
          </cell>
          <cell r="I75">
            <v>98</v>
          </cell>
          <cell r="J75">
            <v>104</v>
          </cell>
          <cell r="K75">
            <v>114</v>
          </cell>
          <cell r="L75">
            <v>170</v>
          </cell>
          <cell r="M75">
            <v>170</v>
          </cell>
          <cell r="N75">
            <v>174</v>
          </cell>
          <cell r="O75">
            <v>178</v>
          </cell>
          <cell r="P75">
            <v>185</v>
          </cell>
          <cell r="Q75">
            <v>0</v>
          </cell>
          <cell r="R75">
            <v>0</v>
          </cell>
          <cell r="S75">
            <v>0</v>
          </cell>
          <cell r="T75">
            <v>0</v>
          </cell>
          <cell r="U75">
            <v>0</v>
          </cell>
          <cell r="V75">
            <v>25.5</v>
          </cell>
          <cell r="W75">
            <v>25.6</v>
          </cell>
          <cell r="X75">
            <v>24.4</v>
          </cell>
          <cell r="Y75">
            <v>22.3</v>
          </cell>
          <cell r="Z75">
            <v>24.1</v>
          </cell>
          <cell r="AA75" t="str">
            <v>.</v>
          </cell>
          <cell r="AB75" t="str">
            <v>.</v>
          </cell>
          <cell r="AC75" t="str">
            <v>.</v>
          </cell>
          <cell r="AD75" t="str">
            <v>.</v>
          </cell>
          <cell r="AE75" t="str">
            <v>.</v>
          </cell>
          <cell r="AF75">
            <v>19.100000000000001</v>
          </cell>
          <cell r="AG75">
            <v>20.8</v>
          </cell>
          <cell r="AH75">
            <v>21</v>
          </cell>
          <cell r="AI75">
            <v>19.899999999999999</v>
          </cell>
          <cell r="AJ75">
            <v>21.9</v>
          </cell>
        </row>
        <row r="76">
          <cell r="B76">
            <v>414</v>
          </cell>
          <cell r="C76">
            <v>386</v>
          </cell>
          <cell r="D76">
            <v>369</v>
          </cell>
          <cell r="E76">
            <v>385</v>
          </cell>
          <cell r="F76">
            <v>378</v>
          </cell>
          <cell r="G76">
            <v>395</v>
          </cell>
          <cell r="H76">
            <v>395</v>
          </cell>
          <cell r="I76">
            <v>407</v>
          </cell>
          <cell r="J76">
            <v>433</v>
          </cell>
          <cell r="K76">
            <v>441</v>
          </cell>
          <cell r="L76">
            <v>795</v>
          </cell>
          <cell r="M76">
            <v>773</v>
          </cell>
          <cell r="N76">
            <v>769</v>
          </cell>
          <cell r="O76">
            <v>811</v>
          </cell>
          <cell r="P76">
            <v>813</v>
          </cell>
          <cell r="Q76">
            <v>14</v>
          </cell>
          <cell r="R76">
            <v>8</v>
          </cell>
          <cell r="S76">
            <v>7</v>
          </cell>
          <cell r="T76">
            <v>7</v>
          </cell>
          <cell r="U76">
            <v>6</v>
          </cell>
          <cell r="V76">
            <v>143.61364</v>
          </cell>
          <cell r="W76">
            <v>143.62272999999999</v>
          </cell>
          <cell r="X76">
            <v>143.02841000000001</v>
          </cell>
          <cell r="Y76">
            <v>134.14090999999999</v>
          </cell>
          <cell r="Z76">
            <v>137.69091</v>
          </cell>
          <cell r="AA76">
            <v>1.3</v>
          </cell>
          <cell r="AB76">
            <v>0.3</v>
          </cell>
          <cell r="AC76">
            <v>0.3</v>
          </cell>
          <cell r="AD76">
            <v>1.7</v>
          </cell>
          <cell r="AE76">
            <v>1.9</v>
          </cell>
          <cell r="AF76">
            <v>109.89091000000001</v>
          </cell>
          <cell r="AG76">
            <v>117.59090999999999</v>
          </cell>
          <cell r="AH76">
            <v>122.8</v>
          </cell>
          <cell r="AI76">
            <v>127.437</v>
          </cell>
          <cell r="AJ76">
            <v>133.55000000000001</v>
          </cell>
        </row>
        <row r="80">
          <cell r="B80">
            <v>81</v>
          </cell>
          <cell r="C80">
            <v>690</v>
          </cell>
          <cell r="D80">
            <v>2074</v>
          </cell>
          <cell r="E80">
            <v>27</v>
          </cell>
          <cell r="F80">
            <v>372</v>
          </cell>
          <cell r="G80">
            <v>1272</v>
          </cell>
          <cell r="H80">
            <v>9</v>
          </cell>
          <cell r="I80">
            <v>37</v>
          </cell>
          <cell r="J80">
            <v>275</v>
          </cell>
          <cell r="K80">
            <v>8</v>
          </cell>
          <cell r="L80">
            <v>35</v>
          </cell>
          <cell r="M80">
            <v>184</v>
          </cell>
          <cell r="N80">
            <v>25</v>
          </cell>
          <cell r="O80">
            <v>367</v>
          </cell>
          <cell r="P80">
            <v>993</v>
          </cell>
          <cell r="Q80">
            <v>0</v>
          </cell>
          <cell r="R80">
            <v>0</v>
          </cell>
          <cell r="S80">
            <v>3</v>
          </cell>
          <cell r="T80">
            <v>1</v>
          </cell>
          <cell r="U80">
            <v>2</v>
          </cell>
          <cell r="V80">
            <v>88</v>
          </cell>
          <cell r="W80">
            <v>56</v>
          </cell>
          <cell r="X80">
            <v>323</v>
          </cell>
          <cell r="Y80">
            <v>1081</v>
          </cell>
          <cell r="Z80">
            <v>0</v>
          </cell>
          <cell r="AA80">
            <v>120</v>
          </cell>
          <cell r="AB80">
            <v>80</v>
          </cell>
          <cell r="AC80">
            <v>27</v>
          </cell>
          <cell r="AD80">
            <v>252</v>
          </cell>
          <cell r="AE80">
            <v>1192</v>
          </cell>
        </row>
        <row r="81">
          <cell r="B81">
            <v>4</v>
          </cell>
          <cell r="C81">
            <v>144</v>
          </cell>
          <cell r="D81">
            <v>504</v>
          </cell>
          <cell r="E81">
            <v>0</v>
          </cell>
          <cell r="F81">
            <v>197</v>
          </cell>
          <cell r="G81">
            <v>1202</v>
          </cell>
          <cell r="H81">
            <v>0</v>
          </cell>
          <cell r="I81">
            <v>5</v>
          </cell>
          <cell r="J81">
            <v>75</v>
          </cell>
          <cell r="K81">
            <v>0</v>
          </cell>
          <cell r="L81">
            <v>4</v>
          </cell>
          <cell r="M81">
            <v>64</v>
          </cell>
          <cell r="N81">
            <v>1</v>
          </cell>
          <cell r="O81">
            <v>81</v>
          </cell>
          <cell r="P81">
            <v>305</v>
          </cell>
          <cell r="Q81">
            <v>0</v>
          </cell>
          <cell r="R81">
            <v>0</v>
          </cell>
          <cell r="S81">
            <v>2</v>
          </cell>
          <cell r="T81">
            <v>0</v>
          </cell>
          <cell r="U81">
            <v>1</v>
          </cell>
          <cell r="V81">
            <v>9</v>
          </cell>
          <cell r="W81">
            <v>3</v>
          </cell>
          <cell r="X81">
            <v>63</v>
          </cell>
          <cell r="Y81">
            <v>199</v>
          </cell>
          <cell r="Z81">
            <v>0</v>
          </cell>
          <cell r="AA81">
            <v>59</v>
          </cell>
          <cell r="AB81">
            <v>39</v>
          </cell>
          <cell r="AC81">
            <v>0</v>
          </cell>
          <cell r="AD81">
            <v>138</v>
          </cell>
          <cell r="AE81">
            <v>1163</v>
          </cell>
        </row>
        <row r="82">
          <cell r="B82">
            <v>49</v>
          </cell>
          <cell r="C82">
            <v>468</v>
          </cell>
          <cell r="D82">
            <v>1237</v>
          </cell>
          <cell r="E82">
            <v>29</v>
          </cell>
          <cell r="F82">
            <v>455</v>
          </cell>
          <cell r="G82">
            <v>1892</v>
          </cell>
          <cell r="H82">
            <v>1</v>
          </cell>
          <cell r="I82">
            <v>26</v>
          </cell>
          <cell r="J82">
            <v>191</v>
          </cell>
          <cell r="K82">
            <v>0</v>
          </cell>
          <cell r="L82">
            <v>12</v>
          </cell>
          <cell r="M82">
            <v>71</v>
          </cell>
          <cell r="N82">
            <v>22</v>
          </cell>
          <cell r="O82">
            <v>229</v>
          </cell>
          <cell r="P82">
            <v>541</v>
          </cell>
          <cell r="Q82">
            <v>0</v>
          </cell>
          <cell r="R82">
            <v>2</v>
          </cell>
          <cell r="S82">
            <v>2</v>
          </cell>
          <cell r="T82">
            <v>1</v>
          </cell>
          <cell r="U82">
            <v>12</v>
          </cell>
          <cell r="V82">
            <v>118</v>
          </cell>
          <cell r="W82">
            <v>27</v>
          </cell>
          <cell r="X82">
            <v>239</v>
          </cell>
          <cell r="Y82">
            <v>696</v>
          </cell>
          <cell r="Z82">
            <v>11</v>
          </cell>
          <cell r="AA82">
            <v>144</v>
          </cell>
          <cell r="AB82">
            <v>100</v>
          </cell>
          <cell r="AC82">
            <v>18</v>
          </cell>
          <cell r="AD82">
            <v>311</v>
          </cell>
          <cell r="AE82">
            <v>1792</v>
          </cell>
        </row>
        <row r="83">
          <cell r="B83">
            <v>104</v>
          </cell>
          <cell r="C83">
            <v>794</v>
          </cell>
          <cell r="D83">
            <v>2075</v>
          </cell>
          <cell r="E83">
            <v>32</v>
          </cell>
          <cell r="F83">
            <v>634</v>
          </cell>
          <cell r="G83">
            <v>2430</v>
          </cell>
          <cell r="H83">
            <v>0</v>
          </cell>
          <cell r="I83">
            <v>48</v>
          </cell>
          <cell r="J83">
            <v>439</v>
          </cell>
          <cell r="K83">
            <v>0</v>
          </cell>
          <cell r="L83">
            <v>32</v>
          </cell>
          <cell r="M83">
            <v>201</v>
          </cell>
          <cell r="N83">
            <v>39</v>
          </cell>
          <cell r="O83">
            <v>391</v>
          </cell>
          <cell r="P83">
            <v>1047</v>
          </cell>
          <cell r="Q83">
            <v>0</v>
          </cell>
          <cell r="R83">
            <v>4</v>
          </cell>
          <cell r="S83">
            <v>28</v>
          </cell>
          <cell r="T83">
            <v>0</v>
          </cell>
          <cell r="U83">
            <v>12</v>
          </cell>
          <cell r="V83">
            <v>210</v>
          </cell>
          <cell r="W83">
            <v>65</v>
          </cell>
          <cell r="X83">
            <v>403</v>
          </cell>
          <cell r="Y83">
            <v>1028</v>
          </cell>
          <cell r="Z83">
            <v>15</v>
          </cell>
          <cell r="AA83">
            <v>268</v>
          </cell>
          <cell r="AB83">
            <v>458</v>
          </cell>
          <cell r="AC83">
            <v>17</v>
          </cell>
          <cell r="AD83">
            <v>366</v>
          </cell>
          <cell r="AE83">
            <v>1972</v>
          </cell>
        </row>
        <row r="84">
          <cell r="B84">
            <v>49</v>
          </cell>
          <cell r="C84">
            <v>645</v>
          </cell>
          <cell r="D84">
            <v>1472</v>
          </cell>
          <cell r="E84">
            <v>45</v>
          </cell>
          <cell r="F84">
            <v>485</v>
          </cell>
          <cell r="G84">
            <v>1303</v>
          </cell>
          <cell r="H84">
            <v>1</v>
          </cell>
          <cell r="I84">
            <v>33</v>
          </cell>
          <cell r="J84">
            <v>125</v>
          </cell>
          <cell r="K84">
            <v>0</v>
          </cell>
          <cell r="L84">
            <v>21</v>
          </cell>
          <cell r="M84">
            <v>68</v>
          </cell>
          <cell r="N84">
            <v>21</v>
          </cell>
          <cell r="O84">
            <v>334</v>
          </cell>
          <cell r="P84">
            <v>762</v>
          </cell>
          <cell r="Q84">
            <v>0</v>
          </cell>
          <cell r="R84">
            <v>3</v>
          </cell>
          <cell r="S84">
            <v>1</v>
          </cell>
          <cell r="T84">
            <v>1</v>
          </cell>
          <cell r="U84">
            <v>9</v>
          </cell>
          <cell r="V84">
            <v>56</v>
          </cell>
          <cell r="W84">
            <v>28</v>
          </cell>
          <cell r="X84">
            <v>311</v>
          </cell>
          <cell r="Y84">
            <v>710</v>
          </cell>
          <cell r="Z84">
            <v>34</v>
          </cell>
          <cell r="AA84">
            <v>205</v>
          </cell>
          <cell r="AB84">
            <v>85</v>
          </cell>
          <cell r="AC84">
            <v>11</v>
          </cell>
          <cell r="AD84">
            <v>280</v>
          </cell>
          <cell r="AE84">
            <v>1218</v>
          </cell>
        </row>
        <row r="85">
          <cell r="B85">
            <v>89</v>
          </cell>
          <cell r="C85">
            <v>922</v>
          </cell>
          <cell r="D85">
            <v>1977</v>
          </cell>
          <cell r="E85">
            <v>15</v>
          </cell>
          <cell r="F85">
            <v>627</v>
          </cell>
          <cell r="G85">
            <v>1236</v>
          </cell>
          <cell r="H85">
            <v>1</v>
          </cell>
          <cell r="I85">
            <v>26</v>
          </cell>
          <cell r="J85">
            <v>120</v>
          </cell>
          <cell r="K85">
            <v>0</v>
          </cell>
          <cell r="L85">
            <v>15</v>
          </cell>
          <cell r="M85">
            <v>69</v>
          </cell>
          <cell r="N85">
            <v>34</v>
          </cell>
          <cell r="O85">
            <v>422</v>
          </cell>
          <cell r="P85">
            <v>842</v>
          </cell>
          <cell r="Q85">
            <v>0</v>
          </cell>
          <cell r="R85">
            <v>4</v>
          </cell>
          <cell r="S85">
            <v>9</v>
          </cell>
          <cell r="T85">
            <v>1</v>
          </cell>
          <cell r="U85">
            <v>7</v>
          </cell>
          <cell r="V85">
            <v>42</v>
          </cell>
          <cell r="W85">
            <v>55</v>
          </cell>
          <cell r="X85">
            <v>500</v>
          </cell>
          <cell r="Y85">
            <v>1135</v>
          </cell>
          <cell r="Z85">
            <v>5</v>
          </cell>
          <cell r="AA85">
            <v>266</v>
          </cell>
          <cell r="AB85">
            <v>145</v>
          </cell>
          <cell r="AC85">
            <v>10</v>
          </cell>
          <cell r="AD85">
            <v>361</v>
          </cell>
          <cell r="AE85">
            <v>1091</v>
          </cell>
        </row>
        <row r="86">
          <cell r="B86">
            <v>45</v>
          </cell>
          <cell r="C86">
            <v>277</v>
          </cell>
          <cell r="D86">
            <v>793</v>
          </cell>
          <cell r="E86">
            <v>36</v>
          </cell>
          <cell r="F86">
            <v>268</v>
          </cell>
          <cell r="G86">
            <v>923</v>
          </cell>
          <cell r="H86">
            <v>3</v>
          </cell>
          <cell r="I86">
            <v>20</v>
          </cell>
          <cell r="J86">
            <v>110</v>
          </cell>
          <cell r="K86">
            <v>2</v>
          </cell>
          <cell r="L86">
            <v>8</v>
          </cell>
          <cell r="M86">
            <v>45</v>
          </cell>
          <cell r="N86">
            <v>17</v>
          </cell>
          <cell r="O86">
            <v>110</v>
          </cell>
          <cell r="P86">
            <v>368</v>
          </cell>
          <cell r="Q86">
            <v>0</v>
          </cell>
          <cell r="R86">
            <v>4</v>
          </cell>
          <cell r="S86">
            <v>5</v>
          </cell>
          <cell r="T86">
            <v>1</v>
          </cell>
          <cell r="U86">
            <v>8</v>
          </cell>
          <cell r="V86">
            <v>60</v>
          </cell>
          <cell r="W86">
            <v>28</v>
          </cell>
          <cell r="X86">
            <v>167</v>
          </cell>
          <cell r="Y86">
            <v>425</v>
          </cell>
          <cell r="Z86">
            <v>11</v>
          </cell>
          <cell r="AA86">
            <v>145</v>
          </cell>
          <cell r="AB86">
            <v>74</v>
          </cell>
          <cell r="AC86">
            <v>25</v>
          </cell>
          <cell r="AD86">
            <v>123</v>
          </cell>
          <cell r="AE86">
            <v>849</v>
          </cell>
        </row>
        <row r="87">
          <cell r="B87">
            <v>421</v>
          </cell>
          <cell r="C87">
            <v>3940</v>
          </cell>
          <cell r="D87">
            <v>10132</v>
          </cell>
          <cell r="E87">
            <v>184</v>
          </cell>
          <cell r="F87">
            <v>3038</v>
          </cell>
          <cell r="G87">
            <v>10258</v>
          </cell>
          <cell r="H87">
            <v>15</v>
          </cell>
          <cell r="I87">
            <v>195</v>
          </cell>
          <cell r="J87">
            <v>1335</v>
          </cell>
          <cell r="K87">
            <v>10</v>
          </cell>
          <cell r="L87">
            <v>127</v>
          </cell>
          <cell r="M87">
            <v>702</v>
          </cell>
          <cell r="N87">
            <v>159</v>
          </cell>
          <cell r="O87">
            <v>1934</v>
          </cell>
          <cell r="P87">
            <v>4858</v>
          </cell>
          <cell r="Q87">
            <v>0</v>
          </cell>
          <cell r="R87">
            <v>17</v>
          </cell>
          <cell r="S87">
            <v>50</v>
          </cell>
          <cell r="T87">
            <v>5</v>
          </cell>
          <cell r="U87">
            <v>51</v>
          </cell>
          <cell r="V87">
            <v>583</v>
          </cell>
          <cell r="W87">
            <v>262</v>
          </cell>
          <cell r="X87">
            <v>2006</v>
          </cell>
          <cell r="Y87">
            <v>5274</v>
          </cell>
          <cell r="Z87">
            <v>76</v>
          </cell>
          <cell r="AA87">
            <v>1207</v>
          </cell>
          <cell r="AB87">
            <v>981</v>
          </cell>
          <cell r="AC87">
            <v>108</v>
          </cell>
          <cell r="AD87">
            <v>1831</v>
          </cell>
          <cell r="AE87">
            <v>9277</v>
          </cell>
        </row>
        <row r="91">
          <cell r="B91">
            <v>510</v>
          </cell>
          <cell r="C91">
            <v>632</v>
          </cell>
          <cell r="D91">
            <v>517</v>
          </cell>
          <cell r="E91">
            <v>625</v>
          </cell>
          <cell r="F91">
            <v>882</v>
          </cell>
          <cell r="G91">
            <v>84</v>
          </cell>
          <cell r="H91">
            <v>97</v>
          </cell>
          <cell r="I91">
            <v>107</v>
          </cell>
          <cell r="J91">
            <v>65</v>
          </cell>
          <cell r="K91">
            <v>138</v>
          </cell>
          <cell r="L91" t="str">
            <v>.</v>
          </cell>
          <cell r="M91" t="str">
            <v>.</v>
          </cell>
          <cell r="N91" t="str">
            <v>.</v>
          </cell>
          <cell r="O91" t="str">
            <v>.</v>
          </cell>
          <cell r="P91" t="str">
            <v>.</v>
          </cell>
          <cell r="Q91" t="str">
            <v>.</v>
          </cell>
          <cell r="R91" t="str">
            <v>.</v>
          </cell>
          <cell r="S91" t="str">
            <v>.</v>
          </cell>
          <cell r="T91" t="str">
            <v>.</v>
          </cell>
          <cell r="U91" t="str">
            <v>.</v>
          </cell>
          <cell r="W91">
            <v>14051</v>
          </cell>
          <cell r="X91">
            <v>14989</v>
          </cell>
          <cell r="Y91">
            <v>17121</v>
          </cell>
          <cell r="Z91">
            <v>16901</v>
          </cell>
          <cell r="AA91">
            <v>17373</v>
          </cell>
          <cell r="AB91">
            <v>5130</v>
          </cell>
          <cell r="AC91">
            <v>2797</v>
          </cell>
          <cell r="AD91">
            <v>1870</v>
          </cell>
          <cell r="AE91">
            <v>1442</v>
          </cell>
          <cell r="AF91">
            <v>2366</v>
          </cell>
          <cell r="AG91">
            <v>1078</v>
          </cell>
          <cell r="AH91">
            <v>3214</v>
          </cell>
          <cell r="AI91">
            <v>2270</v>
          </cell>
          <cell r="AJ91">
            <v>1830</v>
          </cell>
          <cell r="AK91">
            <v>2689</v>
          </cell>
          <cell r="AL91">
            <v>7366</v>
          </cell>
          <cell r="AM91">
            <v>6030</v>
          </cell>
          <cell r="AN91">
            <v>5183</v>
          </cell>
          <cell r="AO91">
            <v>6359</v>
          </cell>
          <cell r="AP91">
            <v>7786</v>
          </cell>
          <cell r="AQ91">
            <v>1252</v>
          </cell>
          <cell r="AR91">
            <v>1030</v>
          </cell>
          <cell r="AS91">
            <v>655</v>
          </cell>
          <cell r="AT91">
            <v>896</v>
          </cell>
          <cell r="AU91">
            <v>1223</v>
          </cell>
          <cell r="AV91">
            <v>905</v>
          </cell>
          <cell r="AW91">
            <v>835</v>
          </cell>
          <cell r="AX91">
            <v>148</v>
          </cell>
          <cell r="AY91">
            <v>2</v>
          </cell>
          <cell r="AZ91">
            <v>106</v>
          </cell>
        </row>
        <row r="92">
          <cell r="B92">
            <v>146</v>
          </cell>
          <cell r="C92">
            <v>162</v>
          </cell>
          <cell r="D92">
            <v>161</v>
          </cell>
          <cell r="E92">
            <v>175</v>
          </cell>
          <cell r="F92">
            <v>185</v>
          </cell>
          <cell r="G92">
            <v>19</v>
          </cell>
          <cell r="H92">
            <v>75</v>
          </cell>
          <cell r="I92">
            <v>41</v>
          </cell>
          <cell r="J92">
            <v>34</v>
          </cell>
          <cell r="K92">
            <v>54</v>
          </cell>
          <cell r="L92" t="str">
            <v>.</v>
          </cell>
          <cell r="M92">
            <v>63</v>
          </cell>
          <cell r="N92" t="str">
            <v>.</v>
          </cell>
          <cell r="O92" t="str">
            <v>.</v>
          </cell>
          <cell r="P92">
            <v>7</v>
          </cell>
          <cell r="Q92" t="str">
            <v>.</v>
          </cell>
          <cell r="R92">
            <v>5</v>
          </cell>
          <cell r="S92" t="str">
            <v>.</v>
          </cell>
          <cell r="T92" t="str">
            <v>.</v>
          </cell>
          <cell r="U92" t="str">
            <v>.</v>
          </cell>
          <cell r="W92">
            <v>1670</v>
          </cell>
          <cell r="X92">
            <v>1904</v>
          </cell>
          <cell r="Y92">
            <v>1992</v>
          </cell>
          <cell r="Z92">
            <v>2083</v>
          </cell>
          <cell r="AA92">
            <v>1709</v>
          </cell>
          <cell r="AB92">
            <v>369</v>
          </cell>
          <cell r="AC92">
            <v>133</v>
          </cell>
          <cell r="AD92">
            <v>196</v>
          </cell>
          <cell r="AE92">
            <v>136</v>
          </cell>
          <cell r="AF92">
            <v>326</v>
          </cell>
          <cell r="AG92">
            <v>0</v>
          </cell>
          <cell r="AH92">
            <v>0</v>
          </cell>
          <cell r="AI92">
            <v>1</v>
          </cell>
          <cell r="AJ92">
            <v>0</v>
          </cell>
          <cell r="AK92">
            <v>0</v>
          </cell>
          <cell r="AL92">
            <v>520</v>
          </cell>
          <cell r="AM92">
            <v>587</v>
          </cell>
          <cell r="AN92">
            <v>632</v>
          </cell>
          <cell r="AO92">
            <v>639</v>
          </cell>
          <cell r="AP92">
            <v>615</v>
          </cell>
          <cell r="AQ92">
            <v>26</v>
          </cell>
          <cell r="AR92">
            <v>9</v>
          </cell>
          <cell r="AS92" t="str">
            <v>.</v>
          </cell>
          <cell r="AT92" t="str">
            <v>.</v>
          </cell>
          <cell r="AU92" t="str">
            <v>.</v>
          </cell>
          <cell r="AV92">
            <v>458</v>
          </cell>
          <cell r="AW92" t="str">
            <v>.</v>
          </cell>
          <cell r="AX92" t="str">
            <v>.</v>
          </cell>
          <cell r="AY92" t="str">
            <v>.</v>
          </cell>
          <cell r="AZ92" t="str">
            <v>.</v>
          </cell>
        </row>
        <row r="93">
          <cell r="B93">
            <v>327</v>
          </cell>
          <cell r="C93">
            <v>346</v>
          </cell>
          <cell r="D93">
            <v>463</v>
          </cell>
          <cell r="E93">
            <v>483</v>
          </cell>
          <cell r="F93">
            <v>475</v>
          </cell>
          <cell r="G93">
            <v>49</v>
          </cell>
          <cell r="H93">
            <v>156</v>
          </cell>
          <cell r="I93">
            <v>134</v>
          </cell>
          <cell r="J93">
            <v>308</v>
          </cell>
          <cell r="K93">
            <v>258</v>
          </cell>
          <cell r="L93" t="str">
            <v>.</v>
          </cell>
          <cell r="M93">
            <v>7</v>
          </cell>
          <cell r="N93" t="str">
            <v>.</v>
          </cell>
          <cell r="O93">
            <v>232</v>
          </cell>
          <cell r="P93">
            <v>257</v>
          </cell>
          <cell r="Q93" t="str">
            <v>.</v>
          </cell>
          <cell r="R93" t="str">
            <v>.</v>
          </cell>
          <cell r="S93" t="str">
            <v>.</v>
          </cell>
          <cell r="T93">
            <v>126</v>
          </cell>
          <cell r="U93">
            <v>114</v>
          </cell>
          <cell r="W93">
            <v>16422</v>
          </cell>
          <cell r="X93">
            <v>15853</v>
          </cell>
          <cell r="Y93">
            <v>14955</v>
          </cell>
          <cell r="Z93">
            <v>13627</v>
          </cell>
          <cell r="AA93">
            <v>9395</v>
          </cell>
          <cell r="AB93">
            <v>1259</v>
          </cell>
          <cell r="AC93">
            <v>1179</v>
          </cell>
          <cell r="AD93">
            <v>2374</v>
          </cell>
          <cell r="AE93">
            <v>1166</v>
          </cell>
          <cell r="AF93">
            <v>1946</v>
          </cell>
          <cell r="AG93">
            <v>111</v>
          </cell>
          <cell r="AH93">
            <v>863</v>
          </cell>
          <cell r="AI93">
            <v>1360</v>
          </cell>
          <cell r="AJ93">
            <v>2687</v>
          </cell>
          <cell r="AK93">
            <v>2770</v>
          </cell>
          <cell r="AL93">
            <v>3785</v>
          </cell>
          <cell r="AM93">
            <v>4495</v>
          </cell>
          <cell r="AN93">
            <v>4635</v>
          </cell>
          <cell r="AO93">
            <v>4335</v>
          </cell>
          <cell r="AP93">
            <v>5057</v>
          </cell>
          <cell r="AQ93">
            <v>55</v>
          </cell>
          <cell r="AR93">
            <v>503</v>
          </cell>
          <cell r="AS93">
            <v>671</v>
          </cell>
          <cell r="AT93">
            <v>533</v>
          </cell>
          <cell r="AU93">
            <v>660</v>
          </cell>
          <cell r="AV93" t="str">
            <v>.</v>
          </cell>
          <cell r="AW93">
            <v>28</v>
          </cell>
          <cell r="AX93">
            <v>882</v>
          </cell>
          <cell r="AY93">
            <v>679</v>
          </cell>
          <cell r="AZ93">
            <v>418</v>
          </cell>
        </row>
        <row r="94">
          <cell r="B94">
            <v>501</v>
          </cell>
          <cell r="C94">
            <v>468</v>
          </cell>
          <cell r="D94">
            <v>657</v>
          </cell>
          <cell r="E94">
            <v>558</v>
          </cell>
          <cell r="F94">
            <v>603</v>
          </cell>
          <cell r="G94">
            <v>169</v>
          </cell>
          <cell r="H94">
            <v>151</v>
          </cell>
          <cell r="I94">
            <v>302</v>
          </cell>
          <cell r="J94">
            <v>314</v>
          </cell>
          <cell r="K94">
            <v>127</v>
          </cell>
          <cell r="L94" t="str">
            <v>.</v>
          </cell>
          <cell r="M94" t="str">
            <v>.</v>
          </cell>
          <cell r="N94" t="str">
            <v>.</v>
          </cell>
          <cell r="O94" t="str">
            <v>.</v>
          </cell>
          <cell r="P94" t="str">
            <v>.</v>
          </cell>
          <cell r="Q94" t="str">
            <v>.</v>
          </cell>
          <cell r="R94" t="str">
            <v>.</v>
          </cell>
          <cell r="S94" t="str">
            <v>.</v>
          </cell>
          <cell r="T94" t="str">
            <v>.</v>
          </cell>
          <cell r="U94" t="str">
            <v>.</v>
          </cell>
          <cell r="W94">
            <v>17660</v>
          </cell>
          <cell r="X94">
            <v>15569</v>
          </cell>
          <cell r="Y94">
            <v>12475</v>
          </cell>
          <cell r="Z94">
            <v>11763</v>
          </cell>
          <cell r="AA94">
            <v>12565</v>
          </cell>
          <cell r="AB94">
            <v>3849</v>
          </cell>
          <cell r="AC94">
            <v>2857</v>
          </cell>
          <cell r="AD94">
            <v>2645</v>
          </cell>
          <cell r="AE94">
            <v>2534</v>
          </cell>
          <cell r="AF94">
            <v>3632</v>
          </cell>
          <cell r="AG94">
            <v>601</v>
          </cell>
          <cell r="AH94">
            <v>1481</v>
          </cell>
          <cell r="AI94">
            <v>1776</v>
          </cell>
          <cell r="AJ94">
            <v>2912</v>
          </cell>
          <cell r="AK94">
            <v>2205</v>
          </cell>
          <cell r="AL94">
            <v>5405</v>
          </cell>
          <cell r="AM94">
            <v>5482</v>
          </cell>
          <cell r="AN94">
            <v>5328</v>
          </cell>
          <cell r="AO94">
            <v>6223</v>
          </cell>
          <cell r="AP94">
            <v>6544</v>
          </cell>
          <cell r="AQ94">
            <v>771</v>
          </cell>
          <cell r="AR94">
            <v>792</v>
          </cell>
          <cell r="AS94">
            <v>905</v>
          </cell>
          <cell r="AT94">
            <v>811</v>
          </cell>
          <cell r="AU94">
            <v>868</v>
          </cell>
          <cell r="AV94" t="str">
            <v>.</v>
          </cell>
          <cell r="AW94" t="str">
            <v>.</v>
          </cell>
          <cell r="AX94">
            <v>829</v>
          </cell>
          <cell r="AY94">
            <v>320</v>
          </cell>
          <cell r="AZ94">
            <v>63</v>
          </cell>
        </row>
        <row r="95">
          <cell r="B95">
            <v>297</v>
          </cell>
          <cell r="C95">
            <v>317</v>
          </cell>
          <cell r="D95">
            <v>244</v>
          </cell>
          <cell r="E95">
            <v>379</v>
          </cell>
          <cell r="F95">
            <v>390</v>
          </cell>
          <cell r="G95">
            <v>83</v>
          </cell>
          <cell r="H95">
            <v>89</v>
          </cell>
          <cell r="I95">
            <v>122</v>
          </cell>
          <cell r="J95">
            <v>22</v>
          </cell>
          <cell r="K95">
            <v>118</v>
          </cell>
          <cell r="L95" t="str">
            <v>.</v>
          </cell>
          <cell r="M95" t="str">
            <v>.</v>
          </cell>
          <cell r="N95">
            <v>2</v>
          </cell>
          <cell r="O95" t="str">
            <v>.</v>
          </cell>
          <cell r="P95" t="str">
            <v>.</v>
          </cell>
          <cell r="Q95" t="str">
            <v>.</v>
          </cell>
          <cell r="R95" t="str">
            <v>.</v>
          </cell>
          <cell r="S95" t="str">
            <v>.</v>
          </cell>
          <cell r="T95">
            <v>1</v>
          </cell>
          <cell r="U95" t="str">
            <v>.</v>
          </cell>
          <cell r="W95">
            <v>6587</v>
          </cell>
          <cell r="X95">
            <v>6656</v>
          </cell>
          <cell r="Y95">
            <v>4988</v>
          </cell>
          <cell r="Z95">
            <v>4768</v>
          </cell>
          <cell r="AA95">
            <v>8484</v>
          </cell>
          <cell r="AB95">
            <v>2243</v>
          </cell>
          <cell r="AC95">
            <v>2127</v>
          </cell>
          <cell r="AD95">
            <v>676</v>
          </cell>
          <cell r="AE95">
            <v>578</v>
          </cell>
          <cell r="AF95">
            <v>1971</v>
          </cell>
          <cell r="AG95">
            <v>929</v>
          </cell>
          <cell r="AH95">
            <v>2094</v>
          </cell>
          <cell r="AI95">
            <v>2503</v>
          </cell>
          <cell r="AJ95">
            <v>3843</v>
          </cell>
          <cell r="AK95">
            <v>3543</v>
          </cell>
          <cell r="AL95">
            <v>2995</v>
          </cell>
          <cell r="AM95">
            <v>3345</v>
          </cell>
          <cell r="AN95">
            <v>3117</v>
          </cell>
          <cell r="AO95">
            <v>2991</v>
          </cell>
          <cell r="AP95">
            <v>3508</v>
          </cell>
          <cell r="AQ95">
            <v>677</v>
          </cell>
          <cell r="AR95">
            <v>436</v>
          </cell>
          <cell r="AS95">
            <v>724</v>
          </cell>
          <cell r="AT95">
            <v>798</v>
          </cell>
          <cell r="AU95">
            <v>429</v>
          </cell>
          <cell r="AV95" t="str">
            <v>.</v>
          </cell>
          <cell r="AW95">
            <v>81</v>
          </cell>
          <cell r="AX95">
            <v>751</v>
          </cell>
          <cell r="AY95">
            <v>609</v>
          </cell>
          <cell r="AZ95" t="str">
            <v>.</v>
          </cell>
        </row>
        <row r="96">
          <cell r="B96">
            <v>505</v>
          </cell>
          <cell r="C96">
            <v>606</v>
          </cell>
          <cell r="D96">
            <v>543</v>
          </cell>
          <cell r="E96">
            <v>625</v>
          </cell>
          <cell r="F96">
            <v>728</v>
          </cell>
          <cell r="G96">
            <v>212</v>
          </cell>
          <cell r="H96">
            <v>203</v>
          </cell>
          <cell r="I96">
            <v>128</v>
          </cell>
          <cell r="J96">
            <v>330</v>
          </cell>
          <cell r="K96">
            <v>312</v>
          </cell>
          <cell r="L96">
            <v>2</v>
          </cell>
          <cell r="M96">
            <v>3</v>
          </cell>
          <cell r="N96" t="str">
            <v>.</v>
          </cell>
          <cell r="O96" t="str">
            <v>.</v>
          </cell>
          <cell r="P96" t="str">
            <v>.</v>
          </cell>
          <cell r="Q96" t="str">
            <v>.</v>
          </cell>
          <cell r="R96" t="str">
            <v>.</v>
          </cell>
          <cell r="S96" t="str">
            <v>.</v>
          </cell>
          <cell r="T96" t="str">
            <v>.</v>
          </cell>
          <cell r="U96" t="str">
            <v>.</v>
          </cell>
          <cell r="W96">
            <v>12032</v>
          </cell>
          <cell r="X96">
            <v>10233</v>
          </cell>
          <cell r="Y96">
            <v>8099</v>
          </cell>
          <cell r="Z96">
            <v>8370</v>
          </cell>
          <cell r="AA96">
            <v>10701</v>
          </cell>
          <cell r="AB96">
            <v>3855</v>
          </cell>
          <cell r="AC96">
            <v>2283</v>
          </cell>
          <cell r="AD96">
            <v>2892</v>
          </cell>
          <cell r="AE96">
            <v>2490</v>
          </cell>
          <cell r="AF96">
            <v>3596</v>
          </cell>
          <cell r="AG96">
            <v>677</v>
          </cell>
          <cell r="AH96">
            <v>1177</v>
          </cell>
          <cell r="AI96">
            <v>2603</v>
          </cell>
          <cell r="AJ96">
            <v>5232</v>
          </cell>
          <cell r="AK96">
            <v>3746</v>
          </cell>
          <cell r="AL96">
            <v>4343</v>
          </cell>
          <cell r="AM96">
            <v>5638</v>
          </cell>
          <cell r="AN96">
            <v>6109</v>
          </cell>
          <cell r="AO96">
            <v>6456</v>
          </cell>
          <cell r="AP96">
            <v>6593</v>
          </cell>
          <cell r="AQ96">
            <v>322</v>
          </cell>
          <cell r="AR96">
            <v>563</v>
          </cell>
          <cell r="AS96">
            <v>1399</v>
          </cell>
          <cell r="AT96">
            <v>1040</v>
          </cell>
          <cell r="AU96">
            <v>943</v>
          </cell>
          <cell r="AV96">
            <v>239</v>
          </cell>
          <cell r="AW96" t="str">
            <v>.</v>
          </cell>
          <cell r="AX96">
            <v>504</v>
          </cell>
          <cell r="AY96">
            <v>933</v>
          </cell>
          <cell r="AZ96">
            <v>53</v>
          </cell>
        </row>
        <row r="97">
          <cell r="B97">
            <v>343</v>
          </cell>
          <cell r="C97">
            <v>304</v>
          </cell>
          <cell r="D97">
            <v>291</v>
          </cell>
          <cell r="E97">
            <v>314</v>
          </cell>
          <cell r="F97">
            <v>179</v>
          </cell>
          <cell r="G97">
            <v>6</v>
          </cell>
          <cell r="H97" t="str">
            <v>.</v>
          </cell>
          <cell r="I97">
            <v>42</v>
          </cell>
          <cell r="J97">
            <v>66</v>
          </cell>
          <cell r="K97">
            <v>112</v>
          </cell>
          <cell r="L97" t="str">
            <v>.</v>
          </cell>
          <cell r="M97" t="str">
            <v>.</v>
          </cell>
          <cell r="N97" t="str">
            <v>.</v>
          </cell>
          <cell r="O97" t="str">
            <v>.</v>
          </cell>
          <cell r="P97">
            <v>12</v>
          </cell>
          <cell r="Q97" t="str">
            <v>.</v>
          </cell>
          <cell r="R97" t="str">
            <v>.</v>
          </cell>
          <cell r="S97" t="str">
            <v>.</v>
          </cell>
          <cell r="T97" t="str">
            <v>.</v>
          </cell>
          <cell r="U97" t="str">
            <v>.</v>
          </cell>
          <cell r="W97">
            <v>9279</v>
          </cell>
          <cell r="X97">
            <v>7966</v>
          </cell>
          <cell r="Y97">
            <v>8676</v>
          </cell>
          <cell r="Z97">
            <v>8275</v>
          </cell>
          <cell r="AA97">
            <v>7620</v>
          </cell>
          <cell r="AB97">
            <v>2558</v>
          </cell>
          <cell r="AC97">
            <v>2378</v>
          </cell>
          <cell r="AD97">
            <v>2752</v>
          </cell>
          <cell r="AE97">
            <v>2940</v>
          </cell>
          <cell r="AF97">
            <v>3891</v>
          </cell>
          <cell r="AG97">
            <v>1254</v>
          </cell>
          <cell r="AH97">
            <v>2093</v>
          </cell>
          <cell r="AI97">
            <v>3794</v>
          </cell>
          <cell r="AJ97">
            <v>4198</v>
          </cell>
          <cell r="AK97">
            <v>3367</v>
          </cell>
          <cell r="AL97">
            <v>4573</v>
          </cell>
          <cell r="AM97">
            <v>5006</v>
          </cell>
          <cell r="AN97">
            <v>4795</v>
          </cell>
          <cell r="AO97">
            <v>5476</v>
          </cell>
          <cell r="AP97">
            <v>5530</v>
          </cell>
          <cell r="AQ97">
            <v>788</v>
          </cell>
          <cell r="AR97">
            <v>998</v>
          </cell>
          <cell r="AS97">
            <v>1101</v>
          </cell>
          <cell r="AT97">
            <v>1156</v>
          </cell>
          <cell r="AU97">
            <v>1278</v>
          </cell>
          <cell r="AV97">
            <v>8</v>
          </cell>
          <cell r="AW97">
            <v>473</v>
          </cell>
          <cell r="AX97">
            <v>401</v>
          </cell>
          <cell r="AY97">
            <v>266</v>
          </cell>
          <cell r="AZ97">
            <v>116</v>
          </cell>
        </row>
        <row r="98">
          <cell r="B98">
            <v>2629</v>
          </cell>
          <cell r="C98">
            <v>2835</v>
          </cell>
          <cell r="D98">
            <v>2876</v>
          </cell>
          <cell r="E98">
            <v>3159</v>
          </cell>
          <cell r="F98">
            <v>3442</v>
          </cell>
          <cell r="G98">
            <v>622</v>
          </cell>
          <cell r="H98">
            <v>771</v>
          </cell>
          <cell r="I98">
            <v>876</v>
          </cell>
          <cell r="J98">
            <v>1139</v>
          </cell>
          <cell r="K98">
            <v>1119</v>
          </cell>
          <cell r="L98">
            <v>2</v>
          </cell>
          <cell r="M98">
            <v>73</v>
          </cell>
          <cell r="N98">
            <v>2</v>
          </cell>
          <cell r="O98">
            <v>232</v>
          </cell>
          <cell r="P98">
            <v>276</v>
          </cell>
          <cell r="Q98">
            <v>0</v>
          </cell>
          <cell r="R98">
            <v>5</v>
          </cell>
          <cell r="S98">
            <v>0</v>
          </cell>
          <cell r="T98">
            <v>127</v>
          </cell>
          <cell r="U98">
            <v>114</v>
          </cell>
          <cell r="W98">
            <v>77701</v>
          </cell>
          <cell r="X98">
            <v>73170</v>
          </cell>
          <cell r="Y98">
            <v>68306</v>
          </cell>
          <cell r="Z98">
            <v>65787</v>
          </cell>
          <cell r="AA98">
            <v>67847</v>
          </cell>
          <cell r="AB98">
            <v>19263</v>
          </cell>
          <cell r="AC98">
            <v>13754</v>
          </cell>
          <cell r="AD98">
            <v>13405</v>
          </cell>
          <cell r="AE98">
            <v>11286</v>
          </cell>
          <cell r="AF98">
            <v>17728</v>
          </cell>
          <cell r="AG98">
            <v>4650</v>
          </cell>
          <cell r="AH98">
            <v>10922</v>
          </cell>
          <cell r="AI98">
            <v>14307</v>
          </cell>
          <cell r="AJ98">
            <v>20702</v>
          </cell>
          <cell r="AK98">
            <v>18320</v>
          </cell>
          <cell r="AL98">
            <v>28987</v>
          </cell>
          <cell r="AM98">
            <v>30583</v>
          </cell>
          <cell r="AN98">
            <v>29799</v>
          </cell>
          <cell r="AO98">
            <v>32479</v>
          </cell>
          <cell r="AP98">
            <v>35633</v>
          </cell>
          <cell r="AQ98">
            <v>3891</v>
          </cell>
          <cell r="AR98">
            <v>4331</v>
          </cell>
          <cell r="AS98">
            <v>5455</v>
          </cell>
          <cell r="AT98">
            <v>5234</v>
          </cell>
          <cell r="AU98">
            <v>5401</v>
          </cell>
          <cell r="AV98">
            <v>905</v>
          </cell>
          <cell r="AW98">
            <v>1417</v>
          </cell>
          <cell r="AX98">
            <v>3515</v>
          </cell>
          <cell r="AY98">
            <v>2809</v>
          </cell>
          <cell r="AZ98">
            <v>756</v>
          </cell>
        </row>
        <row r="102">
          <cell r="B102">
            <v>4934</v>
          </cell>
          <cell r="C102">
            <v>4577</v>
          </cell>
          <cell r="D102">
            <v>4726</v>
          </cell>
          <cell r="E102">
            <v>4295</v>
          </cell>
          <cell r="F102">
            <v>4307</v>
          </cell>
          <cell r="G102">
            <v>22671</v>
          </cell>
          <cell r="H102">
            <v>20530</v>
          </cell>
          <cell r="I102">
            <v>21196</v>
          </cell>
          <cell r="J102">
            <v>19582</v>
          </cell>
          <cell r="K102">
            <v>18799</v>
          </cell>
          <cell r="L102">
            <v>61231</v>
          </cell>
          <cell r="M102">
            <v>60972</v>
          </cell>
          <cell r="N102">
            <v>62131</v>
          </cell>
          <cell r="O102">
            <v>63924</v>
          </cell>
          <cell r="P102">
            <v>64313</v>
          </cell>
          <cell r="Q102">
            <v>1045</v>
          </cell>
          <cell r="R102">
            <v>903</v>
          </cell>
          <cell r="S102">
            <v>903</v>
          </cell>
          <cell r="T102">
            <v>925</v>
          </cell>
          <cell r="U102">
            <v>882</v>
          </cell>
          <cell r="V102">
            <v>1012</v>
          </cell>
          <cell r="W102">
            <v>1164</v>
          </cell>
          <cell r="X102">
            <v>1005</v>
          </cell>
          <cell r="Y102">
            <v>1306</v>
          </cell>
          <cell r="Z102">
            <v>1342</v>
          </cell>
        </row>
        <row r="103">
          <cell r="B103">
            <v>329</v>
          </cell>
          <cell r="C103">
            <v>427</v>
          </cell>
          <cell r="D103">
            <v>513</v>
          </cell>
          <cell r="E103">
            <v>598</v>
          </cell>
          <cell r="F103">
            <v>637</v>
          </cell>
          <cell r="G103">
            <v>1962</v>
          </cell>
          <cell r="H103">
            <v>1734</v>
          </cell>
          <cell r="I103">
            <v>1721</v>
          </cell>
          <cell r="J103">
            <v>1795</v>
          </cell>
          <cell r="K103">
            <v>1742</v>
          </cell>
          <cell r="L103">
            <v>2421</v>
          </cell>
          <cell r="M103">
            <v>2575</v>
          </cell>
          <cell r="N103">
            <v>2668</v>
          </cell>
          <cell r="O103">
            <v>2780</v>
          </cell>
          <cell r="P103">
            <v>2923</v>
          </cell>
          <cell r="Q103">
            <v>11</v>
          </cell>
          <cell r="R103">
            <v>1</v>
          </cell>
          <cell r="S103">
            <v>13</v>
          </cell>
          <cell r="T103">
            <v>13</v>
          </cell>
          <cell r="U103">
            <v>8</v>
          </cell>
          <cell r="V103">
            <v>149</v>
          </cell>
          <cell r="W103">
            <v>123</v>
          </cell>
          <cell r="X103">
            <v>143</v>
          </cell>
          <cell r="Y103">
            <v>124</v>
          </cell>
          <cell r="Z103">
            <v>168</v>
          </cell>
        </row>
        <row r="104">
          <cell r="B104">
            <v>1250</v>
          </cell>
          <cell r="C104">
            <v>1423</v>
          </cell>
          <cell r="D104">
            <v>1929</v>
          </cell>
          <cell r="E104">
            <v>1770</v>
          </cell>
          <cell r="F104">
            <v>2449</v>
          </cell>
          <cell r="G104">
            <v>9955</v>
          </cell>
          <cell r="H104">
            <v>10411</v>
          </cell>
          <cell r="I104">
            <v>10864</v>
          </cell>
          <cell r="J104">
            <v>10988</v>
          </cell>
          <cell r="K104">
            <v>10942</v>
          </cell>
          <cell r="L104">
            <v>37482</v>
          </cell>
          <cell r="M104">
            <v>32510</v>
          </cell>
          <cell r="N104">
            <v>37706</v>
          </cell>
          <cell r="O104">
            <v>38094</v>
          </cell>
          <cell r="P104">
            <v>37101</v>
          </cell>
          <cell r="Q104">
            <v>238</v>
          </cell>
          <cell r="R104">
            <v>206</v>
          </cell>
          <cell r="S104">
            <v>229</v>
          </cell>
          <cell r="T104">
            <v>246</v>
          </cell>
          <cell r="U104">
            <v>292</v>
          </cell>
          <cell r="V104">
            <v>212</v>
          </cell>
          <cell r="W104">
            <v>432</v>
          </cell>
          <cell r="X104">
            <v>624</v>
          </cell>
          <cell r="Y104">
            <v>721</v>
          </cell>
          <cell r="Z104">
            <v>759</v>
          </cell>
        </row>
        <row r="105">
          <cell r="B105">
            <v>3525</v>
          </cell>
          <cell r="C105">
            <v>3764</v>
          </cell>
          <cell r="D105">
            <v>3933</v>
          </cell>
          <cell r="E105">
            <v>3886</v>
          </cell>
          <cell r="F105">
            <v>3818</v>
          </cell>
          <cell r="G105">
            <v>17494</v>
          </cell>
          <cell r="H105">
            <v>17664</v>
          </cell>
          <cell r="I105">
            <v>17785</v>
          </cell>
          <cell r="J105">
            <v>15440</v>
          </cell>
          <cell r="K105">
            <v>16408</v>
          </cell>
          <cell r="L105">
            <v>58509</v>
          </cell>
          <cell r="M105">
            <v>56026</v>
          </cell>
          <cell r="N105">
            <v>58426</v>
          </cell>
          <cell r="O105">
            <v>56537</v>
          </cell>
          <cell r="P105">
            <v>56319</v>
          </cell>
          <cell r="Q105">
            <v>717</v>
          </cell>
          <cell r="R105">
            <v>592</v>
          </cell>
          <cell r="S105">
            <v>522</v>
          </cell>
          <cell r="T105">
            <v>697</v>
          </cell>
          <cell r="U105">
            <v>640</v>
          </cell>
          <cell r="V105">
            <v>1027</v>
          </cell>
          <cell r="W105">
            <v>918</v>
          </cell>
          <cell r="X105">
            <v>1039</v>
          </cell>
          <cell r="Y105">
            <v>1122</v>
          </cell>
          <cell r="Z105">
            <v>1155</v>
          </cell>
        </row>
        <row r="106">
          <cell r="B106">
            <v>1564</v>
          </cell>
          <cell r="C106">
            <v>1609</v>
          </cell>
          <cell r="D106">
            <v>1538</v>
          </cell>
          <cell r="E106">
            <v>1048</v>
          </cell>
          <cell r="F106">
            <v>1508</v>
          </cell>
          <cell r="G106">
            <v>10529</v>
          </cell>
          <cell r="H106">
            <v>8531</v>
          </cell>
          <cell r="I106">
            <v>7142</v>
          </cell>
          <cell r="J106">
            <v>5964</v>
          </cell>
          <cell r="K106">
            <v>6305</v>
          </cell>
          <cell r="L106">
            <v>36624</v>
          </cell>
          <cell r="M106">
            <v>37424</v>
          </cell>
          <cell r="N106">
            <v>27634</v>
          </cell>
          <cell r="O106">
            <v>23333</v>
          </cell>
          <cell r="P106">
            <v>21095</v>
          </cell>
          <cell r="Q106">
            <v>344</v>
          </cell>
          <cell r="R106">
            <v>357</v>
          </cell>
          <cell r="S106">
            <v>310</v>
          </cell>
          <cell r="T106">
            <v>367</v>
          </cell>
          <cell r="U106">
            <v>363</v>
          </cell>
          <cell r="V106">
            <v>486</v>
          </cell>
          <cell r="W106">
            <v>363</v>
          </cell>
          <cell r="X106">
            <v>463</v>
          </cell>
          <cell r="Y106">
            <v>384</v>
          </cell>
          <cell r="Z106">
            <v>473</v>
          </cell>
        </row>
        <row r="107">
          <cell r="B107">
            <v>2374</v>
          </cell>
          <cell r="C107">
            <v>2255</v>
          </cell>
          <cell r="D107">
            <v>2419</v>
          </cell>
          <cell r="E107">
            <v>2449</v>
          </cell>
          <cell r="F107">
            <v>2890</v>
          </cell>
          <cell r="G107">
            <v>10536</v>
          </cell>
          <cell r="H107">
            <v>12475</v>
          </cell>
          <cell r="I107">
            <v>11140</v>
          </cell>
          <cell r="J107">
            <v>10613</v>
          </cell>
          <cell r="K107">
            <v>12249</v>
          </cell>
          <cell r="L107">
            <v>23248</v>
          </cell>
          <cell r="M107">
            <v>23132</v>
          </cell>
          <cell r="N107">
            <v>24374</v>
          </cell>
          <cell r="O107">
            <v>24580</v>
          </cell>
          <cell r="P107">
            <v>24913</v>
          </cell>
          <cell r="Q107">
            <v>502</v>
          </cell>
          <cell r="R107">
            <v>401</v>
          </cell>
          <cell r="S107">
            <v>474</v>
          </cell>
          <cell r="T107">
            <v>374</v>
          </cell>
          <cell r="U107">
            <v>467</v>
          </cell>
          <cell r="V107">
            <v>974</v>
          </cell>
          <cell r="W107">
            <v>876</v>
          </cell>
          <cell r="X107">
            <v>827</v>
          </cell>
          <cell r="Y107">
            <v>989</v>
          </cell>
          <cell r="Z107">
            <v>1074</v>
          </cell>
        </row>
        <row r="108">
          <cell r="B108">
            <v>2143</v>
          </cell>
          <cell r="C108">
            <v>1978</v>
          </cell>
          <cell r="D108">
            <v>1869</v>
          </cell>
          <cell r="E108">
            <v>2273</v>
          </cell>
          <cell r="F108">
            <v>2541</v>
          </cell>
          <cell r="G108">
            <v>12623</v>
          </cell>
          <cell r="H108">
            <v>11824</v>
          </cell>
          <cell r="I108">
            <v>10734</v>
          </cell>
          <cell r="J108">
            <v>11964</v>
          </cell>
          <cell r="K108">
            <v>12211</v>
          </cell>
          <cell r="L108">
            <v>34919</v>
          </cell>
          <cell r="M108">
            <v>35058</v>
          </cell>
          <cell r="N108">
            <v>36171</v>
          </cell>
          <cell r="O108">
            <v>37018</v>
          </cell>
          <cell r="P108">
            <v>36819</v>
          </cell>
          <cell r="Q108">
            <v>448</v>
          </cell>
          <cell r="R108">
            <v>412</v>
          </cell>
          <cell r="S108">
            <v>517</v>
          </cell>
          <cell r="T108">
            <v>497</v>
          </cell>
          <cell r="U108">
            <v>434</v>
          </cell>
          <cell r="V108">
            <v>761</v>
          </cell>
          <cell r="W108">
            <v>827</v>
          </cell>
          <cell r="X108">
            <v>746</v>
          </cell>
          <cell r="Y108">
            <v>919</v>
          </cell>
          <cell r="Z108">
            <v>1113</v>
          </cell>
        </row>
        <row r="109">
          <cell r="B109">
            <v>16119</v>
          </cell>
          <cell r="C109">
            <v>16033</v>
          </cell>
          <cell r="D109">
            <v>16927</v>
          </cell>
          <cell r="E109">
            <v>16319</v>
          </cell>
          <cell r="F109">
            <v>18150</v>
          </cell>
          <cell r="G109">
            <v>85770</v>
          </cell>
          <cell r="H109">
            <v>83169</v>
          </cell>
          <cell r="I109">
            <v>80582</v>
          </cell>
          <cell r="J109">
            <v>76346</v>
          </cell>
          <cell r="K109">
            <v>78656</v>
          </cell>
          <cell r="L109">
            <v>254434</v>
          </cell>
          <cell r="M109">
            <v>247697</v>
          </cell>
          <cell r="N109">
            <v>249110</v>
          </cell>
          <cell r="O109">
            <v>246266</v>
          </cell>
          <cell r="P109">
            <v>243483</v>
          </cell>
          <cell r="Q109">
            <v>3305</v>
          </cell>
          <cell r="R109">
            <v>2872</v>
          </cell>
          <cell r="S109">
            <v>2968</v>
          </cell>
          <cell r="T109">
            <v>3119</v>
          </cell>
          <cell r="U109">
            <v>3086</v>
          </cell>
          <cell r="V109">
            <v>4641</v>
          </cell>
          <cell r="W109">
            <v>4715</v>
          </cell>
          <cell r="X109">
            <v>4902</v>
          </cell>
          <cell r="Y109">
            <v>5617</v>
          </cell>
          <cell r="Z109">
            <v>6165</v>
          </cell>
        </row>
      </sheetData>
      <sheetData sheetId="104" refreshError="1"/>
      <sheetData sheetId="10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ov.wales/statistics-and-research/eye-care/?lang=en"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4.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trlProp" Target="../ctrlProps/ctrlProp1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trlProp" Target="../ctrlProps/ctrlProp1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19.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gov.wales/topics/health/nhswales/plans/eye_plan/?lang=en" TargetMode="External"/><Relationship Id="rId1" Type="http://schemas.openxmlformats.org/officeDocument/2006/relationships/hyperlink" Target="http://gov.wales/statistics-and-research/eye-care/?lang=en" TargetMode="External"/><Relationship Id="rId5" Type="http://schemas.openxmlformats.org/officeDocument/2006/relationships/drawing" Target="../drawings/drawing19.xm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pageSetUpPr fitToPage="1"/>
  </sheetPr>
  <dimension ref="A1:V27"/>
  <sheetViews>
    <sheetView showRowColHeaders="0" tabSelected="1" zoomScaleNormal="100" zoomScaleSheetLayoutView="120" workbookViewId="0"/>
  </sheetViews>
  <sheetFormatPr defaultColWidth="0" defaultRowHeight="15" zeroHeight="1" x14ac:dyDescent="0.2"/>
  <cols>
    <col min="1" max="1" width="1.88671875" style="8" customWidth="1"/>
    <col min="2" max="5" width="8.88671875" style="8" customWidth="1"/>
    <col min="6" max="6" width="10" style="8" customWidth="1"/>
    <col min="7" max="7" width="7.77734375" style="8" customWidth="1"/>
    <col min="8" max="9" width="8.88671875" style="8" customWidth="1"/>
    <col min="10" max="10" width="8.21875" style="8" customWidth="1"/>
    <col min="11" max="11" width="0.6640625" style="8" customWidth="1"/>
    <col min="12" max="16384" width="8.88671875" style="8" hidden="1"/>
  </cols>
  <sheetData>
    <row r="1" spans="1:22" x14ac:dyDescent="0.2">
      <c r="A1" s="9"/>
      <c r="B1" s="9"/>
      <c r="C1" s="9"/>
      <c r="D1" s="9"/>
      <c r="E1" s="9"/>
      <c r="F1" s="9"/>
      <c r="G1" s="9"/>
      <c r="H1" s="9"/>
      <c r="I1" s="9"/>
      <c r="J1" s="9"/>
      <c r="K1" s="9"/>
      <c r="L1" s="9"/>
    </row>
    <row r="2" spans="1:22" ht="23.25" customHeight="1"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x14ac:dyDescent="0.2">
      <c r="A4" s="9"/>
      <c r="B4" s="9"/>
      <c r="C4" s="9"/>
      <c r="D4" s="9"/>
      <c r="E4" s="9"/>
      <c r="F4" s="9"/>
      <c r="G4" s="9"/>
      <c r="H4" s="9"/>
      <c r="I4" s="9"/>
      <c r="J4" s="9"/>
      <c r="K4" s="9"/>
      <c r="L4" s="9"/>
      <c r="N4" s="377"/>
      <c r="O4" s="377"/>
      <c r="P4" s="377"/>
      <c r="Q4" s="377"/>
      <c r="R4" s="377"/>
      <c r="S4" s="377"/>
      <c r="T4" s="377"/>
      <c r="U4" s="377"/>
      <c r="V4" s="377"/>
    </row>
    <row r="5" spans="1:22" x14ac:dyDescent="0.2">
      <c r="A5" s="9"/>
      <c r="B5" s="9"/>
      <c r="C5" s="9"/>
      <c r="D5" s="9"/>
      <c r="E5" s="9"/>
      <c r="F5" s="9"/>
      <c r="G5" s="9"/>
      <c r="H5" s="9"/>
      <c r="I5" s="9"/>
      <c r="J5" s="9"/>
      <c r="K5" s="9"/>
      <c r="L5" s="9"/>
      <c r="N5" s="378"/>
      <c r="O5" s="378"/>
      <c r="P5" s="378"/>
      <c r="Q5" s="378"/>
      <c r="R5" s="378"/>
      <c r="S5" s="378"/>
      <c r="T5" s="378"/>
      <c r="U5" s="12"/>
      <c r="V5" s="12"/>
    </row>
    <row r="6" spans="1:22" ht="21" customHeight="1" x14ac:dyDescent="0.2">
      <c r="A6" s="9"/>
      <c r="B6" s="379" t="s">
        <v>324</v>
      </c>
      <c r="C6" s="379"/>
      <c r="D6" s="379"/>
      <c r="E6" s="379"/>
      <c r="F6" s="379"/>
      <c r="G6" s="9"/>
      <c r="H6" s="9"/>
      <c r="I6" s="9"/>
      <c r="J6" s="9"/>
      <c r="K6" s="9"/>
      <c r="L6" s="9"/>
      <c r="N6" s="13"/>
      <c r="O6" s="12"/>
      <c r="P6" s="12"/>
      <c r="Q6" s="12"/>
      <c r="R6" s="12"/>
      <c r="S6" s="12"/>
      <c r="T6" s="12"/>
      <c r="U6" s="12"/>
      <c r="V6" s="12"/>
    </row>
    <row r="7" spans="1:22" ht="15" customHeight="1" x14ac:dyDescent="0.2">
      <c r="B7" s="379"/>
      <c r="C7" s="379"/>
      <c r="D7" s="379"/>
      <c r="E7" s="379"/>
      <c r="F7" s="379"/>
      <c r="G7" s="9"/>
      <c r="H7" s="9"/>
      <c r="I7" s="9"/>
      <c r="J7" s="9"/>
      <c r="K7" s="9"/>
      <c r="L7" s="9"/>
      <c r="N7" s="14"/>
      <c r="O7" s="12"/>
      <c r="P7" s="12"/>
      <c r="Q7" s="12"/>
      <c r="R7" s="12"/>
      <c r="S7" s="12"/>
      <c r="T7" s="12"/>
      <c r="U7" s="12"/>
      <c r="V7" s="12"/>
    </row>
    <row r="8" spans="1:22" ht="24.75" customHeight="1" x14ac:dyDescent="0.2">
      <c r="A8" s="220"/>
      <c r="B8" s="379"/>
      <c r="C8" s="379"/>
      <c r="D8" s="379"/>
      <c r="E8" s="379"/>
      <c r="F8" s="379"/>
      <c r="G8" s="9"/>
      <c r="H8" s="9"/>
      <c r="I8" s="9"/>
      <c r="J8" s="9"/>
      <c r="K8" s="9"/>
      <c r="L8" s="9"/>
      <c r="N8" s="13"/>
      <c r="O8" s="15"/>
      <c r="P8" s="15"/>
      <c r="Q8" s="15"/>
      <c r="R8" s="15"/>
      <c r="S8" s="15"/>
      <c r="T8" s="15"/>
      <c r="U8" s="15"/>
      <c r="V8" s="12"/>
    </row>
    <row r="9" spans="1:22" ht="24.75" customHeight="1" x14ac:dyDescent="0.2">
      <c r="A9" s="220"/>
      <c r="B9" s="380" t="s">
        <v>870</v>
      </c>
      <c r="C9" s="380"/>
      <c r="D9" s="380"/>
      <c r="E9" s="380"/>
      <c r="F9" s="380"/>
      <c r="G9" s="9"/>
      <c r="H9" s="9"/>
      <c r="I9" s="9"/>
      <c r="J9" s="9"/>
      <c r="K9" s="9"/>
      <c r="L9" s="9"/>
      <c r="N9" s="14"/>
      <c r="O9" s="15"/>
      <c r="P9" s="15"/>
      <c r="Q9" s="15"/>
      <c r="R9" s="15"/>
      <c r="S9" s="15"/>
      <c r="T9" s="15"/>
      <c r="U9" s="15"/>
      <c r="V9" s="12"/>
    </row>
    <row r="10" spans="1:22" ht="21" customHeight="1" x14ac:dyDescent="0.2">
      <c r="B10" s="380"/>
      <c r="C10" s="380"/>
      <c r="D10" s="380"/>
      <c r="E10" s="380"/>
      <c r="F10" s="380"/>
      <c r="G10" s="9"/>
      <c r="H10" s="9"/>
      <c r="I10" s="9"/>
      <c r="J10" s="9"/>
      <c r="K10" s="9"/>
      <c r="L10" s="9"/>
      <c r="N10" s="13"/>
      <c r="O10" s="15"/>
      <c r="P10" s="15"/>
      <c r="Q10" s="15"/>
      <c r="R10" s="15"/>
      <c r="S10" s="15"/>
      <c r="T10" s="15"/>
      <c r="U10" s="15"/>
      <c r="V10" s="12"/>
    </row>
    <row r="11" spans="1:22" ht="15" customHeight="1" x14ac:dyDescent="0.2">
      <c r="A11" s="347"/>
      <c r="B11" s="347"/>
      <c r="C11" s="347"/>
      <c r="D11" s="375" t="s">
        <v>871</v>
      </c>
      <c r="E11" s="375"/>
      <c r="F11" s="375"/>
      <c r="G11" s="9"/>
      <c r="H11" s="9"/>
      <c r="I11" s="9"/>
      <c r="J11" s="9"/>
      <c r="K11" s="9"/>
      <c r="L11" s="9"/>
      <c r="N11" s="16"/>
      <c r="O11" s="17"/>
      <c r="P11" s="17"/>
      <c r="Q11" s="17"/>
      <c r="R11" s="17"/>
      <c r="S11" s="17"/>
      <c r="T11" s="17"/>
      <c r="U11" s="17"/>
      <c r="V11" s="17"/>
    </row>
    <row r="12" spans="1:22" ht="24.75" customHeight="1" x14ac:dyDescent="0.2">
      <c r="A12" s="347"/>
      <c r="B12" s="347"/>
      <c r="C12" s="347"/>
      <c r="D12" s="376" t="str">
        <f>'Lookup data'!B1</f>
        <v>Wales</v>
      </c>
      <c r="E12" s="376"/>
      <c r="F12" s="376"/>
      <c r="G12" s="9"/>
      <c r="H12" s="9"/>
      <c r="I12" s="9"/>
      <c r="J12" s="9"/>
      <c r="K12" s="9"/>
      <c r="L12" s="9"/>
      <c r="N12" s="16"/>
      <c r="O12" s="17"/>
      <c r="P12" s="17"/>
      <c r="Q12" s="17"/>
      <c r="R12" s="17"/>
      <c r="S12" s="17"/>
      <c r="T12" s="17"/>
      <c r="U12" s="17"/>
      <c r="V12" s="17"/>
    </row>
    <row r="13" spans="1:22" ht="15.75" customHeight="1" x14ac:dyDescent="0.2">
      <c r="A13" s="346"/>
      <c r="B13" s="346"/>
      <c r="C13" s="349"/>
      <c r="D13" s="376"/>
      <c r="E13" s="376"/>
      <c r="F13" s="376"/>
      <c r="G13" s="9"/>
      <c r="H13" s="9"/>
      <c r="I13" s="9"/>
      <c r="J13" s="9"/>
      <c r="K13" s="9"/>
      <c r="L13" s="9"/>
      <c r="N13" s="16"/>
      <c r="O13" s="17"/>
      <c r="P13" s="17"/>
      <c r="Q13" s="17"/>
      <c r="R13" s="17"/>
      <c r="S13" s="17"/>
      <c r="T13" s="17"/>
      <c r="U13" s="17"/>
      <c r="V13" s="17"/>
    </row>
    <row r="14" spans="1:22" ht="21" customHeight="1" x14ac:dyDescent="0.2">
      <c r="B14" s="381" t="s">
        <v>67</v>
      </c>
      <c r="C14" s="381"/>
      <c r="D14" s="381"/>
      <c r="E14" s="381"/>
      <c r="F14" s="381"/>
      <c r="G14" s="9"/>
      <c r="H14" s="9"/>
      <c r="I14" s="9"/>
      <c r="J14" s="9"/>
      <c r="K14" s="9"/>
      <c r="L14" s="9"/>
      <c r="N14" s="16"/>
      <c r="O14" s="12"/>
      <c r="P14" s="12"/>
      <c r="Q14" s="12"/>
      <c r="R14" s="12"/>
      <c r="S14" s="12"/>
      <c r="T14" s="12"/>
      <c r="U14" s="12"/>
      <c r="V14" s="12"/>
    </row>
    <row r="15" spans="1:22" ht="18.75" customHeight="1" x14ac:dyDescent="0.2">
      <c r="A15" s="350"/>
      <c r="B15" s="381"/>
      <c r="C15" s="381"/>
      <c r="D15" s="381"/>
      <c r="E15" s="381"/>
      <c r="F15" s="381"/>
      <c r="G15" s="9"/>
      <c r="H15" s="9"/>
      <c r="I15" s="9"/>
      <c r="J15" s="9"/>
      <c r="K15" s="9"/>
      <c r="L15" s="9"/>
    </row>
    <row r="16" spans="1:22" ht="15" customHeight="1" x14ac:dyDescent="0.2">
      <c r="A16" s="346"/>
      <c r="B16" s="346"/>
      <c r="C16" s="348"/>
      <c r="D16" s="348"/>
      <c r="E16" s="348"/>
      <c r="F16" s="348"/>
      <c r="G16" s="9"/>
      <c r="H16" s="9"/>
      <c r="I16" s="9"/>
      <c r="J16" s="9"/>
      <c r="K16" s="9"/>
      <c r="L16" s="9"/>
    </row>
    <row r="17" spans="1:19" ht="29.25" customHeight="1" x14ac:dyDescent="0.2">
      <c r="B17" s="382" t="s">
        <v>325</v>
      </c>
      <c r="C17" s="382"/>
      <c r="D17" s="382"/>
      <c r="E17" s="382"/>
      <c r="F17" s="382"/>
      <c r="G17" s="9"/>
      <c r="H17" s="9"/>
      <c r="I17" s="9"/>
      <c r="J17" s="9"/>
      <c r="K17" s="9"/>
      <c r="L17" s="9"/>
      <c r="S17" s="18"/>
    </row>
    <row r="18" spans="1:19" ht="15" customHeight="1" x14ac:dyDescent="0.2">
      <c r="A18" s="9"/>
      <c r="B18" s="9"/>
      <c r="G18" s="9"/>
      <c r="H18" s="9"/>
      <c r="I18" s="9"/>
      <c r="J18" s="9"/>
      <c r="K18" s="9"/>
      <c r="L18" s="9"/>
    </row>
    <row r="19" spans="1:19" ht="15" customHeight="1" x14ac:dyDescent="0.2">
      <c r="A19" s="9"/>
      <c r="B19" s="9"/>
      <c r="C19" s="374" t="s">
        <v>34</v>
      </c>
      <c r="D19" s="374"/>
      <c r="E19" s="374"/>
      <c r="F19" s="374"/>
      <c r="G19" s="9"/>
      <c r="H19" s="9"/>
      <c r="I19" s="9"/>
      <c r="J19" s="9"/>
      <c r="K19" s="9"/>
      <c r="L19" s="9"/>
    </row>
    <row r="20" spans="1:19" ht="15" customHeight="1" x14ac:dyDescent="0.2">
      <c r="A20" s="9"/>
      <c r="B20" s="9"/>
      <c r="C20" s="374"/>
      <c r="D20" s="374"/>
      <c r="E20" s="374"/>
      <c r="F20" s="374"/>
      <c r="G20" s="9"/>
      <c r="H20" s="9"/>
      <c r="I20" s="9"/>
      <c r="J20" s="9"/>
      <c r="K20" s="9"/>
      <c r="L20" s="9"/>
    </row>
    <row r="21" spans="1:19" ht="15" customHeight="1" x14ac:dyDescent="0.2">
      <c r="A21" s="9"/>
      <c r="B21" s="9"/>
      <c r="G21" s="9"/>
      <c r="H21" s="9"/>
      <c r="I21" s="9"/>
      <c r="J21" s="9"/>
      <c r="K21" s="9"/>
      <c r="L21" s="9"/>
    </row>
    <row r="22" spans="1:19" ht="15.75" customHeight="1" x14ac:dyDescent="0.2">
      <c r="B22" s="374" t="s">
        <v>65</v>
      </c>
      <c r="C22" s="374"/>
      <c r="D22" s="374"/>
      <c r="E22" s="374"/>
      <c r="F22" s="374"/>
      <c r="G22" s="9"/>
      <c r="H22" s="9"/>
      <c r="I22" s="9"/>
      <c r="J22" s="9"/>
      <c r="K22" s="9"/>
      <c r="L22" s="9"/>
    </row>
    <row r="23" spans="1:19" ht="15" customHeight="1" x14ac:dyDescent="0.2">
      <c r="A23" s="22"/>
      <c r="B23" s="374"/>
      <c r="C23" s="374"/>
      <c r="D23" s="374"/>
      <c r="E23" s="374"/>
      <c r="F23" s="374"/>
      <c r="G23" s="9"/>
      <c r="H23" s="9"/>
      <c r="I23" s="9"/>
      <c r="J23" s="9"/>
      <c r="K23" s="9"/>
      <c r="L23" s="9"/>
    </row>
    <row r="24" spans="1:19" ht="15" customHeight="1" x14ac:dyDescent="0.25">
      <c r="A24" s="9"/>
      <c r="B24" s="9"/>
      <c r="G24" s="9"/>
      <c r="H24" s="9"/>
      <c r="I24" s="9"/>
      <c r="J24" s="9"/>
      <c r="K24" s="9"/>
      <c r="L24" s="9"/>
    </row>
    <row r="25" spans="1:19" ht="21" customHeight="1" x14ac:dyDescent="0.25">
      <c r="A25" s="9"/>
      <c r="B25" s="9"/>
      <c r="C25" s="9"/>
      <c r="D25" s="9"/>
      <c r="E25" s="9"/>
      <c r="F25" s="9"/>
      <c r="G25" s="9"/>
      <c r="H25" s="9"/>
      <c r="I25" s="9"/>
      <c r="J25" s="9"/>
      <c r="K25" s="9"/>
      <c r="L25" s="9"/>
    </row>
    <row r="26" spans="1:19" ht="15" hidden="1" customHeight="1" x14ac:dyDescent="0.2">
      <c r="A26" s="9"/>
      <c r="B26" s="9"/>
      <c r="C26" s="9"/>
      <c r="D26" s="9"/>
      <c r="E26" s="9"/>
      <c r="F26" s="9"/>
      <c r="G26" s="9"/>
      <c r="H26" s="9"/>
      <c r="I26" s="9"/>
      <c r="J26" s="9"/>
      <c r="K26" s="9"/>
      <c r="L26" s="9"/>
    </row>
    <row r="27" spans="1:19" ht="15" hidden="1" customHeight="1" x14ac:dyDescent="0.2">
      <c r="A27" s="9"/>
      <c r="B27" s="9"/>
      <c r="C27" s="9"/>
      <c r="D27" s="9"/>
      <c r="E27" s="9"/>
      <c r="F27" s="9"/>
      <c r="G27" s="9"/>
      <c r="H27" s="9"/>
      <c r="I27" s="9"/>
      <c r="J27" s="9"/>
      <c r="K27" s="9"/>
      <c r="L27" s="9"/>
    </row>
  </sheetData>
  <sheetProtection password="E69E" sheet="1" objects="1" scenarios="1"/>
  <mergeCells count="10">
    <mergeCell ref="B22:F23"/>
    <mergeCell ref="D11:F11"/>
    <mergeCell ref="D12:F13"/>
    <mergeCell ref="N3:V4"/>
    <mergeCell ref="N5:T5"/>
    <mergeCell ref="C19:F20"/>
    <mergeCell ref="B6:F8"/>
    <mergeCell ref="B9:F10"/>
    <mergeCell ref="B14:F15"/>
    <mergeCell ref="B17:F17"/>
  </mergeCells>
  <hyperlinks>
    <hyperlink ref="B9:F10" location="'Select Health Board'!A1" display="The data can be broken down by Health Board level or can be shown overall for Wales. Click here to select the breakdown."/>
    <hyperlink ref="B17:F17" r:id="rId1" display="To view the latest Sensory Health statistical release click here."/>
  </hyperlinks>
  <pageMargins left="0.7" right="0.7" top="0.75" bottom="0.75" header="0.3" footer="0.3"/>
  <pageSetup paperSize="9" orientation="landscape" horizontalDpi="300" verticalDpi="300" r:id="rId2"/>
  <colBreaks count="1" manualBreakCount="1">
    <brk id="11"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DF3FF"/>
    <pageSetUpPr fitToPage="1"/>
  </sheetPr>
  <dimension ref="A1:V27"/>
  <sheetViews>
    <sheetView showRowColHeaders="0" zoomScaleNormal="100" zoomScaleSheetLayoutView="180" workbookViewId="0"/>
  </sheetViews>
  <sheetFormatPr defaultColWidth="0" defaultRowHeight="0" customHeight="1" zeroHeight="1" x14ac:dyDescent="0.2"/>
  <cols>
    <col min="1" max="1" width="0.5546875" style="8" customWidth="1"/>
    <col min="2" max="2" width="9.88671875" style="33" customWidth="1"/>
    <col min="3" max="3" width="8.5546875" style="33" customWidth="1"/>
    <col min="4" max="4" width="11" style="33" customWidth="1"/>
    <col min="5" max="5" width="7.33203125" style="33" customWidth="1"/>
    <col min="6" max="7" width="11" style="33" customWidth="1"/>
    <col min="8" max="8" width="7.33203125" style="33" customWidth="1"/>
    <col min="9" max="9" width="8.5546875" style="33" customWidth="1"/>
    <col min="10" max="10" width="6.44140625" style="8" customWidth="1"/>
    <col min="11" max="11" width="0.109375" style="8" hidden="1" customWidth="1"/>
    <col min="12" max="16384" width="8.88671875" style="8" hidden="1"/>
  </cols>
  <sheetData>
    <row r="1" spans="1:22" ht="15"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ht="15"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89" t="s">
        <v>63</v>
      </c>
      <c r="B4" s="389"/>
      <c r="C4" s="389"/>
      <c r="D4" s="389"/>
      <c r="E4" s="389"/>
      <c r="F4" s="389"/>
      <c r="G4" s="389"/>
      <c r="H4" s="389"/>
      <c r="I4" s="389"/>
      <c r="J4" s="389"/>
      <c r="K4" s="9"/>
      <c r="L4" s="9"/>
      <c r="N4" s="377"/>
      <c r="O4" s="377"/>
      <c r="P4" s="377"/>
      <c r="Q4" s="377"/>
      <c r="R4" s="377"/>
      <c r="S4" s="377"/>
      <c r="T4" s="377"/>
      <c r="U4" s="377"/>
      <c r="V4" s="377"/>
    </row>
    <row r="5" spans="1:22" ht="15" customHeight="1" x14ac:dyDescent="0.2">
      <c r="A5" s="389"/>
      <c r="B5" s="389"/>
      <c r="C5" s="389"/>
      <c r="D5" s="389"/>
      <c r="E5" s="389"/>
      <c r="F5" s="389"/>
      <c r="G5" s="389"/>
      <c r="H5" s="389"/>
      <c r="I5" s="389"/>
      <c r="J5" s="389"/>
      <c r="K5" s="9"/>
      <c r="L5" s="9"/>
      <c r="N5" s="378"/>
      <c r="O5" s="378"/>
      <c r="P5" s="378"/>
      <c r="Q5" s="378"/>
      <c r="R5" s="378"/>
      <c r="S5" s="378"/>
      <c r="T5" s="378"/>
      <c r="U5" s="12"/>
      <c r="V5" s="12"/>
    </row>
    <row r="6" spans="1:22" ht="33.75" customHeight="1" x14ac:dyDescent="0.2">
      <c r="A6" s="389"/>
      <c r="B6" s="389"/>
      <c r="C6" s="389"/>
      <c r="D6" s="389"/>
      <c r="E6" s="389"/>
      <c r="F6" s="389"/>
      <c r="G6" s="389"/>
      <c r="H6" s="389"/>
      <c r="I6" s="389"/>
      <c r="J6" s="389"/>
      <c r="K6" s="9"/>
      <c r="L6" s="9"/>
      <c r="N6" s="13"/>
      <c r="O6" s="12"/>
      <c r="P6" s="12"/>
      <c r="Q6" s="12"/>
      <c r="R6" s="12"/>
      <c r="S6" s="12"/>
      <c r="T6" s="12"/>
      <c r="U6" s="12"/>
      <c r="V6" s="12"/>
    </row>
    <row r="7" spans="1:22" ht="2.25" customHeight="1" x14ac:dyDescent="0.2">
      <c r="A7" s="389"/>
      <c r="B7" s="389"/>
      <c r="C7" s="389"/>
      <c r="D7" s="389"/>
      <c r="E7" s="389"/>
      <c r="F7" s="389"/>
      <c r="G7" s="389"/>
      <c r="H7" s="389"/>
      <c r="I7" s="389"/>
      <c r="J7" s="389"/>
      <c r="K7" s="9"/>
      <c r="L7" s="9"/>
      <c r="N7" s="14"/>
      <c r="O7" s="12"/>
      <c r="P7" s="12"/>
      <c r="Q7" s="12"/>
      <c r="R7" s="12"/>
      <c r="S7" s="12"/>
      <c r="T7" s="12"/>
      <c r="U7" s="12"/>
      <c r="V7" s="12"/>
    </row>
    <row r="8" spans="1:22" ht="16.5" customHeight="1" x14ac:dyDescent="0.25">
      <c r="A8" s="400" t="str">
        <f>"Showing data for: "&amp;VLOOKUP('Lookup data'!A110,'Lookup data'!B110:C117,2,FALSE)</f>
        <v>Showing data for: Wales</v>
      </c>
      <c r="B8" s="400"/>
      <c r="C8" s="400"/>
      <c r="D8" s="400"/>
      <c r="E8" s="400"/>
      <c r="F8" s="400"/>
      <c r="G8" s="400"/>
      <c r="H8" s="400"/>
      <c r="I8" s="400"/>
      <c r="J8" s="400"/>
      <c r="K8" s="9"/>
      <c r="L8" s="9"/>
      <c r="N8" s="14"/>
      <c r="O8" s="12"/>
      <c r="P8" s="12"/>
      <c r="Q8" s="12"/>
      <c r="R8" s="12"/>
      <c r="S8" s="12"/>
      <c r="T8" s="12"/>
      <c r="U8" s="12"/>
      <c r="V8" s="12"/>
    </row>
    <row r="9" spans="1:22" ht="18.75"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9"/>
      <c r="L9" s="9"/>
      <c r="N9" s="14"/>
      <c r="O9" s="12"/>
      <c r="P9" s="12"/>
      <c r="Q9" s="12"/>
      <c r="R9" s="12"/>
      <c r="S9" s="12"/>
      <c r="T9" s="12"/>
      <c r="U9" s="12"/>
      <c r="V9" s="12"/>
    </row>
    <row r="10" spans="1:22" ht="15" customHeight="1" x14ac:dyDescent="0.2">
      <c r="A10" s="9"/>
      <c r="B10" s="429">
        <f>'Lookup data'!D55</f>
        <v>0.84759957152595189</v>
      </c>
      <c r="C10" s="429"/>
      <c r="D10" s="429"/>
      <c r="E10" s="48"/>
      <c r="F10" s="45"/>
      <c r="G10" s="45"/>
      <c r="H10" s="9"/>
      <c r="I10" s="9"/>
      <c r="J10" s="9"/>
      <c r="K10" s="9"/>
      <c r="L10" s="9"/>
      <c r="N10" s="13"/>
      <c r="O10" s="15"/>
      <c r="P10" s="15"/>
      <c r="Q10" s="15"/>
      <c r="R10" s="15"/>
      <c r="S10" s="15"/>
      <c r="T10" s="15"/>
      <c r="U10" s="15"/>
      <c r="V10" s="12"/>
    </row>
    <row r="11" spans="1:22" ht="15" customHeight="1" x14ac:dyDescent="0.2">
      <c r="A11" s="9"/>
      <c r="B11" s="429"/>
      <c r="C11" s="429"/>
      <c r="D11" s="429"/>
      <c r="E11" s="48"/>
      <c r="F11" s="45"/>
      <c r="G11" s="45"/>
      <c r="H11" s="9"/>
      <c r="I11" s="9"/>
      <c r="J11" s="9"/>
      <c r="K11" s="9"/>
      <c r="L11" s="9"/>
      <c r="N11" s="14"/>
      <c r="O11" s="15"/>
      <c r="P11" s="15"/>
      <c r="Q11" s="15"/>
      <c r="R11" s="15"/>
      <c r="S11" s="15"/>
      <c r="T11" s="15"/>
      <c r="U11" s="15"/>
      <c r="V11" s="12"/>
    </row>
    <row r="12" spans="1:22" ht="15.75" customHeight="1" x14ac:dyDescent="0.2">
      <c r="A12" s="9"/>
      <c r="B12" s="429"/>
      <c r="C12" s="429"/>
      <c r="D12" s="429"/>
      <c r="E12" s="48"/>
      <c r="F12" s="45"/>
      <c r="G12" s="45"/>
      <c r="H12" s="9"/>
      <c r="I12" s="9"/>
      <c r="J12" s="9"/>
      <c r="K12" s="9"/>
      <c r="L12" s="9"/>
      <c r="N12" s="13"/>
      <c r="O12" s="15"/>
      <c r="P12" s="15"/>
      <c r="Q12" s="15"/>
      <c r="R12" s="15"/>
      <c r="S12" s="15"/>
      <c r="T12" s="15"/>
      <c r="U12" s="15"/>
      <c r="V12" s="12"/>
    </row>
    <row r="13" spans="1:22" ht="15.75" customHeight="1" x14ac:dyDescent="0.2">
      <c r="B13" s="429"/>
      <c r="C13" s="429"/>
      <c r="D13" s="429"/>
      <c r="E13" s="48"/>
      <c r="F13" s="45"/>
      <c r="G13" s="45"/>
      <c r="H13" s="9"/>
      <c r="I13" s="9"/>
      <c r="J13" s="9"/>
      <c r="K13" s="9"/>
      <c r="L13" s="9"/>
      <c r="N13" s="16"/>
      <c r="O13" s="17"/>
      <c r="P13" s="17"/>
      <c r="Q13" s="17"/>
      <c r="R13" s="17"/>
      <c r="S13" s="17"/>
      <c r="T13" s="17"/>
      <c r="U13" s="17"/>
      <c r="V13" s="17"/>
    </row>
    <row r="14" spans="1:22" ht="15.75" customHeight="1" x14ac:dyDescent="0.2">
      <c r="B14" s="429"/>
      <c r="C14" s="429"/>
      <c r="D14" s="429"/>
      <c r="E14" s="48"/>
      <c r="F14" s="45"/>
      <c r="G14" s="45"/>
      <c r="H14" s="9"/>
      <c r="I14" s="9"/>
      <c r="J14" s="9"/>
      <c r="K14" s="9"/>
      <c r="L14" s="9"/>
      <c r="N14" s="16"/>
      <c r="O14" s="17"/>
      <c r="P14" s="17"/>
      <c r="Q14" s="17"/>
      <c r="R14" s="17"/>
      <c r="S14" s="17"/>
      <c r="T14" s="17"/>
      <c r="U14" s="17"/>
      <c r="V14" s="17"/>
    </row>
    <row r="15" spans="1:22" ht="15" customHeight="1" x14ac:dyDescent="0.2">
      <c r="A15" s="22"/>
      <c r="B15" s="428" t="s">
        <v>55</v>
      </c>
      <c r="C15" s="428"/>
      <c r="D15" s="428"/>
      <c r="E15" s="49"/>
      <c r="F15" s="45"/>
      <c r="G15" s="45"/>
      <c r="H15" s="9"/>
      <c r="I15" s="9"/>
      <c r="J15" s="9"/>
      <c r="K15" s="9"/>
      <c r="L15" s="9"/>
      <c r="N15" s="16"/>
      <c r="O15" s="12"/>
      <c r="P15" s="12"/>
      <c r="Q15" s="12"/>
      <c r="R15" s="12"/>
      <c r="S15" s="12"/>
      <c r="T15" s="12"/>
      <c r="U15" s="12"/>
      <c r="V15" s="12"/>
    </row>
    <row r="16" spans="1:22" ht="15" customHeight="1" x14ac:dyDescent="0.2">
      <c r="A16" s="22"/>
      <c r="B16" s="428"/>
      <c r="C16" s="428"/>
      <c r="D16" s="428"/>
      <c r="E16" s="49"/>
      <c r="F16" s="45"/>
      <c r="G16" s="45"/>
      <c r="H16" s="9"/>
      <c r="I16" s="9"/>
      <c r="J16" s="9"/>
      <c r="K16" s="9"/>
      <c r="L16" s="9"/>
    </row>
    <row r="17" spans="1:19" ht="15" customHeight="1" x14ac:dyDescent="0.2">
      <c r="A17" s="22"/>
      <c r="B17" s="428"/>
      <c r="C17" s="428"/>
      <c r="D17" s="428"/>
      <c r="E17" s="49"/>
      <c r="F17" s="45"/>
      <c r="G17" s="45"/>
      <c r="H17" s="9"/>
      <c r="I17" s="9"/>
      <c r="J17" s="9"/>
      <c r="K17" s="9"/>
      <c r="L17" s="9"/>
    </row>
    <row r="18" spans="1:19" ht="15" customHeight="1" x14ac:dyDescent="0.2">
      <c r="A18" s="22"/>
      <c r="B18" s="425" t="s">
        <v>56</v>
      </c>
      <c r="C18" s="425"/>
      <c r="D18" s="425"/>
      <c r="E18" s="46"/>
      <c r="F18" s="46"/>
      <c r="G18" s="46"/>
      <c r="H18" s="9"/>
      <c r="I18" s="9"/>
      <c r="J18" s="9"/>
      <c r="K18" s="9"/>
      <c r="L18" s="9"/>
      <c r="S18" s="18"/>
    </row>
    <row r="19" spans="1:19" ht="15" customHeight="1" x14ac:dyDescent="0.2">
      <c r="A19" s="22"/>
      <c r="B19" s="425"/>
      <c r="C19" s="425"/>
      <c r="D19" s="425"/>
      <c r="E19" s="46"/>
      <c r="F19" s="46"/>
      <c r="G19" s="46"/>
      <c r="H19" s="9"/>
      <c r="I19" s="9"/>
      <c r="J19" s="9"/>
      <c r="K19" s="9"/>
      <c r="L19" s="9"/>
    </row>
    <row r="20" spans="1:19" ht="25.5" customHeight="1" x14ac:dyDescent="0.2">
      <c r="A20" s="22"/>
      <c r="B20" s="424" t="s">
        <v>79</v>
      </c>
      <c r="C20" s="424"/>
      <c r="D20" s="424"/>
      <c r="E20" s="50"/>
      <c r="F20" s="45"/>
      <c r="G20" s="45"/>
      <c r="H20" s="9"/>
      <c r="I20" s="9"/>
      <c r="J20" s="9"/>
      <c r="K20" s="9"/>
      <c r="L20" s="9"/>
    </row>
    <row r="21" spans="1:19" ht="18" customHeight="1" x14ac:dyDescent="0.2">
      <c r="A21" s="22"/>
      <c r="B21" s="426" t="s">
        <v>215</v>
      </c>
      <c r="C21" s="426"/>
      <c r="D21" s="426"/>
      <c r="F21" s="338"/>
      <c r="G21" s="338"/>
      <c r="H21" s="338"/>
      <c r="I21" s="338"/>
      <c r="J21" s="338"/>
      <c r="K21" s="9"/>
      <c r="L21" s="9"/>
    </row>
    <row r="22" spans="1:19" ht="15" customHeight="1" x14ac:dyDescent="0.2">
      <c r="A22" s="22"/>
      <c r="B22" s="397" t="s">
        <v>216</v>
      </c>
      <c r="C22" s="397"/>
      <c r="D22" s="397"/>
      <c r="E22" s="338"/>
      <c r="F22" s="427" t="str">
        <f>'Lookup data'!E55</f>
        <v>The percentage of scheduled DESW appointments where results were reported increased by 3 percentage points between the 2015-16 and 2016-17 financial years for Wales.</v>
      </c>
      <c r="G22" s="427"/>
      <c r="H22" s="427"/>
      <c r="I22" s="427"/>
      <c r="J22" s="338"/>
      <c r="K22" s="9"/>
      <c r="L22" s="9"/>
    </row>
    <row r="23" spans="1:19" ht="18.75" customHeight="1" x14ac:dyDescent="0.2">
      <c r="A23" s="22"/>
      <c r="B23" s="22"/>
      <c r="C23" s="22"/>
      <c r="D23" s="22"/>
      <c r="E23" s="338"/>
      <c r="F23" s="427"/>
      <c r="G23" s="427"/>
      <c r="H23" s="427"/>
      <c r="I23" s="427"/>
      <c r="J23" s="338"/>
      <c r="K23" s="9"/>
      <c r="L23" s="9"/>
    </row>
    <row r="24" spans="1:19" ht="15" customHeight="1" x14ac:dyDescent="0.25">
      <c r="A24" s="33"/>
      <c r="C24" s="61"/>
      <c r="D24" s="61"/>
      <c r="E24" s="61"/>
      <c r="F24" s="61"/>
      <c r="G24" s="61"/>
      <c r="H24" s="61"/>
      <c r="I24" s="61"/>
      <c r="J24" s="9"/>
      <c r="K24" s="9"/>
      <c r="L24" s="9"/>
    </row>
    <row r="25" spans="1:19" ht="15" x14ac:dyDescent="0.2">
      <c r="A25" s="33"/>
      <c r="B25" s="421" t="s">
        <v>828</v>
      </c>
      <c r="C25" s="421"/>
      <c r="D25" s="421"/>
      <c r="E25" s="421"/>
      <c r="F25" s="421"/>
      <c r="G25" s="421"/>
      <c r="H25" s="421"/>
      <c r="I25" s="421"/>
      <c r="J25" s="9"/>
      <c r="K25" s="9"/>
      <c r="L25" s="9"/>
    </row>
    <row r="26" spans="1:19" ht="15" x14ac:dyDescent="0.2">
      <c r="A26" s="33"/>
      <c r="B26" s="421"/>
      <c r="C26" s="421"/>
      <c r="D26" s="421"/>
      <c r="E26" s="421"/>
      <c r="F26" s="421"/>
      <c r="G26" s="421"/>
      <c r="H26" s="421"/>
      <c r="I26" s="421"/>
      <c r="J26" s="9"/>
      <c r="K26" s="9"/>
      <c r="L26" s="9"/>
    </row>
    <row r="27" spans="1:19" ht="15" customHeight="1" x14ac:dyDescent="0.2">
      <c r="A27" s="9"/>
      <c r="B27" s="421"/>
      <c r="C27" s="421"/>
      <c r="D27" s="421"/>
      <c r="E27" s="421"/>
      <c r="F27" s="421"/>
      <c r="G27" s="421"/>
      <c r="H27" s="421"/>
      <c r="I27" s="421"/>
      <c r="J27" s="9"/>
      <c r="K27" s="9"/>
      <c r="L27" s="9"/>
    </row>
  </sheetData>
  <sheetProtection password="E69E" sheet="1" objects="1" scenarios="1"/>
  <mergeCells count="13">
    <mergeCell ref="B15:D17"/>
    <mergeCell ref="B10:D14"/>
    <mergeCell ref="N3:V4"/>
    <mergeCell ref="N5:T5"/>
    <mergeCell ref="A8:J8"/>
    <mergeCell ref="A9:J9"/>
    <mergeCell ref="A4:J7"/>
    <mergeCell ref="B25:I27"/>
    <mergeCell ref="B20:D20"/>
    <mergeCell ref="B18:D19"/>
    <mergeCell ref="B21:D21"/>
    <mergeCell ref="B22:D22"/>
    <mergeCell ref="F22:I23"/>
  </mergeCells>
  <hyperlinks>
    <hyperlink ref="A9:J9" location="'Select Health Board'!A1" display="Click here to select a different health board"/>
  </hyperlink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CDE7FF"/>
    <pageSetUpPr fitToPage="1"/>
  </sheetPr>
  <dimension ref="A1:V27"/>
  <sheetViews>
    <sheetView showRowColHeaders="0" zoomScaleNormal="100" zoomScaleSheetLayoutView="180" workbookViewId="0"/>
  </sheetViews>
  <sheetFormatPr defaultColWidth="0" defaultRowHeight="0" customHeight="1" zeroHeight="1" x14ac:dyDescent="0.2"/>
  <cols>
    <col min="1" max="1" width="0.5546875" style="8" customWidth="1"/>
    <col min="2" max="2" width="9.88671875" style="430" customWidth="1"/>
    <col min="3" max="3" width="8.5546875" style="430" customWidth="1"/>
    <col min="4" max="4" width="7.33203125" style="430" customWidth="1"/>
    <col min="5" max="7" width="11" style="430" customWidth="1"/>
    <col min="8" max="8" width="7.33203125" style="430" customWidth="1"/>
    <col min="9" max="9" width="8.5546875" style="430" customWidth="1"/>
    <col min="10" max="10" width="6.33203125" style="8" customWidth="1"/>
    <col min="11" max="11" width="0.109375" style="8" customWidth="1"/>
    <col min="12" max="16384" width="8.88671875" style="8" hidden="1"/>
  </cols>
  <sheetData>
    <row r="1" spans="1:22" ht="15"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ht="15"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89" t="s">
        <v>302</v>
      </c>
      <c r="B4" s="389"/>
      <c r="C4" s="389"/>
      <c r="D4" s="389"/>
      <c r="E4" s="389"/>
      <c r="F4" s="389"/>
      <c r="G4" s="389"/>
      <c r="H4" s="389"/>
      <c r="I4" s="389"/>
      <c r="J4" s="389"/>
      <c r="K4" s="9"/>
      <c r="L4" s="9"/>
      <c r="N4" s="377"/>
      <c r="O4" s="377"/>
      <c r="P4" s="377"/>
      <c r="Q4" s="377"/>
      <c r="R4" s="377"/>
      <c r="S4" s="377"/>
      <c r="T4" s="377"/>
      <c r="U4" s="377"/>
      <c r="V4" s="377"/>
    </row>
    <row r="5" spans="1:22" ht="21" customHeight="1" x14ac:dyDescent="0.2">
      <c r="A5" s="389"/>
      <c r="B5" s="389"/>
      <c r="C5" s="389"/>
      <c r="D5" s="389"/>
      <c r="E5" s="389"/>
      <c r="F5" s="389"/>
      <c r="G5" s="389"/>
      <c r="H5" s="389"/>
      <c r="I5" s="389"/>
      <c r="J5" s="389"/>
      <c r="K5" s="9"/>
      <c r="L5" s="9"/>
      <c r="N5" s="378"/>
      <c r="O5" s="378"/>
      <c r="P5" s="378"/>
      <c r="Q5" s="378"/>
      <c r="R5" s="378"/>
      <c r="S5" s="378"/>
      <c r="T5" s="378"/>
      <c r="U5" s="12"/>
      <c r="V5" s="12"/>
    </row>
    <row r="6" spans="1:22" ht="22.5" customHeight="1" x14ac:dyDescent="0.2">
      <c r="A6" s="389"/>
      <c r="B6" s="389"/>
      <c r="C6" s="389"/>
      <c r="D6" s="389"/>
      <c r="E6" s="389"/>
      <c r="F6" s="389"/>
      <c r="G6" s="389"/>
      <c r="H6" s="389"/>
      <c r="I6" s="389"/>
      <c r="J6" s="389"/>
      <c r="K6" s="9"/>
      <c r="L6" s="9"/>
      <c r="N6" s="13"/>
      <c r="O6" s="12"/>
      <c r="P6" s="12"/>
      <c r="Q6" s="12"/>
      <c r="R6" s="12"/>
      <c r="S6" s="12"/>
      <c r="T6" s="12"/>
      <c r="U6" s="12"/>
      <c r="V6" s="12"/>
    </row>
    <row r="7" spans="1:22" ht="2.25" customHeight="1" x14ac:dyDescent="0.2">
      <c r="A7" s="389"/>
      <c r="B7" s="389"/>
      <c r="C7" s="389"/>
      <c r="D7" s="389"/>
      <c r="E7" s="389"/>
      <c r="F7" s="389"/>
      <c r="G7" s="389"/>
      <c r="H7" s="389"/>
      <c r="I7" s="389"/>
      <c r="J7" s="389"/>
      <c r="K7" s="9"/>
      <c r="L7" s="9"/>
      <c r="N7" s="14"/>
      <c r="O7" s="12"/>
      <c r="P7" s="12"/>
      <c r="Q7" s="12"/>
      <c r="R7" s="12"/>
      <c r="S7" s="12"/>
      <c r="T7" s="12"/>
      <c r="U7" s="12"/>
      <c r="V7" s="12"/>
    </row>
    <row r="8" spans="1:22" ht="16.5" customHeight="1" x14ac:dyDescent="0.25">
      <c r="A8" s="400" t="str">
        <f>"Showing data for: "&amp;VLOOKUP('Lookup data'!A110,'Lookup data'!B110:C117,2,FALSE)</f>
        <v>Showing data for: Wales</v>
      </c>
      <c r="B8" s="400"/>
      <c r="C8" s="400"/>
      <c r="D8" s="400"/>
      <c r="E8" s="400"/>
      <c r="F8" s="400"/>
      <c r="G8" s="400"/>
      <c r="H8" s="400"/>
      <c r="I8" s="400"/>
      <c r="J8" s="400"/>
      <c r="K8" s="9"/>
      <c r="L8" s="9"/>
      <c r="N8" s="14"/>
      <c r="O8" s="12"/>
      <c r="P8" s="12"/>
      <c r="Q8" s="12"/>
      <c r="R8" s="12"/>
      <c r="S8" s="12"/>
      <c r="T8" s="12"/>
      <c r="U8" s="12"/>
      <c r="V8" s="12"/>
    </row>
    <row r="9" spans="1:22" ht="15.75"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9"/>
      <c r="L9" s="9"/>
      <c r="N9" s="14"/>
      <c r="O9" s="12"/>
      <c r="P9" s="12"/>
      <c r="Q9" s="12"/>
      <c r="R9" s="12"/>
      <c r="S9" s="12"/>
      <c r="T9" s="12"/>
      <c r="U9" s="12"/>
      <c r="V9" s="12"/>
    </row>
    <row r="10" spans="1:22" ht="15" customHeight="1" x14ac:dyDescent="0.2">
      <c r="A10" s="9"/>
      <c r="B10" s="33"/>
      <c r="C10" s="33"/>
      <c r="D10" s="33"/>
      <c r="E10" s="33"/>
      <c r="F10" s="33"/>
      <c r="G10" s="33"/>
      <c r="H10" s="33"/>
      <c r="I10" s="33"/>
      <c r="J10" s="9"/>
      <c r="K10" s="9"/>
      <c r="L10" s="9"/>
      <c r="N10" s="13"/>
      <c r="O10" s="15"/>
      <c r="P10" s="15"/>
      <c r="Q10" s="15"/>
      <c r="R10" s="15"/>
      <c r="S10" s="15"/>
      <c r="T10" s="15"/>
      <c r="U10" s="15"/>
      <c r="V10" s="12"/>
    </row>
    <row r="11" spans="1:22" ht="15" customHeight="1" x14ac:dyDescent="0.2">
      <c r="A11" s="9"/>
      <c r="B11" s="33"/>
      <c r="C11" s="33"/>
      <c r="D11" s="33"/>
      <c r="E11" s="33"/>
      <c r="F11" s="33"/>
      <c r="G11" s="48"/>
      <c r="H11" s="48"/>
      <c r="I11" s="48"/>
      <c r="J11" s="48"/>
      <c r="K11" s="9"/>
      <c r="L11" s="9"/>
      <c r="N11" s="14"/>
      <c r="O11" s="15"/>
      <c r="P11" s="15"/>
      <c r="Q11" s="15"/>
      <c r="R11" s="15"/>
      <c r="S11" s="15"/>
      <c r="T11" s="15"/>
      <c r="U11" s="15"/>
      <c r="V11" s="12"/>
    </row>
    <row r="12" spans="1:22" ht="24.75" customHeight="1" x14ac:dyDescent="0.2">
      <c r="A12" s="9"/>
      <c r="B12" s="431"/>
      <c r="C12" s="431"/>
      <c r="D12" s="431"/>
      <c r="E12" s="431"/>
      <c r="F12" s="431"/>
      <c r="G12" s="431"/>
      <c r="H12" s="432">
        <f>'Button control data'!J49</f>
        <v>0.53846153846153844</v>
      </c>
      <c r="I12" s="432"/>
      <c r="J12" s="432"/>
      <c r="K12" s="9"/>
      <c r="L12" s="9"/>
      <c r="N12" s="13"/>
      <c r="O12" s="15"/>
      <c r="P12" s="15"/>
      <c r="Q12" s="15"/>
      <c r="R12" s="15"/>
      <c r="S12" s="15"/>
      <c r="T12" s="15"/>
      <c r="U12" s="15"/>
      <c r="V12" s="12"/>
    </row>
    <row r="13" spans="1:22" ht="15" customHeight="1" x14ac:dyDescent="0.2">
      <c r="B13" s="210"/>
      <c r="C13" s="210"/>
      <c r="D13" s="210"/>
      <c r="E13" s="210"/>
      <c r="F13" s="210"/>
      <c r="G13" s="210"/>
      <c r="H13" s="432"/>
      <c r="I13" s="432"/>
      <c r="J13" s="432"/>
      <c r="K13" s="9"/>
      <c r="L13" s="9"/>
      <c r="N13" s="16"/>
      <c r="O13" s="17"/>
      <c r="P13" s="17"/>
      <c r="Q13" s="17"/>
      <c r="R13" s="17"/>
      <c r="S13" s="17"/>
      <c r="T13" s="17"/>
      <c r="U13" s="17"/>
      <c r="V13" s="17"/>
    </row>
    <row r="14" spans="1:22" ht="15.75" customHeight="1" x14ac:dyDescent="0.2">
      <c r="B14" s="33"/>
      <c r="C14" s="33"/>
      <c r="D14" s="33"/>
      <c r="E14" s="33"/>
      <c r="F14" s="33"/>
      <c r="G14" s="48"/>
      <c r="H14" s="432"/>
      <c r="I14" s="432"/>
      <c r="J14" s="432"/>
      <c r="K14" s="9"/>
      <c r="L14" s="9"/>
      <c r="N14" s="16"/>
      <c r="O14" s="17"/>
      <c r="P14" s="17"/>
      <c r="Q14" s="17"/>
      <c r="R14" s="17"/>
      <c r="S14" s="17"/>
      <c r="T14" s="17"/>
      <c r="U14" s="17"/>
      <c r="V14" s="17"/>
    </row>
    <row r="15" spans="1:22" ht="15" customHeight="1" x14ac:dyDescent="0.2">
      <c r="A15" s="22"/>
      <c r="B15" s="33"/>
      <c r="C15" s="33"/>
      <c r="D15" s="33"/>
      <c r="E15" s="33"/>
      <c r="F15" s="33"/>
      <c r="G15" s="48"/>
      <c r="H15" s="432"/>
      <c r="I15" s="432"/>
      <c r="J15" s="432"/>
      <c r="K15" s="9"/>
      <c r="L15" s="9"/>
      <c r="N15" s="16"/>
      <c r="O15" s="12"/>
      <c r="P15" s="12"/>
      <c r="Q15" s="12"/>
      <c r="R15" s="12"/>
      <c r="S15" s="12"/>
      <c r="T15" s="12"/>
      <c r="U15" s="12"/>
      <c r="V15" s="12"/>
    </row>
    <row r="16" spans="1:22" ht="15" customHeight="1" x14ac:dyDescent="0.2">
      <c r="A16" s="22"/>
      <c r="B16" s="33"/>
      <c r="C16" s="33"/>
      <c r="D16" s="33"/>
      <c r="E16" s="33"/>
      <c r="F16" s="33"/>
      <c r="G16" s="49"/>
      <c r="H16" s="433" t="s">
        <v>55</v>
      </c>
      <c r="I16" s="433"/>
      <c r="J16" s="433"/>
      <c r="K16" s="9"/>
      <c r="L16" s="9"/>
    </row>
    <row r="17" spans="1:19" ht="15" customHeight="1" x14ac:dyDescent="0.2">
      <c r="A17" s="22"/>
      <c r="B17" s="33"/>
      <c r="C17" s="33"/>
      <c r="D17" s="33"/>
      <c r="E17" s="33"/>
      <c r="F17" s="33"/>
      <c r="G17" s="49"/>
      <c r="H17" s="433"/>
      <c r="I17" s="433"/>
      <c r="J17" s="433"/>
      <c r="K17" s="9"/>
      <c r="L17" s="9"/>
    </row>
    <row r="18" spans="1:19" ht="15" customHeight="1" x14ac:dyDescent="0.2">
      <c r="A18" s="22"/>
      <c r="B18" s="33"/>
      <c r="C18" s="33"/>
      <c r="D18" s="33"/>
      <c r="E18" s="33"/>
      <c r="F18" s="33"/>
      <c r="G18" s="49"/>
      <c r="H18" s="425" t="s">
        <v>305</v>
      </c>
      <c r="I18" s="425"/>
      <c r="J18" s="425"/>
      <c r="K18" s="9"/>
      <c r="L18" s="9"/>
      <c r="S18" s="18"/>
    </row>
    <row r="19" spans="1:19" ht="15" customHeight="1" x14ac:dyDescent="0.2">
      <c r="A19" s="22"/>
      <c r="B19" s="33"/>
      <c r="C19" s="33"/>
      <c r="D19" s="33"/>
      <c r="E19" s="33"/>
      <c r="F19" s="33"/>
      <c r="G19" s="46"/>
      <c r="H19" s="425"/>
      <c r="I19" s="425"/>
      <c r="J19" s="425"/>
      <c r="K19" s="9"/>
      <c r="L19" s="9"/>
    </row>
    <row r="20" spans="1:19" ht="25.5" customHeight="1" x14ac:dyDescent="0.2">
      <c r="A20" s="22"/>
      <c r="B20" s="33"/>
      <c r="C20" s="33"/>
      <c r="D20" s="33"/>
      <c r="E20" s="33"/>
      <c r="F20" s="33"/>
      <c r="G20" s="46"/>
      <c r="H20" s="434" t="s">
        <v>306</v>
      </c>
      <c r="I20" s="434"/>
      <c r="J20" s="434"/>
      <c r="K20" s="9"/>
      <c r="L20" s="9"/>
    </row>
    <row r="21" spans="1:19" ht="18" customHeight="1" x14ac:dyDescent="0.2">
      <c r="A21" s="22"/>
      <c r="B21" s="33"/>
      <c r="C21" s="33"/>
      <c r="D21" s="33"/>
      <c r="E21" s="33"/>
      <c r="F21" s="33"/>
      <c r="G21" s="50"/>
      <c r="H21" s="439" t="str">
        <f>'Button control data'!K50</f>
        <v>in Wales</v>
      </c>
      <c r="I21" s="439"/>
      <c r="J21" s="439"/>
      <c r="K21" s="9"/>
      <c r="L21" s="9"/>
    </row>
    <row r="22" spans="1:19" ht="15" customHeight="1" x14ac:dyDescent="0.2">
      <c r="A22" s="22"/>
      <c r="B22" s="33"/>
      <c r="C22" s="33"/>
      <c r="D22" s="33"/>
      <c r="E22" s="33"/>
      <c r="F22" s="33"/>
      <c r="G22" s="51"/>
      <c r="H22" s="435" t="s">
        <v>307</v>
      </c>
      <c r="I22" s="435"/>
      <c r="J22" s="435"/>
      <c r="K22" s="9"/>
      <c r="L22" s="9"/>
    </row>
    <row r="23" spans="1:19" ht="20.25" customHeight="1" x14ac:dyDescent="0.2">
      <c r="A23" s="22"/>
      <c r="B23" s="22"/>
      <c r="C23" s="22"/>
      <c r="D23" s="22"/>
      <c r="E23" s="53"/>
      <c r="F23" s="76"/>
      <c r="G23" s="52"/>
      <c r="H23" s="436" t="str">
        <f>'Button control data'!K49</f>
        <v>female</v>
      </c>
      <c r="I23" s="437"/>
      <c r="J23" s="437"/>
      <c r="K23" s="9"/>
      <c r="L23" s="9"/>
    </row>
    <row r="24" spans="1:19" ht="15" customHeight="1" x14ac:dyDescent="0.25">
      <c r="A24" s="33"/>
      <c r="B24" s="33"/>
      <c r="C24" s="61"/>
      <c r="D24" s="61"/>
      <c r="E24" s="61"/>
      <c r="F24" s="61"/>
      <c r="G24" s="61"/>
      <c r="H24" s="438" t="s">
        <v>310</v>
      </c>
      <c r="I24" s="438"/>
      <c r="J24" s="438"/>
      <c r="K24" s="9"/>
      <c r="L24" s="9"/>
    </row>
    <row r="25" spans="1:19" ht="15" customHeight="1" x14ac:dyDescent="0.25">
      <c r="A25" s="33"/>
      <c r="B25" s="33"/>
      <c r="C25" s="33"/>
      <c r="D25" s="33"/>
      <c r="E25" s="33"/>
      <c r="F25" s="33"/>
      <c r="G25" s="33"/>
      <c r="H25" s="33"/>
      <c r="I25" s="33"/>
      <c r="J25" s="9"/>
      <c r="K25" s="9"/>
      <c r="L25" s="9"/>
    </row>
    <row r="26" spans="1:19" ht="14.25" customHeight="1" x14ac:dyDescent="0.2">
      <c r="A26" s="33"/>
      <c r="B26" s="430" t="str">
        <f>'Button control data'!L49</f>
        <v>The number of male ophthalmic practitioners in Wales in 2016 decreased from the figure in 2015 while the number of females increased. This lead to an overall increase in the number of ophthalmic practitioners in Wales in 2016.</v>
      </c>
      <c r="J26" s="9"/>
      <c r="K26" s="9"/>
      <c r="L26" s="9"/>
    </row>
    <row r="27" spans="1:19" ht="15" customHeight="1" x14ac:dyDescent="0.2">
      <c r="A27" s="9"/>
      <c r="J27" s="9"/>
      <c r="K27" s="9"/>
      <c r="L27" s="9"/>
    </row>
  </sheetData>
  <sheetProtection password="E69E" sheet="1" objects="1" scenarios="1"/>
  <mergeCells count="15">
    <mergeCell ref="B26:I1048576"/>
    <mergeCell ref="B12:G12"/>
    <mergeCell ref="H12:J15"/>
    <mergeCell ref="H16:J17"/>
    <mergeCell ref="H18:J19"/>
    <mergeCell ref="H20:J20"/>
    <mergeCell ref="H22:J22"/>
    <mergeCell ref="H23:J23"/>
    <mergeCell ref="H24:J24"/>
    <mergeCell ref="H21:J21"/>
    <mergeCell ref="N3:V4"/>
    <mergeCell ref="N5:T5"/>
    <mergeCell ref="A8:J8"/>
    <mergeCell ref="A9:J9"/>
    <mergeCell ref="A4:J7"/>
  </mergeCells>
  <hyperlinks>
    <hyperlink ref="A9:J9" location="'Select Health Board'!A1" display="Click here to select a different health board"/>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Drop Down 1">
              <controlPr defaultSize="0" autoLine="0" autoPict="0">
                <anchor moveWithCells="1">
                  <from>
                    <xdr:col>1</xdr:col>
                    <xdr:colOff>95250</xdr:colOff>
                    <xdr:row>9</xdr:row>
                    <xdr:rowOff>161925</xdr:rowOff>
                  </from>
                  <to>
                    <xdr:col>7</xdr:col>
                    <xdr:colOff>28575</xdr:colOff>
                    <xdr:row>10</xdr:row>
                    <xdr:rowOff>161925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DE7FF"/>
    <pageSetUpPr fitToPage="1"/>
  </sheetPr>
  <dimension ref="A1:V27"/>
  <sheetViews>
    <sheetView showRowColHeaders="0" zoomScaleNormal="100" zoomScaleSheetLayoutView="180" workbookViewId="0"/>
  </sheetViews>
  <sheetFormatPr defaultColWidth="0" defaultRowHeight="0" customHeight="1" zeroHeight="1" x14ac:dyDescent="0.2"/>
  <cols>
    <col min="1" max="1" width="0.5546875" style="8" customWidth="1"/>
    <col min="2" max="2" width="9.88671875" style="33" customWidth="1"/>
    <col min="3" max="3" width="8.5546875" style="33" customWidth="1"/>
    <col min="4" max="4" width="7.33203125" style="33" customWidth="1"/>
    <col min="5" max="7" width="11" style="33" customWidth="1"/>
    <col min="8" max="8" width="7.33203125" style="33" customWidth="1"/>
    <col min="9" max="9" width="8.5546875" style="33" customWidth="1"/>
    <col min="10" max="10" width="6.33203125" style="8" customWidth="1"/>
    <col min="11" max="11" width="0.109375" style="8" customWidth="1"/>
    <col min="12" max="16384" width="8.88671875" style="8" hidden="1"/>
  </cols>
  <sheetData>
    <row r="1" spans="1:22" ht="15"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ht="15"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90" t="s">
        <v>668</v>
      </c>
      <c r="B4" s="390"/>
      <c r="C4" s="390"/>
      <c r="D4" s="390"/>
      <c r="E4" s="390"/>
      <c r="F4" s="390"/>
      <c r="G4" s="390"/>
      <c r="H4" s="390"/>
      <c r="I4" s="390"/>
      <c r="J4" s="390"/>
      <c r="K4" s="9"/>
      <c r="L4" s="9"/>
      <c r="N4" s="377"/>
      <c r="O4" s="377"/>
      <c r="P4" s="377"/>
      <c r="Q4" s="377"/>
      <c r="R4" s="377"/>
      <c r="S4" s="377"/>
      <c r="T4" s="377"/>
      <c r="U4" s="377"/>
      <c r="V4" s="377"/>
    </row>
    <row r="5" spans="1:22" ht="21" customHeight="1" x14ac:dyDescent="0.2">
      <c r="A5" s="390"/>
      <c r="B5" s="390"/>
      <c r="C5" s="390"/>
      <c r="D5" s="390"/>
      <c r="E5" s="390"/>
      <c r="F5" s="390"/>
      <c r="G5" s="390"/>
      <c r="H5" s="390"/>
      <c r="I5" s="390"/>
      <c r="J5" s="390"/>
      <c r="K5" s="9"/>
      <c r="L5" s="9"/>
      <c r="N5" s="378"/>
      <c r="O5" s="378"/>
      <c r="P5" s="378"/>
      <c r="Q5" s="378"/>
      <c r="R5" s="378"/>
      <c r="S5" s="378"/>
      <c r="T5" s="378"/>
      <c r="U5" s="12"/>
      <c r="V5" s="12"/>
    </row>
    <row r="6" spans="1:22" ht="39" customHeight="1" x14ac:dyDescent="0.2">
      <c r="A6" s="422" t="s">
        <v>669</v>
      </c>
      <c r="B6" s="422"/>
      <c r="C6" s="422"/>
      <c r="D6" s="422"/>
      <c r="E6" s="422"/>
      <c r="F6" s="422"/>
      <c r="G6" s="422"/>
      <c r="H6" s="422"/>
      <c r="I6" s="422"/>
      <c r="J6" s="422"/>
      <c r="K6" s="9"/>
      <c r="L6" s="9"/>
      <c r="N6" s="13"/>
      <c r="O6" s="12"/>
      <c r="P6" s="12"/>
      <c r="Q6" s="12"/>
      <c r="R6" s="12"/>
      <c r="S6" s="12"/>
      <c r="T6" s="12"/>
      <c r="U6" s="12"/>
      <c r="V6" s="12"/>
    </row>
    <row r="7" spans="1:22" ht="2.25" customHeight="1" x14ac:dyDescent="0.2">
      <c r="A7" s="9"/>
      <c r="B7" s="9"/>
      <c r="C7" s="19"/>
      <c r="D7" s="291"/>
      <c r="E7" s="291"/>
      <c r="F7" s="291"/>
      <c r="G7" s="291"/>
      <c r="H7" s="291"/>
      <c r="I7" s="9"/>
      <c r="J7" s="9"/>
      <c r="K7" s="9"/>
      <c r="L7" s="9"/>
      <c r="N7" s="14"/>
      <c r="O7" s="12"/>
      <c r="P7" s="12"/>
      <c r="Q7" s="12"/>
      <c r="R7" s="12"/>
      <c r="S7" s="12"/>
      <c r="T7" s="12"/>
      <c r="U7" s="12"/>
      <c r="V7" s="12"/>
    </row>
    <row r="8" spans="1:22" s="360" customFormat="1" ht="16.5" customHeight="1" x14ac:dyDescent="0.25">
      <c r="A8" s="400" t="str">
        <f>"Showing data for: "&amp;VLOOKUP('Lookup data'!A110,'Lookup data'!B110:C117,2,FALSE)</f>
        <v>Showing data for: Wales</v>
      </c>
      <c r="B8" s="400"/>
      <c r="C8" s="400"/>
      <c r="D8" s="400"/>
      <c r="E8" s="400"/>
      <c r="F8" s="400"/>
      <c r="G8" s="400"/>
      <c r="H8" s="400"/>
      <c r="I8" s="400"/>
      <c r="J8" s="400"/>
      <c r="K8" s="359"/>
      <c r="L8" s="359"/>
      <c r="N8" s="14"/>
      <c r="O8" s="12"/>
      <c r="P8" s="12"/>
      <c r="Q8" s="12"/>
      <c r="R8" s="12"/>
      <c r="S8" s="12"/>
      <c r="T8" s="12"/>
      <c r="U8" s="12"/>
      <c r="V8" s="12"/>
    </row>
    <row r="9" spans="1:22" s="401" customFormat="1" ht="15.75" customHeight="1" x14ac:dyDescent="0.2">
      <c r="A9" s="401" t="str">
        <f>IF(A8="Showing data for: Wales", "Click here to select a health board", "Click here to select Wales or a different health board")</f>
        <v>Click here to select a health board</v>
      </c>
    </row>
    <row r="10" spans="1:22" ht="15" customHeight="1" x14ac:dyDescent="0.2">
      <c r="A10" s="9"/>
      <c r="J10" s="9"/>
      <c r="K10" s="9"/>
      <c r="L10" s="9"/>
      <c r="N10" s="13"/>
      <c r="O10" s="15"/>
      <c r="P10" s="15"/>
      <c r="Q10" s="15"/>
      <c r="R10" s="15"/>
      <c r="S10" s="15"/>
      <c r="T10" s="15"/>
      <c r="U10" s="15"/>
      <c r="V10" s="12"/>
    </row>
    <row r="11" spans="1:22" ht="15" customHeight="1" x14ac:dyDescent="0.2">
      <c r="A11" s="9"/>
      <c r="G11" s="48"/>
      <c r="H11" s="48"/>
      <c r="I11" s="48"/>
      <c r="J11" s="48"/>
      <c r="K11" s="9"/>
      <c r="L11" s="9"/>
      <c r="N11" s="14"/>
      <c r="O11" s="15"/>
      <c r="P11" s="15"/>
      <c r="Q11" s="15"/>
      <c r="R11" s="15"/>
      <c r="S11" s="15"/>
      <c r="T11" s="15"/>
      <c r="U11" s="15"/>
      <c r="V11" s="12"/>
    </row>
    <row r="12" spans="1:22" ht="24.75" customHeight="1" x14ac:dyDescent="0.2">
      <c r="A12" s="9"/>
      <c r="B12" s="388" t="str">
        <f>'Button control data'!J59</f>
        <v>Chart 10a shows that the number of WTE ophthalmology doctors directly employed by the NHS in Wales has decreased since 2012. In 2016 there were 137.7 WTE ophthalmology doctors directly employed by this NHS in Wales which is 3.6 more than in 2015.</v>
      </c>
      <c r="C12" s="388"/>
      <c r="D12" s="388"/>
      <c r="E12" s="212"/>
      <c r="F12" s="212"/>
      <c r="G12" s="212"/>
      <c r="H12" s="48"/>
      <c r="I12" s="48"/>
      <c r="J12" s="48"/>
      <c r="K12" s="9"/>
      <c r="L12" s="9"/>
      <c r="N12" s="13"/>
      <c r="O12" s="15"/>
      <c r="P12" s="15"/>
      <c r="Q12" s="15"/>
      <c r="R12" s="15"/>
      <c r="S12" s="15"/>
      <c r="T12" s="15"/>
      <c r="U12" s="15"/>
      <c r="V12" s="12"/>
    </row>
    <row r="13" spans="1:22" ht="15" customHeight="1" x14ac:dyDescent="0.2">
      <c r="B13" s="388"/>
      <c r="C13" s="388"/>
      <c r="D13" s="388"/>
      <c r="E13" s="210"/>
      <c r="F13" s="210"/>
      <c r="G13" s="210"/>
      <c r="H13" s="48"/>
      <c r="I13" s="48"/>
      <c r="J13" s="48"/>
      <c r="K13" s="9"/>
      <c r="L13" s="9"/>
      <c r="N13" s="16"/>
      <c r="O13" s="17"/>
      <c r="P13" s="17"/>
      <c r="Q13" s="17"/>
      <c r="R13" s="17"/>
      <c r="S13" s="17"/>
      <c r="T13" s="17"/>
      <c r="U13" s="17"/>
      <c r="V13" s="17"/>
    </row>
    <row r="14" spans="1:22" ht="15.75" customHeight="1" x14ac:dyDescent="0.2">
      <c r="B14" s="388"/>
      <c r="C14" s="388"/>
      <c r="D14" s="388"/>
      <c r="G14" s="48"/>
      <c r="H14" s="48"/>
      <c r="I14" s="48"/>
      <c r="J14" s="48"/>
      <c r="K14" s="9"/>
      <c r="L14" s="9"/>
      <c r="N14" s="16"/>
      <c r="O14" s="17"/>
      <c r="P14" s="17"/>
      <c r="Q14" s="17"/>
      <c r="R14" s="17"/>
      <c r="S14" s="17"/>
      <c r="T14" s="17"/>
      <c r="U14" s="17"/>
      <c r="V14" s="17"/>
    </row>
    <row r="15" spans="1:22" ht="15" customHeight="1" x14ac:dyDescent="0.2">
      <c r="A15" s="22"/>
      <c r="B15" s="388"/>
      <c r="C15" s="388"/>
      <c r="D15" s="388"/>
      <c r="G15" s="48"/>
      <c r="H15" s="48"/>
      <c r="I15" s="48"/>
      <c r="J15" s="48"/>
      <c r="K15" s="9"/>
      <c r="L15" s="9"/>
      <c r="N15" s="16"/>
      <c r="O15" s="12"/>
      <c r="P15" s="12"/>
      <c r="Q15" s="12"/>
      <c r="R15" s="12"/>
      <c r="S15" s="12"/>
      <c r="T15" s="12"/>
      <c r="U15" s="12"/>
      <c r="V15" s="12"/>
    </row>
    <row r="16" spans="1:22" ht="15" customHeight="1" x14ac:dyDescent="0.2">
      <c r="A16" s="22"/>
      <c r="B16" s="388"/>
      <c r="C16" s="388"/>
      <c r="D16" s="388"/>
      <c r="G16" s="49"/>
      <c r="H16" s="49"/>
      <c r="I16" s="49"/>
      <c r="J16" s="49"/>
      <c r="K16" s="9"/>
      <c r="L16" s="9"/>
    </row>
    <row r="17" spans="1:19" ht="15" customHeight="1" x14ac:dyDescent="0.2">
      <c r="A17" s="22"/>
      <c r="B17" s="388"/>
      <c r="C17" s="388"/>
      <c r="D17" s="388"/>
      <c r="G17" s="49"/>
      <c r="H17" s="49"/>
      <c r="I17" s="49"/>
      <c r="J17" s="49"/>
      <c r="K17" s="9"/>
      <c r="L17" s="9"/>
    </row>
    <row r="18" spans="1:19" ht="15" customHeight="1" x14ac:dyDescent="0.2">
      <c r="A18" s="22"/>
      <c r="B18" s="388"/>
      <c r="C18" s="388"/>
      <c r="D18" s="388"/>
      <c r="G18" s="49"/>
      <c r="H18" s="49"/>
      <c r="I18" s="49"/>
      <c r="J18" s="49"/>
      <c r="K18" s="9"/>
      <c r="L18" s="9"/>
      <c r="S18" s="18"/>
    </row>
    <row r="19" spans="1:19" ht="15" customHeight="1" x14ac:dyDescent="0.2">
      <c r="A19" s="22"/>
      <c r="B19" s="388"/>
      <c r="C19" s="388"/>
      <c r="D19" s="388"/>
      <c r="G19" s="46"/>
      <c r="H19" s="46"/>
      <c r="I19" s="46"/>
      <c r="J19" s="46"/>
      <c r="K19" s="9"/>
      <c r="L19" s="9"/>
    </row>
    <row r="20" spans="1:19" ht="15.75" customHeight="1" x14ac:dyDescent="0.2">
      <c r="A20" s="22"/>
      <c r="B20" s="388"/>
      <c r="C20" s="388"/>
      <c r="D20" s="388"/>
      <c r="G20" s="46"/>
      <c r="H20" s="46"/>
      <c r="I20" s="46"/>
      <c r="J20" s="46"/>
      <c r="K20" s="9"/>
      <c r="L20" s="9"/>
    </row>
    <row r="21" spans="1:19" ht="15.75" customHeight="1" x14ac:dyDescent="0.2">
      <c r="A21" s="22"/>
      <c r="B21" s="388"/>
      <c r="C21" s="388"/>
      <c r="D21" s="388"/>
      <c r="G21" s="50"/>
      <c r="H21" s="50"/>
      <c r="I21" s="50"/>
      <c r="J21" s="50"/>
      <c r="K21" s="9"/>
      <c r="L21" s="9"/>
    </row>
    <row r="22" spans="1:19" ht="15" customHeight="1" x14ac:dyDescent="0.2">
      <c r="A22" s="22"/>
      <c r="B22" s="388"/>
      <c r="C22" s="388"/>
      <c r="D22" s="388"/>
      <c r="G22" s="51"/>
      <c r="H22" s="51"/>
      <c r="I22" s="51"/>
      <c r="J22" s="51"/>
      <c r="K22" s="9"/>
      <c r="L22" s="9"/>
    </row>
    <row r="23" spans="1:19" ht="15" customHeight="1" x14ac:dyDescent="0.2">
      <c r="A23" s="22"/>
      <c r="B23" s="388"/>
      <c r="C23" s="388"/>
      <c r="D23" s="388"/>
      <c r="E23" s="53"/>
      <c r="F23" s="207"/>
      <c r="G23" s="52"/>
      <c r="H23" s="52"/>
      <c r="I23" s="52"/>
      <c r="J23" s="52"/>
      <c r="K23" s="9"/>
      <c r="L23" s="9"/>
    </row>
    <row r="24" spans="1:19" ht="15" customHeight="1" x14ac:dyDescent="0.25">
      <c r="A24" s="33"/>
      <c r="C24" s="61"/>
      <c r="D24" s="61"/>
      <c r="E24" s="61"/>
      <c r="F24" s="61"/>
      <c r="G24" s="61"/>
      <c r="H24" s="61"/>
      <c r="I24" s="61"/>
      <c r="J24" s="9"/>
      <c r="K24" s="9"/>
      <c r="L24" s="9"/>
    </row>
    <row r="25" spans="1:19" ht="15" x14ac:dyDescent="0.25">
      <c r="A25" s="33"/>
      <c r="B25" s="23"/>
      <c r="C25" s="23"/>
      <c r="D25" s="23"/>
      <c r="E25" s="23"/>
      <c r="F25" s="23"/>
      <c r="G25" s="23"/>
      <c r="H25" s="23"/>
      <c r="I25" s="23"/>
      <c r="J25" s="9"/>
      <c r="K25" s="9"/>
      <c r="L25" s="9"/>
    </row>
    <row r="26" spans="1:19" ht="15" x14ac:dyDescent="0.25">
      <c r="A26" s="33"/>
      <c r="B26" s="23"/>
      <c r="C26" s="23"/>
      <c r="D26" s="23"/>
      <c r="E26" s="23"/>
      <c r="F26" s="23"/>
      <c r="G26" s="23"/>
      <c r="H26" s="23"/>
      <c r="I26" s="23"/>
      <c r="J26" s="9"/>
      <c r="K26" s="9"/>
      <c r="L26" s="9"/>
    </row>
    <row r="27" spans="1:19" ht="15" customHeight="1" x14ac:dyDescent="0.25">
      <c r="A27" s="9"/>
      <c r="B27" s="23"/>
      <c r="C27" s="23"/>
      <c r="D27" s="23"/>
      <c r="E27" s="23"/>
      <c r="F27" s="23"/>
      <c r="G27" s="23"/>
      <c r="H27" s="23"/>
      <c r="I27" s="23"/>
      <c r="J27" s="9"/>
      <c r="K27" s="9"/>
      <c r="L27" s="9"/>
    </row>
  </sheetData>
  <sheetProtection password="E69E" sheet="1" objects="1" scenarios="1"/>
  <mergeCells count="7">
    <mergeCell ref="B12:D23"/>
    <mergeCell ref="N3:V4"/>
    <mergeCell ref="N5:T5"/>
    <mergeCell ref="A8:J8"/>
    <mergeCell ref="A9:XFD9"/>
    <mergeCell ref="A4:J5"/>
    <mergeCell ref="A6:J6"/>
  </mergeCells>
  <hyperlinks>
    <hyperlink ref="A9:H9" location="'Select Health Board'!A1" display="'Select Health Board'!A1"/>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114300</xdr:colOff>
                    <xdr:row>9</xdr:row>
                    <xdr:rowOff>95250</xdr:rowOff>
                  </from>
                  <to>
                    <xdr:col>9</xdr:col>
                    <xdr:colOff>495300</xdr:colOff>
                    <xdr:row>10</xdr:row>
                    <xdr:rowOff>95250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CDDCFF"/>
    <pageSetUpPr fitToPage="1"/>
  </sheetPr>
  <dimension ref="A1:V27"/>
  <sheetViews>
    <sheetView showRowColHeaders="0" zoomScaleNormal="100" zoomScaleSheetLayoutView="180" workbookViewId="0"/>
  </sheetViews>
  <sheetFormatPr defaultColWidth="0" defaultRowHeight="0" customHeight="1" zeroHeight="1" x14ac:dyDescent="0.2"/>
  <cols>
    <col min="1" max="1" width="0.5546875" style="8" customWidth="1"/>
    <col min="2" max="2" width="9.88671875" style="33" customWidth="1"/>
    <col min="3" max="3" width="8.5546875" style="33" customWidth="1"/>
    <col min="4" max="4" width="7.33203125" style="33" customWidth="1"/>
    <col min="5" max="6" width="11" style="33" customWidth="1"/>
    <col min="7" max="7" width="5.5546875" style="33" customWidth="1"/>
    <col min="8" max="8" width="10.21875" style="33" customWidth="1"/>
    <col min="9" max="9" width="8.5546875" style="33" customWidth="1"/>
    <col min="10" max="10" width="9.109375" style="8" customWidth="1"/>
    <col min="11" max="11" width="0.109375" style="8" hidden="1" customWidth="1"/>
    <col min="12" max="16384" width="8.88671875" style="8" hidden="1"/>
  </cols>
  <sheetData>
    <row r="1" spans="1:22" ht="15"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ht="15"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89" t="s">
        <v>197</v>
      </c>
      <c r="B4" s="389"/>
      <c r="C4" s="389"/>
      <c r="D4" s="389"/>
      <c r="E4" s="389"/>
      <c r="F4" s="389"/>
      <c r="G4" s="389"/>
      <c r="H4" s="389"/>
      <c r="I4" s="389"/>
      <c r="J4" s="389"/>
      <c r="K4" s="9"/>
      <c r="L4" s="9"/>
      <c r="N4" s="377"/>
      <c r="O4" s="377"/>
      <c r="P4" s="377"/>
      <c r="Q4" s="377"/>
      <c r="R4" s="377"/>
      <c r="S4" s="377"/>
      <c r="T4" s="377"/>
      <c r="U4" s="377"/>
      <c r="V4" s="377"/>
    </row>
    <row r="5" spans="1:22" ht="21" customHeight="1" x14ac:dyDescent="0.2">
      <c r="A5" s="389"/>
      <c r="B5" s="389"/>
      <c r="C5" s="389"/>
      <c r="D5" s="389"/>
      <c r="E5" s="389"/>
      <c r="F5" s="389"/>
      <c r="G5" s="389"/>
      <c r="H5" s="389"/>
      <c r="I5" s="389"/>
      <c r="J5" s="389"/>
      <c r="K5" s="9"/>
      <c r="L5" s="9"/>
      <c r="N5" s="378"/>
      <c r="O5" s="378"/>
      <c r="P5" s="378"/>
      <c r="Q5" s="378"/>
      <c r="R5" s="378"/>
      <c r="S5" s="378"/>
      <c r="T5" s="378"/>
      <c r="U5" s="12"/>
      <c r="V5" s="12"/>
    </row>
    <row r="6" spans="1:22" ht="39" customHeight="1" x14ac:dyDescent="0.2">
      <c r="A6" s="389"/>
      <c r="B6" s="389"/>
      <c r="C6" s="389"/>
      <c r="D6" s="389"/>
      <c r="E6" s="389"/>
      <c r="F6" s="389"/>
      <c r="G6" s="389"/>
      <c r="H6" s="389"/>
      <c r="I6" s="389"/>
      <c r="J6" s="389"/>
      <c r="K6" s="9"/>
      <c r="L6" s="9"/>
      <c r="N6" s="13"/>
      <c r="O6" s="12"/>
      <c r="P6" s="12"/>
      <c r="Q6" s="12"/>
      <c r="R6" s="12"/>
      <c r="S6" s="12"/>
      <c r="T6" s="12"/>
      <c r="U6" s="12"/>
      <c r="V6" s="12"/>
    </row>
    <row r="7" spans="1:22" ht="2.25" customHeight="1" x14ac:dyDescent="0.2">
      <c r="A7" s="389"/>
      <c r="B7" s="389"/>
      <c r="C7" s="389"/>
      <c r="D7" s="389"/>
      <c r="E7" s="389"/>
      <c r="F7" s="389"/>
      <c r="G7" s="389"/>
      <c r="H7" s="389"/>
      <c r="I7" s="389"/>
      <c r="J7" s="389"/>
      <c r="K7" s="9"/>
      <c r="L7" s="9"/>
      <c r="N7" s="14"/>
      <c r="O7" s="12"/>
      <c r="P7" s="12"/>
      <c r="Q7" s="12"/>
      <c r="R7" s="12"/>
      <c r="S7" s="12"/>
      <c r="T7" s="12"/>
      <c r="U7" s="12"/>
      <c r="V7" s="12"/>
    </row>
    <row r="8" spans="1:22" ht="16.5" customHeight="1" x14ac:dyDescent="0.25">
      <c r="A8" s="400" t="str">
        <f>"Showing data for: "&amp;VLOOKUP('Lookup data'!A110,'Lookup data'!B110:C117,2,FALSE)</f>
        <v>Showing data for: Wales</v>
      </c>
      <c r="B8" s="400"/>
      <c r="C8" s="400"/>
      <c r="D8" s="400"/>
      <c r="E8" s="400"/>
      <c r="F8" s="400"/>
      <c r="G8" s="400"/>
      <c r="H8" s="400"/>
      <c r="I8" s="400"/>
      <c r="J8" s="400"/>
      <c r="K8" s="9"/>
      <c r="L8" s="9"/>
      <c r="N8" s="14"/>
      <c r="O8" s="12"/>
      <c r="P8" s="12"/>
      <c r="Q8" s="12"/>
      <c r="R8" s="12"/>
      <c r="S8" s="12"/>
      <c r="T8" s="12"/>
      <c r="U8" s="12"/>
      <c r="V8" s="12"/>
    </row>
    <row r="9" spans="1:22" ht="15.75"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9"/>
      <c r="L9" s="9"/>
      <c r="N9" s="14"/>
      <c r="O9" s="12"/>
      <c r="P9" s="12"/>
      <c r="Q9" s="12"/>
      <c r="R9" s="12"/>
      <c r="S9" s="12"/>
      <c r="T9" s="12"/>
      <c r="U9" s="12"/>
      <c r="V9" s="12"/>
    </row>
    <row r="10" spans="1:22" ht="15" customHeight="1" x14ac:dyDescent="0.2">
      <c r="A10" s="9"/>
      <c r="E10" s="48"/>
      <c r="F10" s="75"/>
      <c r="G10" s="75"/>
      <c r="H10" s="9"/>
      <c r="I10" s="9"/>
      <c r="J10" s="9"/>
      <c r="K10" s="9"/>
      <c r="L10" s="9"/>
      <c r="N10" s="13"/>
      <c r="O10" s="15"/>
      <c r="P10" s="15"/>
      <c r="Q10" s="15"/>
      <c r="R10" s="15"/>
      <c r="S10" s="15"/>
      <c r="T10" s="15"/>
      <c r="U10" s="15"/>
      <c r="V10" s="12"/>
    </row>
    <row r="11" spans="1:22" ht="15" customHeight="1" x14ac:dyDescent="0.2">
      <c r="A11" s="9"/>
      <c r="E11" s="48"/>
      <c r="F11" s="75"/>
      <c r="H11" s="393">
        <f>'Button control data'!H76</f>
        <v>29518</v>
      </c>
      <c r="I11" s="393"/>
      <c r="J11" s="393"/>
      <c r="K11" s="9"/>
      <c r="L11" s="9"/>
      <c r="N11" s="14"/>
      <c r="O11" s="15"/>
      <c r="P11" s="15"/>
      <c r="Q11" s="15"/>
      <c r="R11" s="15"/>
      <c r="S11" s="15"/>
      <c r="T11" s="15"/>
      <c r="U11" s="15"/>
      <c r="V11" s="12"/>
    </row>
    <row r="12" spans="1:22" ht="15.75" customHeight="1" x14ac:dyDescent="0.2">
      <c r="A12" s="9"/>
      <c r="E12" s="48"/>
      <c r="F12" s="75"/>
      <c r="H12" s="393"/>
      <c r="I12" s="393"/>
      <c r="J12" s="393"/>
      <c r="K12" s="9"/>
      <c r="L12" s="9"/>
      <c r="N12" s="13"/>
      <c r="O12" s="15"/>
      <c r="P12" s="15"/>
      <c r="Q12" s="15"/>
      <c r="R12" s="15"/>
      <c r="S12" s="15"/>
      <c r="T12" s="15"/>
      <c r="U12" s="15"/>
      <c r="V12" s="12"/>
    </row>
    <row r="13" spans="1:22" ht="15" customHeight="1" x14ac:dyDescent="0.2">
      <c r="E13" s="48"/>
      <c r="F13" s="75"/>
      <c r="H13" s="393"/>
      <c r="I13" s="393"/>
      <c r="J13" s="393"/>
      <c r="K13" s="9"/>
      <c r="L13" s="9"/>
      <c r="N13" s="16"/>
      <c r="O13" s="17"/>
      <c r="P13" s="17"/>
      <c r="Q13" s="17"/>
      <c r="R13" s="17"/>
      <c r="S13" s="17"/>
      <c r="T13" s="17"/>
      <c r="U13" s="17"/>
      <c r="V13" s="17"/>
    </row>
    <row r="14" spans="1:22" ht="14.25" customHeight="1" x14ac:dyDescent="0.2">
      <c r="E14" s="48"/>
      <c r="F14" s="75"/>
      <c r="H14" s="393"/>
      <c r="I14" s="393"/>
      <c r="J14" s="393"/>
      <c r="K14" s="9"/>
      <c r="L14" s="9"/>
      <c r="N14" s="16"/>
      <c r="O14" s="17"/>
      <c r="P14" s="17"/>
      <c r="Q14" s="17"/>
      <c r="R14" s="17"/>
      <c r="S14" s="17"/>
      <c r="T14" s="17"/>
      <c r="U14" s="17"/>
      <c r="V14" s="17"/>
    </row>
    <row r="15" spans="1:22" ht="4.5" customHeight="1" x14ac:dyDescent="0.2">
      <c r="A15" s="22"/>
      <c r="E15" s="49"/>
      <c r="F15" s="75"/>
      <c r="H15" s="433" t="s">
        <v>225</v>
      </c>
      <c r="I15" s="433"/>
      <c r="J15" s="433"/>
      <c r="K15" s="9"/>
      <c r="L15" s="9"/>
      <c r="N15" s="16"/>
      <c r="O15" s="12"/>
      <c r="P15" s="12"/>
      <c r="Q15" s="12"/>
      <c r="R15" s="12"/>
      <c r="S15" s="12"/>
      <c r="T15" s="12"/>
      <c r="U15" s="12"/>
      <c r="V15" s="12"/>
    </row>
    <row r="16" spans="1:22" ht="15" customHeight="1" x14ac:dyDescent="0.2">
      <c r="A16" s="22"/>
      <c r="E16" s="49"/>
      <c r="F16" s="75"/>
      <c r="H16" s="433"/>
      <c r="I16" s="433"/>
      <c r="J16" s="433"/>
      <c r="K16" s="9"/>
      <c r="L16" s="9"/>
    </row>
    <row r="17" spans="1:19" ht="21" customHeight="1" x14ac:dyDescent="0.2">
      <c r="A17" s="22"/>
      <c r="E17" s="49"/>
      <c r="F17" s="75"/>
      <c r="H17" s="433"/>
      <c r="I17" s="433"/>
      <c r="J17" s="433"/>
      <c r="K17" s="9"/>
      <c r="L17" s="9"/>
    </row>
    <row r="18" spans="1:19" ht="15" customHeight="1" x14ac:dyDescent="0.2">
      <c r="A18" s="22"/>
      <c r="E18" s="46"/>
      <c r="F18" s="46"/>
      <c r="H18" s="441" t="str">
        <f>'Button control data'!I76</f>
        <v>Wales</v>
      </c>
      <c r="I18" s="441"/>
      <c r="J18" s="441"/>
      <c r="K18" s="9"/>
      <c r="L18" s="9"/>
      <c r="S18" s="18"/>
    </row>
    <row r="19" spans="1:19" ht="19.5" customHeight="1" x14ac:dyDescent="0.2">
      <c r="A19" s="22"/>
      <c r="E19" s="46"/>
      <c r="F19" s="46"/>
      <c r="H19" s="441"/>
      <c r="I19" s="441"/>
      <c r="J19" s="441"/>
      <c r="K19" s="9"/>
      <c r="L19" s="9"/>
    </row>
    <row r="20" spans="1:19" ht="23.25" customHeight="1" x14ac:dyDescent="0.2">
      <c r="A20" s="22"/>
      <c r="E20" s="50"/>
      <c r="F20" s="75"/>
      <c r="H20" s="424" t="s">
        <v>226</v>
      </c>
      <c r="I20" s="424"/>
      <c r="J20" s="424"/>
      <c r="K20" s="9"/>
      <c r="L20" s="9"/>
    </row>
    <row r="21" spans="1:19" ht="19.5" customHeight="1" x14ac:dyDescent="0.2">
      <c r="A21" s="22"/>
      <c r="E21" s="51"/>
      <c r="F21" s="79"/>
      <c r="H21" s="426" t="str">
        <f>'Button control data'!J76</f>
        <v>sight impaired,</v>
      </c>
      <c r="I21" s="426"/>
      <c r="J21" s="426"/>
      <c r="K21" s="9"/>
      <c r="L21" s="9"/>
    </row>
    <row r="22" spans="1:19" ht="14.25" customHeight="1" x14ac:dyDescent="0.2">
      <c r="A22" s="22"/>
      <c r="E22" s="52"/>
      <c r="H22" s="397" t="str">
        <f>'Button control data'!K76</f>
        <v>hearing impaired or both</v>
      </c>
      <c r="I22" s="397"/>
      <c r="J22" s="397"/>
      <c r="K22" s="9"/>
      <c r="L22" s="9"/>
    </row>
    <row r="23" spans="1:19" ht="15" customHeight="1" x14ac:dyDescent="0.2">
      <c r="A23" s="22"/>
      <c r="B23" s="22"/>
      <c r="C23" s="22"/>
      <c r="D23" s="22"/>
      <c r="E23" s="53"/>
      <c r="H23" s="361"/>
      <c r="I23" s="361"/>
      <c r="J23" s="359"/>
      <c r="K23" s="9"/>
      <c r="L23" s="9"/>
    </row>
    <row r="24" spans="1:19" ht="13.5" customHeight="1" x14ac:dyDescent="0.25">
      <c r="A24" s="33"/>
      <c r="C24" s="61"/>
      <c r="D24" s="61"/>
      <c r="E24" s="61"/>
      <c r="F24" s="61"/>
      <c r="G24" s="61"/>
      <c r="H24" s="61"/>
      <c r="I24" s="61"/>
      <c r="J24" s="9"/>
      <c r="K24" s="9"/>
      <c r="L24" s="9"/>
    </row>
    <row r="25" spans="1:19" ht="15" x14ac:dyDescent="0.25">
      <c r="A25" s="33"/>
      <c r="I25" s="23"/>
      <c r="J25" s="9"/>
      <c r="K25" s="9"/>
      <c r="L25" s="9"/>
    </row>
    <row r="26" spans="1:19" ht="15" customHeight="1" x14ac:dyDescent="0.2">
      <c r="A26" s="33"/>
      <c r="B26" s="440" t="s">
        <v>622</v>
      </c>
      <c r="C26" s="440"/>
      <c r="D26" s="440"/>
      <c r="G26" s="23"/>
      <c r="H26" s="23"/>
      <c r="I26" s="23"/>
      <c r="J26" s="9"/>
      <c r="K26" s="9"/>
      <c r="L26" s="9"/>
    </row>
    <row r="27" spans="1:19" ht="15" customHeight="1" x14ac:dyDescent="0.2">
      <c r="A27" s="9"/>
      <c r="B27" s="440"/>
      <c r="C27" s="440"/>
      <c r="D27" s="440"/>
      <c r="E27" s="23"/>
      <c r="F27" s="23"/>
      <c r="G27" s="23"/>
      <c r="H27" s="23"/>
      <c r="I27" s="23"/>
      <c r="J27" s="9"/>
      <c r="K27" s="9"/>
      <c r="L27" s="9"/>
    </row>
  </sheetData>
  <sheetProtection password="E69E" sheet="1" objects="1" scenarios="1"/>
  <mergeCells count="12">
    <mergeCell ref="B26:D27"/>
    <mergeCell ref="N3:V4"/>
    <mergeCell ref="N5:T5"/>
    <mergeCell ref="A8:J8"/>
    <mergeCell ref="A9:J9"/>
    <mergeCell ref="A4:J7"/>
    <mergeCell ref="H21:J21"/>
    <mergeCell ref="H22:J22"/>
    <mergeCell ref="H11:J14"/>
    <mergeCell ref="H15:J17"/>
    <mergeCell ref="H18:J19"/>
    <mergeCell ref="H20:J20"/>
  </mergeCells>
  <hyperlinks>
    <hyperlink ref="A9:J9" location="'Select Health Board'!A1" display="Click here to select a different health board"/>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1" r:id="rId4" name="Check Box 11">
              <controlPr defaultSize="0" autoFill="0" autoLine="0" autoPict="0">
                <anchor moveWithCells="1">
                  <from>
                    <xdr:col>4</xdr:col>
                    <xdr:colOff>57150</xdr:colOff>
                    <xdr:row>25</xdr:row>
                    <xdr:rowOff>85725</xdr:rowOff>
                  </from>
                  <to>
                    <xdr:col>5</xdr:col>
                    <xdr:colOff>66675</xdr:colOff>
                    <xdr:row>26</xdr:row>
                    <xdr:rowOff>114300</xdr:rowOff>
                  </to>
                </anchor>
              </controlPr>
            </control>
          </mc:Choice>
        </mc:AlternateContent>
        <mc:AlternateContent xmlns:mc="http://schemas.openxmlformats.org/markup-compatibility/2006">
          <mc:Choice Requires="x14">
            <control shapeId="40972" r:id="rId5" name="Check Box 12">
              <controlPr defaultSize="0" autoFill="0" autoLine="0" autoPict="0">
                <anchor moveWithCells="1">
                  <from>
                    <xdr:col>5</xdr:col>
                    <xdr:colOff>76200</xdr:colOff>
                    <xdr:row>25</xdr:row>
                    <xdr:rowOff>95250</xdr:rowOff>
                  </from>
                  <to>
                    <xdr:col>6</xdr:col>
                    <xdr:colOff>161925</xdr:colOff>
                    <xdr:row>26</xdr:row>
                    <xdr:rowOff>123825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ECCDFF"/>
    <pageSetUpPr autoPageBreaks="0"/>
  </sheetPr>
  <dimension ref="A1:V27"/>
  <sheetViews>
    <sheetView showRowColHeaders="0" zoomScaleNormal="100" workbookViewId="0"/>
  </sheetViews>
  <sheetFormatPr defaultColWidth="0" defaultRowHeight="15" zeroHeight="1" x14ac:dyDescent="0.2"/>
  <cols>
    <col min="1" max="1" width="0.5546875" style="8" customWidth="1"/>
    <col min="2" max="2" width="9.88671875" style="33" customWidth="1"/>
    <col min="3" max="3" width="8.5546875" style="33" customWidth="1"/>
    <col min="4" max="4" width="7.33203125" style="33" customWidth="1"/>
    <col min="5" max="7" width="11" style="33" customWidth="1"/>
    <col min="8" max="8" width="7.33203125" style="33" customWidth="1"/>
    <col min="9" max="9" width="8.5546875" style="33" customWidth="1"/>
    <col min="10" max="10" width="6.44140625" style="8" customWidth="1"/>
    <col min="11" max="11" width="0.109375" style="8" hidden="1"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x14ac:dyDescent="0.2">
      <c r="A3" s="9"/>
      <c r="B3" s="9"/>
      <c r="C3" s="9"/>
      <c r="D3" s="9"/>
      <c r="E3" s="9"/>
      <c r="F3" s="9"/>
      <c r="G3" s="9"/>
      <c r="H3" s="9"/>
      <c r="I3" s="9"/>
      <c r="J3" s="9"/>
      <c r="K3" s="9"/>
      <c r="L3" s="9"/>
      <c r="N3" s="256"/>
      <c r="O3" s="256"/>
      <c r="P3" s="256"/>
      <c r="Q3" s="256"/>
      <c r="R3" s="256"/>
      <c r="S3" s="256"/>
      <c r="T3" s="256"/>
      <c r="U3" s="256"/>
      <c r="V3" s="256"/>
    </row>
    <row r="4" spans="1:22" ht="15" customHeight="1" x14ac:dyDescent="0.2">
      <c r="A4" s="390" t="s">
        <v>670</v>
      </c>
      <c r="B4" s="390"/>
      <c r="C4" s="390"/>
      <c r="D4" s="390"/>
      <c r="E4" s="390"/>
      <c r="F4" s="390"/>
      <c r="G4" s="390"/>
      <c r="H4" s="390"/>
      <c r="I4" s="390"/>
      <c r="J4" s="390"/>
      <c r="K4" s="9"/>
      <c r="L4" s="9"/>
      <c r="N4" s="256"/>
      <c r="O4" s="256"/>
      <c r="P4" s="256"/>
      <c r="Q4" s="256"/>
      <c r="R4" s="256"/>
      <c r="S4" s="256"/>
      <c r="T4" s="256"/>
      <c r="U4" s="256"/>
      <c r="V4" s="256"/>
    </row>
    <row r="5" spans="1:22" ht="21" customHeight="1" x14ac:dyDescent="0.2">
      <c r="A5" s="390"/>
      <c r="B5" s="390"/>
      <c r="C5" s="390"/>
      <c r="D5" s="390"/>
      <c r="E5" s="390"/>
      <c r="F5" s="390"/>
      <c r="G5" s="390"/>
      <c r="H5" s="390"/>
      <c r="I5" s="390"/>
      <c r="J5" s="390"/>
      <c r="K5" s="9"/>
      <c r="L5" s="9"/>
      <c r="N5" s="78"/>
      <c r="O5" s="78"/>
      <c r="P5" s="78"/>
      <c r="Q5" s="78"/>
      <c r="R5" s="78"/>
      <c r="S5" s="78"/>
      <c r="T5" s="78"/>
      <c r="U5" s="12"/>
      <c r="V5" s="12"/>
    </row>
    <row r="6" spans="1:22" s="422" customFormat="1" ht="39" customHeight="1" x14ac:dyDescent="0.2">
      <c r="A6" s="422" t="s">
        <v>671</v>
      </c>
    </row>
    <row r="7" spans="1:22" s="422" customFormat="1" ht="2.25" customHeight="1" x14ac:dyDescent="0.2"/>
    <row r="8" spans="1:22" s="400" customFormat="1" ht="16.5" customHeight="1" x14ac:dyDescent="0.25">
      <c r="A8" s="400" t="str">
        <f>"Showing data for: "&amp;VLOOKUP('Lookup data'!A110,'Lookup data'!B110:C117,2,FALSE)</f>
        <v>Showing data for: Wales</v>
      </c>
    </row>
    <row r="9" spans="1:22" s="360" customFormat="1" ht="15.75" customHeight="1" x14ac:dyDescent="0.2">
      <c r="A9" s="401" t="str">
        <f>IF(A8="Showing data for: Wales", "Click here to select a health board", "Click here to select Wales or a different health board")</f>
        <v>Click here to select a health board</v>
      </c>
      <c r="B9" s="401"/>
      <c r="C9" s="401"/>
      <c r="D9" s="401"/>
      <c r="E9" s="401"/>
      <c r="F9" s="401"/>
      <c r="G9" s="401"/>
      <c r="H9" s="401"/>
      <c r="I9" s="401"/>
      <c r="J9" s="401"/>
      <c r="K9" s="359"/>
      <c r="L9" s="359"/>
      <c r="N9" s="14"/>
      <c r="O9" s="12"/>
      <c r="P9" s="12"/>
      <c r="Q9" s="12"/>
      <c r="R9" s="12"/>
      <c r="S9" s="12"/>
      <c r="T9" s="12"/>
      <c r="U9" s="12"/>
      <c r="V9" s="12"/>
    </row>
    <row r="10" spans="1:22" ht="15" customHeight="1" x14ac:dyDescent="0.2">
      <c r="A10" s="9"/>
      <c r="C10" s="357"/>
      <c r="D10" s="357"/>
      <c r="E10" s="48"/>
      <c r="F10" s="75"/>
      <c r="G10" s="75"/>
      <c r="H10" s="9"/>
      <c r="I10" s="9"/>
      <c r="J10" s="9"/>
      <c r="K10" s="9"/>
      <c r="L10" s="9"/>
      <c r="N10" s="13"/>
      <c r="O10" s="15"/>
      <c r="P10" s="15"/>
      <c r="Q10" s="15"/>
      <c r="R10" s="15"/>
      <c r="S10" s="15"/>
      <c r="T10" s="15"/>
      <c r="U10" s="15"/>
      <c r="V10" s="12"/>
    </row>
    <row r="11" spans="1:22" ht="15" customHeight="1" x14ac:dyDescent="0.2">
      <c r="A11" s="9"/>
      <c r="B11" s="357"/>
      <c r="C11" s="357"/>
      <c r="D11" s="357"/>
      <c r="E11" s="48"/>
      <c r="F11" s="75"/>
      <c r="G11" s="75"/>
      <c r="H11" s="9"/>
      <c r="I11" s="9"/>
      <c r="J11" s="9"/>
      <c r="K11" s="9"/>
      <c r="L11" s="9"/>
      <c r="N11" s="14"/>
      <c r="O11" s="15"/>
      <c r="P11" s="15"/>
      <c r="Q11" s="15"/>
      <c r="R11" s="15"/>
      <c r="S11" s="15"/>
      <c r="T11" s="15"/>
      <c r="U11" s="15"/>
      <c r="V11" s="12"/>
    </row>
    <row r="12" spans="1:22" ht="15.75" customHeight="1" x14ac:dyDescent="0.2">
      <c r="A12" s="9"/>
      <c r="B12" s="357"/>
      <c r="C12" s="357"/>
      <c r="D12" s="357"/>
      <c r="E12" s="48"/>
      <c r="F12" s="75"/>
      <c r="G12" s="75"/>
      <c r="H12" s="9"/>
      <c r="I12" s="9"/>
      <c r="J12" s="9"/>
      <c r="K12" s="9"/>
      <c r="L12" s="9"/>
      <c r="N12" s="13"/>
      <c r="O12" s="15"/>
      <c r="P12" s="15"/>
      <c r="Q12" s="15"/>
      <c r="R12" s="15"/>
      <c r="S12" s="15"/>
      <c r="T12" s="15"/>
      <c r="U12" s="15"/>
      <c r="V12" s="12"/>
    </row>
    <row r="13" spans="1:22" ht="15" customHeight="1" x14ac:dyDescent="0.2">
      <c r="B13" s="357"/>
      <c r="C13" s="357"/>
      <c r="D13" s="357"/>
      <c r="E13" s="48"/>
      <c r="F13" s="75"/>
      <c r="G13" s="75"/>
      <c r="H13" s="9"/>
      <c r="I13" s="9"/>
      <c r="J13" s="9"/>
      <c r="K13" s="9"/>
      <c r="L13" s="9"/>
      <c r="N13" s="16"/>
      <c r="O13" s="17"/>
      <c r="P13" s="17"/>
      <c r="Q13" s="17"/>
      <c r="R13" s="17"/>
      <c r="S13" s="17"/>
      <c r="T13" s="17"/>
      <c r="U13" s="17"/>
      <c r="V13" s="17"/>
    </row>
    <row r="14" spans="1:22" ht="15.75" customHeight="1" x14ac:dyDescent="0.2">
      <c r="C14" s="357"/>
      <c r="D14" s="357"/>
      <c r="E14" s="48"/>
      <c r="F14" s="75"/>
      <c r="G14" s="75"/>
      <c r="H14" s="9"/>
      <c r="I14" s="9"/>
      <c r="J14" s="9"/>
      <c r="K14" s="9"/>
      <c r="L14" s="9"/>
      <c r="N14" s="16"/>
      <c r="O14" s="17"/>
      <c r="P14" s="17"/>
      <c r="Q14" s="17"/>
      <c r="R14" s="17"/>
      <c r="S14" s="17"/>
      <c r="T14" s="17"/>
      <c r="U14" s="17"/>
      <c r="V14" s="17"/>
    </row>
    <row r="15" spans="1:22" ht="15" customHeight="1" x14ac:dyDescent="0.2">
      <c r="A15" s="22"/>
      <c r="B15" s="357"/>
      <c r="C15" s="357"/>
      <c r="D15" s="357"/>
      <c r="E15" s="49"/>
      <c r="F15" s="75"/>
      <c r="G15" s="75"/>
      <c r="H15" s="9"/>
      <c r="I15" s="9"/>
      <c r="J15" s="9"/>
      <c r="K15" s="9"/>
      <c r="L15" s="9"/>
      <c r="N15" s="16"/>
      <c r="O15" s="12"/>
      <c r="P15" s="12"/>
      <c r="Q15" s="12"/>
      <c r="R15" s="12"/>
      <c r="S15" s="12"/>
      <c r="T15" s="12"/>
      <c r="U15" s="12"/>
      <c r="V15" s="12"/>
    </row>
    <row r="16" spans="1:22" ht="15" customHeight="1" x14ac:dyDescent="0.2">
      <c r="A16" s="22"/>
      <c r="B16" s="442" t="str">
        <f>'Lookup data'!G85</f>
        <v>Chart 12 reveals that the number of people from Wales waiting for hearing aids for less than 8 weeks and for between 14 and 24 weeks have both increased since the previous year. While the other groups, between 8 and 14 weeks and more than 24 weeks, have both decreased.</v>
      </c>
      <c r="C16" s="442"/>
      <c r="D16" s="442"/>
      <c r="E16" s="49"/>
      <c r="F16" s="75"/>
      <c r="G16" s="75"/>
      <c r="H16" s="9"/>
      <c r="I16" s="9"/>
      <c r="J16" s="9"/>
      <c r="K16" s="9"/>
      <c r="L16" s="9"/>
    </row>
    <row r="17" spans="1:19" ht="15" customHeight="1" x14ac:dyDescent="0.2">
      <c r="A17" s="22"/>
      <c r="B17" s="442"/>
      <c r="C17" s="442"/>
      <c r="D17" s="442"/>
      <c r="E17" s="49"/>
      <c r="F17" s="75"/>
      <c r="G17" s="75"/>
      <c r="H17" s="9"/>
      <c r="I17" s="9"/>
      <c r="J17" s="9"/>
      <c r="K17" s="9"/>
      <c r="L17" s="9"/>
    </row>
    <row r="18" spans="1:19" ht="15" customHeight="1" x14ac:dyDescent="0.2">
      <c r="A18" s="22"/>
      <c r="B18" s="442"/>
      <c r="C18" s="442"/>
      <c r="D18" s="442"/>
      <c r="E18" s="46"/>
      <c r="F18" s="46"/>
      <c r="G18" s="46"/>
      <c r="H18" s="9"/>
      <c r="I18" s="9"/>
      <c r="J18" s="9"/>
      <c r="K18" s="9"/>
      <c r="L18" s="9"/>
      <c r="S18" s="18"/>
    </row>
    <row r="19" spans="1:19" ht="15" customHeight="1" x14ac:dyDescent="0.2">
      <c r="A19" s="22"/>
      <c r="B19" s="442"/>
      <c r="C19" s="442"/>
      <c r="D19" s="442"/>
      <c r="E19" s="46"/>
      <c r="F19" s="46"/>
      <c r="G19" s="46"/>
      <c r="H19" s="9"/>
      <c r="I19" s="9"/>
      <c r="J19" s="9"/>
      <c r="K19" s="9"/>
      <c r="L19" s="9"/>
    </row>
    <row r="20" spans="1:19" ht="22.5" customHeight="1" x14ac:dyDescent="0.2">
      <c r="A20" s="22"/>
      <c r="B20" s="442"/>
      <c r="C20" s="442"/>
      <c r="D20" s="442"/>
      <c r="E20" s="50"/>
      <c r="F20" s="75"/>
      <c r="G20" s="75"/>
      <c r="H20" s="9"/>
      <c r="I20" s="9"/>
      <c r="J20" s="9"/>
      <c r="K20" s="9"/>
      <c r="L20" s="9"/>
    </row>
    <row r="21" spans="1:19" ht="18" customHeight="1" x14ac:dyDescent="0.2">
      <c r="A21" s="22"/>
      <c r="B21" s="442"/>
      <c r="C21" s="442"/>
      <c r="D21" s="442"/>
      <c r="E21" s="51"/>
      <c r="F21" s="79"/>
      <c r="J21" s="9"/>
      <c r="K21" s="9"/>
      <c r="L21" s="9"/>
    </row>
    <row r="22" spans="1:19" ht="15" customHeight="1" x14ac:dyDescent="0.2">
      <c r="A22" s="22"/>
      <c r="B22" s="442"/>
      <c r="C22" s="442"/>
      <c r="D22" s="442"/>
      <c r="E22" s="52"/>
      <c r="J22" s="9"/>
      <c r="K22" s="9"/>
      <c r="L22" s="9"/>
    </row>
    <row r="23" spans="1:19" ht="15" customHeight="1" x14ac:dyDescent="0.2">
      <c r="A23" s="22"/>
      <c r="B23" s="442" t="str">
        <f>'Lookup data'!G86</f>
        <v>The target waiting time in Wales is 14 weeks and on 31 March 2017 the number patients waiting longer than 14 weeks reached a 5 year high in Wales.</v>
      </c>
      <c r="C23" s="442"/>
      <c r="D23" s="442"/>
      <c r="E23" s="53"/>
      <c r="J23" s="9"/>
      <c r="K23" s="9"/>
      <c r="L23" s="9"/>
    </row>
    <row r="24" spans="1:19" ht="15" customHeight="1" x14ac:dyDescent="0.2">
      <c r="A24" s="33"/>
      <c r="B24" s="442"/>
      <c r="C24" s="442"/>
      <c r="D24" s="442"/>
      <c r="E24" s="61"/>
      <c r="F24" s="61"/>
      <c r="G24" s="61"/>
      <c r="H24" s="61"/>
      <c r="I24" s="61"/>
      <c r="J24" s="9"/>
      <c r="K24" s="9"/>
      <c r="L24" s="9"/>
    </row>
    <row r="25" spans="1:19" x14ac:dyDescent="0.2">
      <c r="A25" s="33"/>
      <c r="B25" s="442"/>
      <c r="C25" s="442"/>
      <c r="D25" s="442"/>
      <c r="E25" s="23"/>
      <c r="F25" s="23"/>
      <c r="G25" s="23"/>
      <c r="H25" s="23"/>
      <c r="I25" s="23"/>
      <c r="J25" s="9"/>
      <c r="K25" s="9"/>
      <c r="L25" s="9"/>
    </row>
    <row r="26" spans="1:19" x14ac:dyDescent="0.2">
      <c r="A26" s="33"/>
      <c r="B26" s="442"/>
      <c r="C26" s="442"/>
      <c r="D26" s="442"/>
      <c r="E26" s="23"/>
      <c r="F26" s="23"/>
      <c r="G26" s="23"/>
      <c r="H26" s="23"/>
      <c r="I26" s="23"/>
      <c r="J26" s="9"/>
      <c r="K26" s="9"/>
      <c r="L26" s="9"/>
    </row>
    <row r="27" spans="1:19" ht="15" customHeight="1" x14ac:dyDescent="0.25">
      <c r="A27" s="9"/>
      <c r="B27" s="23"/>
      <c r="C27" s="23"/>
      <c r="D27" s="23"/>
      <c r="E27" s="23"/>
      <c r="F27" s="23"/>
      <c r="G27" s="23"/>
      <c r="H27" s="23"/>
      <c r="I27" s="23"/>
      <c r="J27" s="9"/>
      <c r="K27" s="9"/>
      <c r="L27" s="9"/>
    </row>
  </sheetData>
  <sheetProtection password="E69E" sheet="1" objects="1" scenarios="1"/>
  <mergeCells count="6">
    <mergeCell ref="B23:D26"/>
    <mergeCell ref="A4:J5"/>
    <mergeCell ref="A6:XFD7"/>
    <mergeCell ref="A8:XFD8"/>
    <mergeCell ref="A9:J9"/>
    <mergeCell ref="B16:D22"/>
  </mergeCells>
  <hyperlinks>
    <hyperlink ref="A9:H9" location="'Select Health Board'!A1" display="'Select Health Board'!A1"/>
  </hyperlinks>
  <pageMargins left="0.7" right="0.7" top="0.75" bottom="0.75" header="0.3" footer="0.3"/>
  <pageSetup paperSize="9" scale="90" orientation="landscape" horizontalDpi="300" verticalDpi="300" r:id="rId1"/>
  <colBreaks count="1" manualBreakCount="1">
    <brk id="49" max="1048575" man="1"/>
  </col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CCDFF"/>
    <pageSetUpPr autoPageBreaks="0"/>
  </sheetPr>
  <dimension ref="A1:V27"/>
  <sheetViews>
    <sheetView showRowColHeaders="0" zoomScaleNormal="100" workbookViewId="0"/>
  </sheetViews>
  <sheetFormatPr defaultColWidth="0" defaultRowHeight="15" customHeight="1" zeroHeight="1" x14ac:dyDescent="0.2"/>
  <cols>
    <col min="1" max="1" width="0.5546875" style="8" customWidth="1"/>
    <col min="2" max="2" width="9.88671875" style="33" customWidth="1"/>
    <col min="3" max="3" width="8.5546875" style="33" customWidth="1"/>
    <col min="4" max="4" width="7.33203125" style="33" customWidth="1"/>
    <col min="5" max="7" width="11" style="33" customWidth="1"/>
    <col min="8" max="8" width="7.33203125" style="33" customWidth="1"/>
    <col min="9" max="9" width="8.5546875" style="33" customWidth="1"/>
    <col min="10" max="10" width="6.33203125" style="8" customWidth="1"/>
    <col min="11" max="11" width="0.10937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90" t="s">
        <v>672</v>
      </c>
      <c r="B4" s="390"/>
      <c r="C4" s="390"/>
      <c r="D4" s="390"/>
      <c r="E4" s="390"/>
      <c r="F4" s="390"/>
      <c r="G4" s="390"/>
      <c r="H4" s="390"/>
      <c r="I4" s="390"/>
      <c r="J4" s="390"/>
      <c r="K4" s="9"/>
      <c r="L4" s="9"/>
      <c r="N4" s="377"/>
      <c r="O4" s="377"/>
      <c r="P4" s="377"/>
      <c r="Q4" s="377"/>
      <c r="R4" s="377"/>
      <c r="S4" s="377"/>
      <c r="T4" s="377"/>
      <c r="U4" s="377"/>
      <c r="V4" s="377"/>
    </row>
    <row r="5" spans="1:22" ht="21" customHeight="1" x14ac:dyDescent="0.2">
      <c r="A5" s="390"/>
      <c r="B5" s="390"/>
      <c r="C5" s="390"/>
      <c r="D5" s="390"/>
      <c r="E5" s="390"/>
      <c r="F5" s="390"/>
      <c r="G5" s="390"/>
      <c r="H5" s="390"/>
      <c r="I5" s="390"/>
      <c r="J5" s="390"/>
      <c r="K5" s="9"/>
      <c r="L5" s="9"/>
      <c r="N5" s="378"/>
      <c r="O5" s="378"/>
      <c r="P5" s="378"/>
      <c r="Q5" s="378"/>
      <c r="R5" s="378"/>
      <c r="S5" s="378"/>
      <c r="T5" s="378"/>
      <c r="U5" s="12"/>
      <c r="V5" s="12"/>
    </row>
    <row r="6" spans="1:22" ht="39" customHeight="1" x14ac:dyDescent="0.2">
      <c r="A6" s="422" t="s">
        <v>671</v>
      </c>
      <c r="B6" s="422"/>
      <c r="C6" s="422"/>
      <c r="D6" s="422"/>
      <c r="E6" s="422"/>
      <c r="F6" s="422"/>
      <c r="G6" s="422"/>
      <c r="H6" s="422"/>
      <c r="I6" s="422"/>
      <c r="J6" s="422"/>
      <c r="K6" s="9"/>
      <c r="L6" s="9"/>
      <c r="N6" s="13"/>
      <c r="O6" s="12"/>
      <c r="P6" s="12"/>
      <c r="Q6" s="12"/>
      <c r="R6" s="12"/>
      <c r="S6" s="12"/>
      <c r="T6" s="12"/>
      <c r="U6" s="12"/>
      <c r="V6" s="12"/>
    </row>
    <row r="7" spans="1:22" ht="2.25" customHeight="1" x14ac:dyDescent="0.2">
      <c r="A7" s="9"/>
      <c r="B7" s="9"/>
      <c r="C7" s="19"/>
      <c r="D7" s="291"/>
      <c r="E7" s="291"/>
      <c r="F7" s="291"/>
      <c r="G7" s="291"/>
      <c r="H7" s="291"/>
      <c r="I7" s="9"/>
      <c r="J7" s="9"/>
      <c r="K7" s="9"/>
      <c r="L7" s="9"/>
      <c r="N7" s="14"/>
      <c r="O7" s="12"/>
      <c r="P7" s="12"/>
      <c r="Q7" s="12"/>
      <c r="R7" s="12"/>
      <c r="S7" s="12"/>
      <c r="T7" s="12"/>
      <c r="U7" s="12"/>
      <c r="V7" s="12"/>
    </row>
    <row r="8" spans="1:22" s="400" customFormat="1" ht="16.5" customHeight="1" x14ac:dyDescent="0.25">
      <c r="A8" s="400" t="str">
        <f>"Showing data for: "&amp;VLOOKUP('Lookup data'!A110,'Lookup data'!B110:C117,2,FALSE)</f>
        <v>Showing data for: Wales</v>
      </c>
    </row>
    <row r="9" spans="1:22" s="360" customFormat="1" ht="13.5" customHeight="1" x14ac:dyDescent="0.2">
      <c r="A9" s="401" t="str">
        <f>IF(A8="Showing data for: Wales", "Click here to select a health board", "Click here to select Wales or a different health board")</f>
        <v>Click here to select a health board</v>
      </c>
      <c r="B9" s="401"/>
      <c r="C9" s="401"/>
      <c r="D9" s="401"/>
      <c r="E9" s="401"/>
      <c r="F9" s="401"/>
      <c r="G9" s="401"/>
      <c r="H9" s="401"/>
      <c r="I9" s="401"/>
      <c r="J9" s="401"/>
      <c r="K9" s="359"/>
      <c r="L9" s="359"/>
      <c r="N9" s="14"/>
      <c r="O9" s="12"/>
      <c r="P9" s="12"/>
      <c r="Q9" s="12"/>
      <c r="R9" s="12"/>
      <c r="S9" s="12"/>
      <c r="T9" s="12"/>
      <c r="U9" s="12"/>
      <c r="V9" s="12"/>
    </row>
    <row r="10" spans="1:22" ht="15" customHeight="1" x14ac:dyDescent="0.2">
      <c r="A10" s="9"/>
      <c r="B10" s="48"/>
      <c r="C10" s="48"/>
      <c r="D10" s="48"/>
      <c r="E10" s="48"/>
      <c r="F10" s="213"/>
      <c r="G10" s="213"/>
      <c r="H10" s="9"/>
      <c r="I10" s="9"/>
      <c r="J10" s="9"/>
      <c r="K10" s="9"/>
      <c r="L10" s="9"/>
      <c r="N10" s="13"/>
      <c r="O10" s="15"/>
      <c r="P10" s="15"/>
      <c r="Q10" s="15"/>
      <c r="R10" s="15"/>
      <c r="S10" s="15"/>
      <c r="T10" s="15"/>
      <c r="U10" s="15"/>
      <c r="V10" s="12"/>
    </row>
    <row r="11" spans="1:22" ht="13.5" customHeight="1" x14ac:dyDescent="0.2">
      <c r="A11" s="9"/>
      <c r="B11" s="48"/>
      <c r="C11" s="48"/>
      <c r="D11" s="48"/>
      <c r="E11" s="48"/>
      <c r="F11" s="213"/>
      <c r="G11" s="213"/>
      <c r="H11" s="9"/>
      <c r="I11" s="9"/>
      <c r="J11" s="9"/>
      <c r="K11" s="9"/>
      <c r="L11" s="9"/>
      <c r="N11" s="14"/>
      <c r="O11" s="15"/>
      <c r="P11" s="15"/>
      <c r="Q11" s="15"/>
      <c r="R11" s="15"/>
      <c r="S11" s="15"/>
      <c r="T11" s="15"/>
      <c r="U11" s="15"/>
      <c r="V11" s="12"/>
    </row>
    <row r="12" spans="1:22" ht="15.75" customHeight="1" x14ac:dyDescent="0.2">
      <c r="A12" s="9"/>
      <c r="B12" s="48"/>
      <c r="C12" s="48"/>
      <c r="D12" s="48"/>
      <c r="E12" s="48"/>
      <c r="F12" s="213"/>
      <c r="G12" s="213"/>
      <c r="H12" s="446">
        <f>'Button control data'!J93</f>
        <v>41790</v>
      </c>
      <c r="I12" s="446"/>
      <c r="J12" s="446"/>
      <c r="K12" s="9"/>
      <c r="L12" s="9"/>
      <c r="N12" s="13"/>
      <c r="O12" s="15"/>
      <c r="P12" s="15"/>
      <c r="Q12" s="15"/>
      <c r="R12" s="15"/>
      <c r="S12" s="15"/>
      <c r="T12" s="15"/>
      <c r="U12" s="15"/>
      <c r="V12" s="12"/>
    </row>
    <row r="13" spans="1:22" ht="13.5" customHeight="1" x14ac:dyDescent="0.2">
      <c r="B13" s="48"/>
      <c r="C13" s="48"/>
      <c r="D13" s="48"/>
      <c r="E13" s="48"/>
      <c r="F13" s="213"/>
      <c r="G13" s="213"/>
      <c r="H13" s="446"/>
      <c r="I13" s="446"/>
      <c r="J13" s="446"/>
      <c r="K13" s="9"/>
      <c r="L13" s="9"/>
      <c r="N13" s="16"/>
      <c r="O13" s="17"/>
      <c r="P13" s="17"/>
      <c r="Q13" s="17"/>
      <c r="R13" s="17"/>
      <c r="S13" s="17"/>
      <c r="T13" s="17"/>
      <c r="U13" s="17"/>
      <c r="V13" s="17"/>
    </row>
    <row r="14" spans="1:22" ht="15.75" customHeight="1" x14ac:dyDescent="0.2">
      <c r="B14" s="48"/>
      <c r="C14" s="48"/>
      <c r="D14" s="48"/>
      <c r="E14" s="48"/>
      <c r="F14" s="213"/>
      <c r="G14" s="213"/>
      <c r="H14" s="446"/>
      <c r="I14" s="446"/>
      <c r="J14" s="446"/>
      <c r="K14" s="9"/>
      <c r="L14" s="9"/>
      <c r="N14" s="16"/>
      <c r="O14" s="17"/>
      <c r="P14" s="17"/>
      <c r="Q14" s="17"/>
      <c r="R14" s="17"/>
      <c r="S14" s="17"/>
      <c r="T14" s="17"/>
      <c r="U14" s="17"/>
      <c r="V14" s="17"/>
    </row>
    <row r="15" spans="1:22" ht="15" customHeight="1" x14ac:dyDescent="0.2">
      <c r="A15" s="22"/>
      <c r="B15" s="49"/>
      <c r="C15" s="49"/>
      <c r="D15" s="49"/>
      <c r="E15" s="49"/>
      <c r="F15" s="213"/>
      <c r="G15" s="213"/>
      <c r="H15" s="443" t="str">
        <f>'Button control data'!K93</f>
        <v>patients in</v>
      </c>
      <c r="I15" s="443"/>
      <c r="J15" s="443"/>
      <c r="K15" s="9"/>
      <c r="L15" s="9"/>
      <c r="N15" s="16"/>
      <c r="O15" s="12"/>
      <c r="P15" s="12"/>
      <c r="Q15" s="12"/>
      <c r="R15" s="12"/>
      <c r="S15" s="12"/>
      <c r="T15" s="12"/>
      <c r="U15" s="12"/>
      <c r="V15" s="12"/>
    </row>
    <row r="16" spans="1:22" ht="15.75" customHeight="1" x14ac:dyDescent="0.2">
      <c r="A16" s="22"/>
      <c r="B16" s="49"/>
      <c r="C16" s="49"/>
      <c r="D16" s="49"/>
      <c r="E16" s="49"/>
      <c r="F16" s="213"/>
      <c r="G16" s="213"/>
      <c r="H16" s="443"/>
      <c r="I16" s="443"/>
      <c r="J16" s="443"/>
      <c r="K16" s="9"/>
      <c r="L16" s="9"/>
    </row>
    <row r="17" spans="1:19" ht="15" customHeight="1" x14ac:dyDescent="0.2">
      <c r="A17" s="22"/>
      <c r="B17" s="49"/>
      <c r="C17" s="49"/>
      <c r="D17" s="49"/>
      <c r="E17" s="49"/>
      <c r="F17" s="213"/>
      <c r="G17" s="213"/>
      <c r="H17" s="443"/>
      <c r="I17" s="443"/>
      <c r="J17" s="443"/>
      <c r="K17" s="9"/>
      <c r="L17" s="9"/>
    </row>
    <row r="18" spans="1:19" ht="20.25" customHeight="1" x14ac:dyDescent="0.2">
      <c r="A18" s="22"/>
      <c r="B18" s="46"/>
      <c r="C18" s="46"/>
      <c r="D18" s="46"/>
      <c r="E18" s="46"/>
      <c r="F18" s="46"/>
      <c r="G18" s="46"/>
      <c r="H18" s="444" t="str">
        <f>'Button control data'!L93</f>
        <v>Wales</v>
      </c>
      <c r="I18" s="444"/>
      <c r="J18" s="444"/>
      <c r="K18" s="9"/>
      <c r="L18" s="9"/>
      <c r="S18" s="18"/>
    </row>
    <row r="19" spans="1:19" ht="15" customHeight="1" x14ac:dyDescent="0.2">
      <c r="A19" s="22"/>
      <c r="B19" s="46"/>
      <c r="C19" s="46"/>
      <c r="D19" s="46"/>
      <c r="E19" s="46"/>
      <c r="F19" s="46"/>
      <c r="G19" s="46"/>
      <c r="H19" s="444"/>
      <c r="I19" s="444"/>
      <c r="J19" s="444"/>
      <c r="K19" s="9"/>
      <c r="L19" s="9"/>
    </row>
    <row r="20" spans="1:19" ht="22.5" customHeight="1" x14ac:dyDescent="0.2">
      <c r="A20" s="22"/>
      <c r="B20" s="50"/>
      <c r="C20" s="50"/>
      <c r="D20" s="50"/>
      <c r="E20" s="50"/>
      <c r="F20" s="213"/>
      <c r="G20" s="213"/>
      <c r="H20" s="445" t="str">
        <f>'Button control data'!M93</f>
        <v>were</v>
      </c>
      <c r="I20" s="445"/>
      <c r="J20" s="445"/>
      <c r="K20" s="9"/>
      <c r="L20" s="9"/>
    </row>
    <row r="21" spans="1:19" ht="21.75" customHeight="1" x14ac:dyDescent="0.2">
      <c r="A21" s="22"/>
      <c r="B21" s="51"/>
      <c r="C21" s="51"/>
      <c r="D21" s="51"/>
      <c r="E21" s="51"/>
      <c r="F21" s="79"/>
      <c r="H21" s="448" t="str">
        <f>'Button control data'!N93</f>
        <v xml:space="preserve"> waiting for</v>
      </c>
      <c r="I21" s="449"/>
      <c r="J21" s="449"/>
      <c r="K21" s="9"/>
      <c r="L21" s="9"/>
    </row>
    <row r="22" spans="1:19" ht="19.5" customHeight="1" x14ac:dyDescent="0.2">
      <c r="A22" s="22"/>
      <c r="B22" s="52"/>
      <c r="C22" s="52"/>
      <c r="D22" s="52"/>
      <c r="E22" s="52"/>
      <c r="H22" s="450" t="str">
        <f>'Button control data'!O93</f>
        <v xml:space="preserve"> ophthalmology</v>
      </c>
      <c r="I22" s="451"/>
      <c r="J22" s="451"/>
      <c r="K22" s="9"/>
      <c r="L22" s="9"/>
    </row>
    <row r="23" spans="1:19" ht="16.5" customHeight="1" x14ac:dyDescent="0.25">
      <c r="A23" s="22"/>
      <c r="B23" s="22"/>
      <c r="C23" s="22"/>
      <c r="D23" s="22"/>
      <c r="E23" s="53"/>
      <c r="H23" s="452" t="str">
        <f>'Button control data'!P93</f>
        <v xml:space="preserve"> treatment</v>
      </c>
      <c r="I23" s="453"/>
      <c r="J23" s="453"/>
      <c r="K23" s="9"/>
      <c r="L23" s="9"/>
    </row>
    <row r="24" spans="1:19" ht="15" customHeight="1" x14ac:dyDescent="0.25">
      <c r="A24" s="33"/>
      <c r="C24" s="61"/>
      <c r="D24" s="61"/>
      <c r="E24" s="61"/>
      <c r="F24" s="61"/>
      <c r="G24" s="61"/>
      <c r="H24" s="454" t="str">
        <f>'Button control data'!Q93</f>
        <v xml:space="preserve"> as at March 2017</v>
      </c>
      <c r="I24" s="454"/>
      <c r="J24" s="454"/>
      <c r="K24" s="9"/>
      <c r="L24" s="9"/>
    </row>
    <row r="25" spans="1:19" ht="7.5" customHeight="1" x14ac:dyDescent="0.25">
      <c r="A25" s="33"/>
      <c r="B25" s="23"/>
      <c r="C25" s="23"/>
      <c r="D25" s="23"/>
      <c r="E25" s="23"/>
      <c r="F25" s="23"/>
      <c r="G25" s="23"/>
      <c r="H25" s="23"/>
      <c r="I25" s="23"/>
      <c r="J25" s="9"/>
      <c r="K25" s="9"/>
      <c r="L25" s="9"/>
    </row>
    <row r="26" spans="1:19" ht="13.5" customHeight="1" x14ac:dyDescent="0.2">
      <c r="A26" s="33"/>
      <c r="B26" s="447" t="str">
        <f>'Button control data'!J91</f>
        <v>Chart 13b shows that there were 41,790 patient pathways were waiting for ophthalmology treatment in Wales as at March 2017. Overall 2 per cent of patient pathways had waited more than 36 weeks on their pathway as at 31 March 2017.</v>
      </c>
      <c r="C26" s="447"/>
      <c r="D26" s="447"/>
      <c r="E26" s="447"/>
      <c r="F26" s="447"/>
      <c r="G26" s="447"/>
      <c r="H26" s="447"/>
      <c r="I26" s="447"/>
      <c r="J26" s="9"/>
      <c r="K26" s="9"/>
      <c r="L26" s="9"/>
    </row>
    <row r="27" spans="1:19" ht="12" customHeight="1" x14ac:dyDescent="0.2">
      <c r="A27" s="9"/>
      <c r="B27" s="447"/>
      <c r="C27" s="447"/>
      <c r="D27" s="447"/>
      <c r="E27" s="447"/>
      <c r="F27" s="447"/>
      <c r="G27" s="447"/>
      <c r="H27" s="447"/>
      <c r="I27" s="447"/>
      <c r="J27" s="9"/>
      <c r="K27" s="9"/>
      <c r="L27" s="9"/>
    </row>
  </sheetData>
  <sheetProtection password="E69E" sheet="1" objects="1" scenarios="1"/>
  <mergeCells count="15">
    <mergeCell ref="B26:I27"/>
    <mergeCell ref="H21:J21"/>
    <mergeCell ref="H22:J22"/>
    <mergeCell ref="H23:J23"/>
    <mergeCell ref="H24:J24"/>
    <mergeCell ref="H15:J17"/>
    <mergeCell ref="H18:J19"/>
    <mergeCell ref="H20:J20"/>
    <mergeCell ref="N3:V4"/>
    <mergeCell ref="N5:T5"/>
    <mergeCell ref="A8:XFD8"/>
    <mergeCell ref="A9:J9"/>
    <mergeCell ref="A4:J5"/>
    <mergeCell ref="A6:J6"/>
    <mergeCell ref="H12:J14"/>
  </mergeCells>
  <conditionalFormatting sqref="H12">
    <cfRule type="cellIs" dxfId="1" priority="1" operator="greaterThan">
      <formula>1</formula>
    </cfRule>
    <cfRule type="cellIs" dxfId="0" priority="2" operator="lessThanOrEqual">
      <formula>1</formula>
    </cfRule>
  </conditionalFormatting>
  <hyperlinks>
    <hyperlink ref="A9:H9" location="'Select Health Board'!A1" display="'Select Health Board'!A1"/>
  </hyperlinks>
  <pageMargins left="0.7" right="0.7" top="0.75" bottom="0.75" header="0.3" footer="0.3"/>
  <pageSetup paperSize="9" scale="90" orientation="landscape" horizontalDpi="300" verticalDpi="300" r:id="rId1"/>
  <colBreaks count="1" manualBreakCount="1">
    <brk id="10" max="1048575" man="1"/>
  </colBreaks>
  <ignoredErrors>
    <ignoredError sqref="H1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defaultSize="0" autoLine="0" autoPict="0">
                <anchor moveWithCells="1">
                  <from>
                    <xdr:col>1</xdr:col>
                    <xdr:colOff>47625</xdr:colOff>
                    <xdr:row>9</xdr:row>
                    <xdr:rowOff>76200</xdr:rowOff>
                  </from>
                  <to>
                    <xdr:col>7</xdr:col>
                    <xdr:colOff>247650</xdr:colOff>
                    <xdr:row>10</xdr:row>
                    <xdr:rowOff>95250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CDEE"/>
    <pageSetUpPr autoPageBreaks="0"/>
  </sheetPr>
  <dimension ref="A1:V27"/>
  <sheetViews>
    <sheetView showRowColHeaders="0" zoomScaleNormal="100" workbookViewId="0"/>
  </sheetViews>
  <sheetFormatPr defaultColWidth="0" defaultRowHeight="15" zeroHeight="1" x14ac:dyDescent="0.2"/>
  <cols>
    <col min="1" max="1" width="1.44140625" style="8" customWidth="1"/>
    <col min="2" max="2" width="8.44140625" style="33" customWidth="1"/>
    <col min="3" max="4" width="8.5546875" style="33" customWidth="1"/>
    <col min="5" max="7" width="11" style="33" customWidth="1"/>
    <col min="8" max="8" width="7.33203125" style="33" customWidth="1"/>
    <col min="9" max="9" width="8.5546875" style="33" customWidth="1"/>
    <col min="10" max="10" width="5.77734375" style="8" customWidth="1"/>
    <col min="11" max="11" width="0.10937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E2" s="8"/>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90" t="s">
        <v>673</v>
      </c>
      <c r="B4" s="390"/>
      <c r="C4" s="390"/>
      <c r="D4" s="390"/>
      <c r="E4" s="390"/>
      <c r="F4" s="390"/>
      <c r="G4" s="390"/>
      <c r="H4" s="390"/>
      <c r="I4" s="390"/>
      <c r="J4" s="390"/>
      <c r="K4" s="9"/>
      <c r="L4" s="9"/>
      <c r="N4" s="377"/>
      <c r="O4" s="377"/>
      <c r="P4" s="377"/>
      <c r="Q4" s="377"/>
      <c r="R4" s="377"/>
      <c r="S4" s="377"/>
      <c r="T4" s="377"/>
      <c r="U4" s="377"/>
      <c r="V4" s="377"/>
    </row>
    <row r="5" spans="1:22" ht="21" customHeight="1" x14ac:dyDescent="0.2">
      <c r="A5" s="390"/>
      <c r="B5" s="390"/>
      <c r="C5" s="390"/>
      <c r="D5" s="390"/>
      <c r="E5" s="390"/>
      <c r="F5" s="390"/>
      <c r="G5" s="390"/>
      <c r="H5" s="390"/>
      <c r="I5" s="390"/>
      <c r="J5" s="390"/>
      <c r="K5" s="9"/>
      <c r="L5" s="9"/>
      <c r="N5" s="378"/>
      <c r="O5" s="378"/>
      <c r="P5" s="378"/>
      <c r="Q5" s="378"/>
      <c r="R5" s="378"/>
      <c r="S5" s="378"/>
      <c r="T5" s="378"/>
      <c r="U5" s="12"/>
      <c r="V5" s="12"/>
    </row>
    <row r="6" spans="1:22" ht="39" customHeight="1" x14ac:dyDescent="0.2">
      <c r="A6" s="422" t="s">
        <v>674</v>
      </c>
      <c r="B6" s="422"/>
      <c r="C6" s="422"/>
      <c r="D6" s="422"/>
      <c r="E6" s="422"/>
      <c r="F6" s="422"/>
      <c r="G6" s="422"/>
      <c r="H6" s="422"/>
      <c r="I6" s="422"/>
      <c r="J6" s="422"/>
      <c r="K6" s="9"/>
      <c r="L6" s="9"/>
      <c r="N6" s="13"/>
      <c r="O6" s="12"/>
      <c r="P6" s="12"/>
      <c r="Q6" s="12"/>
      <c r="R6" s="12"/>
      <c r="S6" s="12"/>
      <c r="T6" s="12"/>
      <c r="U6" s="12"/>
      <c r="V6" s="12"/>
    </row>
    <row r="7" spans="1:22" ht="2.25" customHeight="1" x14ac:dyDescent="0.2">
      <c r="A7" s="9"/>
      <c r="B7" s="9"/>
      <c r="C7" s="19"/>
      <c r="D7" s="291"/>
      <c r="E7" s="291"/>
      <c r="F7" s="291"/>
      <c r="G7" s="291"/>
      <c r="H7" s="291"/>
      <c r="I7" s="9"/>
      <c r="J7" s="9"/>
      <c r="K7" s="9"/>
      <c r="L7" s="9"/>
      <c r="N7" s="14"/>
      <c r="O7" s="12"/>
      <c r="P7" s="12"/>
      <c r="Q7" s="12"/>
      <c r="R7" s="12"/>
      <c r="S7" s="12"/>
      <c r="T7" s="12"/>
      <c r="U7" s="12"/>
      <c r="V7" s="12"/>
    </row>
    <row r="8" spans="1:22" s="400" customFormat="1" ht="16.5" customHeight="1" x14ac:dyDescent="0.25">
      <c r="A8" s="400" t="str">
        <f>"Showing data for: "&amp;VLOOKUP('Lookup data'!A110,'Lookup data'!B110:C117,2,FALSE)</f>
        <v>Showing data for: Wales</v>
      </c>
    </row>
    <row r="9" spans="1:22" s="401" customFormat="1" ht="15.75" customHeight="1" x14ac:dyDescent="0.2">
      <c r="A9" s="401" t="str">
        <f>IF(A8="Showing data for: Wales", "Click here to select a health board", "Click here to select Wales or a different health board")</f>
        <v>Click here to select a health board</v>
      </c>
    </row>
    <row r="10" spans="1:22" ht="15" customHeight="1" x14ac:dyDescent="0.2">
      <c r="A10" s="9"/>
      <c r="B10" s="48"/>
      <c r="C10" s="48"/>
      <c r="D10" s="48"/>
      <c r="E10" s="48"/>
      <c r="F10" s="75"/>
      <c r="G10" s="75"/>
      <c r="H10" s="9"/>
      <c r="I10" s="9"/>
      <c r="J10" s="9"/>
      <c r="K10" s="9"/>
      <c r="L10" s="9"/>
      <c r="N10" s="13"/>
      <c r="O10" s="15"/>
      <c r="P10" s="15"/>
      <c r="Q10" s="15"/>
      <c r="R10" s="15"/>
      <c r="S10" s="15"/>
      <c r="T10" s="15"/>
      <c r="U10" s="15"/>
      <c r="V10" s="12"/>
    </row>
    <row r="11" spans="1:22" ht="15" customHeight="1" x14ac:dyDescent="0.2">
      <c r="A11" s="9"/>
      <c r="B11" s="388" t="str">
        <f>'Button control data'!J103</f>
        <v>Chart 14b shows that the number of outpatient attendances (new and follow up) for ophthalmology in Wales has decreased over 5 years. Between 2014-15 and 2015-16, the number of new outpatient attendances increased by 2,310, while the number of follow up outpatient attendances decreased by 2,783.</v>
      </c>
      <c r="C11" s="388"/>
      <c r="D11" s="388"/>
      <c r="E11" s="48"/>
      <c r="F11" s="75"/>
      <c r="G11" s="75"/>
      <c r="H11" s="9"/>
      <c r="I11" s="9"/>
      <c r="J11" s="9"/>
      <c r="K11" s="9"/>
      <c r="L11" s="9"/>
      <c r="N11" s="14"/>
      <c r="O11" s="15"/>
      <c r="P11" s="15"/>
      <c r="Q11" s="15"/>
      <c r="R11" s="15"/>
      <c r="S11" s="15"/>
      <c r="T11" s="15"/>
      <c r="U11" s="15"/>
      <c r="V11" s="12"/>
    </row>
    <row r="12" spans="1:22" ht="15.75" customHeight="1" x14ac:dyDescent="0.2">
      <c r="A12" s="9"/>
      <c r="B12" s="388"/>
      <c r="C12" s="388"/>
      <c r="D12" s="388"/>
      <c r="E12" s="48"/>
      <c r="F12" s="75"/>
      <c r="G12" s="75"/>
      <c r="H12" s="9"/>
      <c r="I12" s="9"/>
      <c r="J12" s="9"/>
      <c r="K12" s="9"/>
      <c r="L12" s="9"/>
      <c r="N12" s="13"/>
      <c r="O12" s="15"/>
      <c r="P12" s="15"/>
      <c r="Q12" s="15"/>
      <c r="R12" s="15"/>
      <c r="S12" s="15"/>
      <c r="T12" s="15"/>
      <c r="U12" s="15"/>
      <c r="V12" s="12"/>
    </row>
    <row r="13" spans="1:22" ht="15" customHeight="1" x14ac:dyDescent="0.2">
      <c r="B13" s="388"/>
      <c r="C13" s="388"/>
      <c r="D13" s="388"/>
      <c r="E13" s="48"/>
      <c r="F13" s="75"/>
      <c r="G13" s="75"/>
      <c r="H13" s="9"/>
      <c r="I13" s="9"/>
      <c r="J13" s="9"/>
      <c r="K13" s="9"/>
      <c r="L13" s="9"/>
      <c r="N13" s="16"/>
      <c r="O13" s="17"/>
      <c r="P13" s="17"/>
      <c r="Q13" s="17"/>
      <c r="R13" s="17"/>
      <c r="S13" s="17"/>
      <c r="T13" s="17"/>
      <c r="U13" s="17"/>
      <c r="V13" s="17"/>
    </row>
    <row r="14" spans="1:22" ht="15.75" customHeight="1" x14ac:dyDescent="0.2">
      <c r="B14" s="388"/>
      <c r="C14" s="388"/>
      <c r="D14" s="388"/>
      <c r="E14" s="48"/>
      <c r="F14" s="75"/>
      <c r="G14" s="75"/>
      <c r="H14" s="9"/>
      <c r="I14" s="9"/>
      <c r="J14" s="9"/>
      <c r="K14" s="9"/>
      <c r="L14" s="9"/>
      <c r="N14" s="16"/>
      <c r="O14" s="17"/>
      <c r="P14" s="17"/>
      <c r="Q14" s="17"/>
      <c r="R14" s="17"/>
      <c r="S14" s="17"/>
      <c r="T14" s="17"/>
      <c r="U14" s="17"/>
      <c r="V14" s="17"/>
    </row>
    <row r="15" spans="1:22" ht="15" customHeight="1" x14ac:dyDescent="0.2">
      <c r="A15" s="22"/>
      <c r="B15" s="388"/>
      <c r="C15" s="388"/>
      <c r="D15" s="388"/>
      <c r="E15" s="49"/>
      <c r="F15" s="75"/>
      <c r="G15" s="75"/>
      <c r="H15" s="9"/>
      <c r="I15" s="9"/>
      <c r="J15" s="9"/>
      <c r="K15" s="9"/>
      <c r="L15" s="9"/>
      <c r="N15" s="16"/>
      <c r="O15" s="12"/>
      <c r="P15" s="12"/>
      <c r="Q15" s="12"/>
      <c r="R15" s="12"/>
      <c r="S15" s="12"/>
      <c r="T15" s="12"/>
      <c r="U15" s="12"/>
      <c r="V15" s="12"/>
    </row>
    <row r="16" spans="1:22" ht="15" customHeight="1" x14ac:dyDescent="0.2">
      <c r="A16" s="22"/>
      <c r="B16" s="388"/>
      <c r="C16" s="388"/>
      <c r="D16" s="388"/>
      <c r="E16" s="49"/>
      <c r="F16" s="75"/>
      <c r="G16" s="75"/>
      <c r="H16" s="9"/>
      <c r="I16" s="9"/>
      <c r="J16" s="9"/>
      <c r="K16" s="9"/>
      <c r="L16" s="9"/>
    </row>
    <row r="17" spans="1:19" ht="15" customHeight="1" x14ac:dyDescent="0.2">
      <c r="A17" s="22"/>
      <c r="B17" s="388"/>
      <c r="C17" s="388"/>
      <c r="D17" s="388"/>
      <c r="E17" s="49"/>
      <c r="F17" s="75"/>
      <c r="G17" s="75"/>
      <c r="H17" s="9"/>
      <c r="I17" s="9"/>
      <c r="J17" s="9"/>
      <c r="K17" s="9"/>
      <c r="L17" s="9"/>
    </row>
    <row r="18" spans="1:19" ht="15" customHeight="1" x14ac:dyDescent="0.2">
      <c r="A18" s="22"/>
      <c r="B18" s="388"/>
      <c r="C18" s="388"/>
      <c r="D18" s="388"/>
      <c r="E18" s="46"/>
      <c r="F18" s="46"/>
      <c r="G18" s="46"/>
      <c r="H18" s="9"/>
      <c r="I18" s="9"/>
      <c r="J18" s="9"/>
      <c r="K18" s="9"/>
      <c r="L18" s="9"/>
      <c r="S18" s="18"/>
    </row>
    <row r="19" spans="1:19" ht="15" customHeight="1" x14ac:dyDescent="0.2">
      <c r="A19" s="22"/>
      <c r="B19" s="388"/>
      <c r="C19" s="388"/>
      <c r="D19" s="388"/>
      <c r="E19" s="46"/>
      <c r="F19" s="46"/>
      <c r="G19" s="46"/>
      <c r="H19" s="9"/>
      <c r="I19" s="9"/>
      <c r="J19" s="9"/>
      <c r="K19" s="9"/>
      <c r="L19" s="9"/>
    </row>
    <row r="20" spans="1:19" ht="25.5" customHeight="1" x14ac:dyDescent="0.2">
      <c r="A20" s="22"/>
      <c r="B20" s="388"/>
      <c r="C20" s="388"/>
      <c r="D20" s="388"/>
      <c r="E20" s="50"/>
      <c r="F20" s="75"/>
      <c r="G20" s="75"/>
      <c r="H20" s="9"/>
      <c r="I20" s="9"/>
      <c r="J20" s="9"/>
      <c r="K20" s="9"/>
      <c r="L20" s="9"/>
    </row>
    <row r="21" spans="1:19" ht="18" customHeight="1" x14ac:dyDescent="0.2">
      <c r="A21" s="22"/>
      <c r="B21" s="388"/>
      <c r="C21" s="388"/>
      <c r="D21" s="388"/>
      <c r="E21" s="51"/>
      <c r="F21" s="79"/>
      <c r="J21" s="9"/>
      <c r="K21" s="9"/>
      <c r="L21" s="9"/>
    </row>
    <row r="22" spans="1:19" ht="15" customHeight="1" x14ac:dyDescent="0.2">
      <c r="A22" s="22"/>
      <c r="B22" s="388"/>
      <c r="C22" s="388"/>
      <c r="D22" s="388"/>
      <c r="E22" s="52"/>
      <c r="J22" s="9"/>
      <c r="K22" s="9"/>
      <c r="L22" s="9"/>
    </row>
    <row r="23" spans="1:19" ht="15" customHeight="1" x14ac:dyDescent="0.2">
      <c r="A23" s="22"/>
      <c r="B23" s="388"/>
      <c r="C23" s="388"/>
      <c r="D23" s="388"/>
      <c r="E23" s="53"/>
      <c r="J23" s="9"/>
      <c r="K23" s="9"/>
      <c r="L23" s="9"/>
    </row>
    <row r="24" spans="1:19" ht="15" customHeight="1" x14ac:dyDescent="0.25">
      <c r="A24" s="33"/>
      <c r="B24" s="188"/>
      <c r="C24" s="188"/>
      <c r="D24" s="188"/>
      <c r="E24" s="61"/>
      <c r="F24" s="61"/>
      <c r="G24" s="61"/>
      <c r="H24" s="61"/>
      <c r="I24" s="61"/>
      <c r="J24" s="9"/>
      <c r="K24" s="9"/>
      <c r="L24" s="9"/>
    </row>
    <row r="25" spans="1:19" ht="15.75" customHeight="1" x14ac:dyDescent="0.2">
      <c r="A25" s="421" t="str">
        <f>'Button control data'!K103</f>
        <v/>
      </c>
      <c r="B25" s="421"/>
      <c r="C25" s="421"/>
      <c r="D25" s="421"/>
      <c r="E25" s="421"/>
      <c r="F25" s="421"/>
      <c r="G25" s="421"/>
      <c r="H25" s="421"/>
      <c r="I25" s="421"/>
      <c r="J25" s="9"/>
      <c r="K25" s="9"/>
      <c r="L25" s="9"/>
    </row>
    <row r="26" spans="1:19" ht="15" customHeight="1" x14ac:dyDescent="0.2">
      <c r="A26" s="421"/>
      <c r="B26" s="421"/>
      <c r="C26" s="421"/>
      <c r="D26" s="421"/>
      <c r="E26" s="421"/>
      <c r="F26" s="421"/>
      <c r="G26" s="421"/>
      <c r="H26" s="421"/>
      <c r="I26" s="421"/>
      <c r="J26" s="9"/>
      <c r="K26" s="9"/>
      <c r="L26" s="9"/>
    </row>
    <row r="27" spans="1:19" ht="11.25" customHeight="1" x14ac:dyDescent="0.2">
      <c r="A27" s="421"/>
      <c r="B27" s="421"/>
      <c r="C27" s="421"/>
      <c r="D27" s="421"/>
      <c r="E27" s="421"/>
      <c r="F27" s="421"/>
      <c r="G27" s="421"/>
      <c r="H27" s="421"/>
      <c r="I27" s="421"/>
      <c r="J27" s="9"/>
      <c r="K27" s="9"/>
      <c r="L27" s="9"/>
    </row>
  </sheetData>
  <sheetProtection password="E69E" sheet="1" objects="1" scenarios="1"/>
  <mergeCells count="8">
    <mergeCell ref="A25:I27"/>
    <mergeCell ref="A8:XFD8"/>
    <mergeCell ref="A9:XFD9"/>
    <mergeCell ref="B11:D23"/>
    <mergeCell ref="N3:V4"/>
    <mergeCell ref="N5:T5"/>
    <mergeCell ref="A4:J5"/>
    <mergeCell ref="A6:J6"/>
  </mergeCells>
  <hyperlinks>
    <hyperlink ref="A9:H9" location="'Select Health Board'!A1" display="'Select Health Board'!A1"/>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Drop Down 1">
              <controlPr defaultSize="0" autoLine="0" autoPict="0">
                <anchor moveWithCells="1">
                  <from>
                    <xdr:col>4</xdr:col>
                    <xdr:colOff>133350</xdr:colOff>
                    <xdr:row>9</xdr:row>
                    <xdr:rowOff>76200</xdr:rowOff>
                  </from>
                  <to>
                    <xdr:col>11</xdr:col>
                    <xdr:colOff>0</xdr:colOff>
                    <xdr:row>10</xdr:row>
                    <xdr:rowOff>133350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pageSetUpPr fitToPage="1"/>
  </sheetPr>
  <dimension ref="A1:Y29"/>
  <sheetViews>
    <sheetView showRowColHeaders="0" zoomScaleNormal="100" zoomScaleSheetLayoutView="180" workbookViewId="0"/>
  </sheetViews>
  <sheetFormatPr defaultColWidth="0" defaultRowHeight="0" customHeight="1" zeroHeight="1" x14ac:dyDescent="0.2"/>
  <cols>
    <col min="1" max="1" width="0.88671875" style="243" customWidth="1"/>
    <col min="2" max="2" width="8.77734375" style="243" customWidth="1"/>
    <col min="3" max="3" width="8.44140625" style="243" customWidth="1"/>
    <col min="4" max="4" width="8.77734375" style="243" customWidth="1"/>
    <col min="5" max="5" width="0.88671875" style="243" customWidth="1"/>
    <col min="6" max="6" width="8.77734375" style="243" customWidth="1"/>
    <col min="7" max="7" width="8.5546875" style="243" customWidth="1"/>
    <col min="8" max="8" width="8.77734375" style="243" customWidth="1"/>
    <col min="9" max="9" width="0.88671875" style="243" customWidth="1"/>
    <col min="10" max="10" width="8.77734375" style="243" customWidth="1"/>
    <col min="11" max="11" width="8.44140625" style="243" customWidth="1"/>
    <col min="12" max="12" width="8.77734375" style="243" customWidth="1"/>
    <col min="13" max="13" width="0.88671875" style="243" customWidth="1"/>
    <col min="14" max="14" width="0.109375" style="8" hidden="1" customWidth="1"/>
    <col min="15" max="16384" width="8.88671875" style="8" hidden="1"/>
  </cols>
  <sheetData>
    <row r="1" spans="1:25" ht="15" x14ac:dyDescent="0.2">
      <c r="A1" s="9"/>
      <c r="B1" s="9"/>
      <c r="C1" s="9"/>
      <c r="D1" s="9"/>
      <c r="E1" s="9"/>
      <c r="F1" s="9"/>
      <c r="G1" s="9"/>
      <c r="H1" s="9"/>
      <c r="I1" s="9"/>
      <c r="J1" s="9"/>
      <c r="K1" s="9"/>
      <c r="L1" s="9"/>
      <c r="M1" s="9"/>
      <c r="N1" s="9"/>
      <c r="O1" s="9"/>
    </row>
    <row r="2" spans="1:25" ht="35.25" x14ac:dyDescent="0.5">
      <c r="A2" s="9"/>
      <c r="B2" s="9"/>
      <c r="C2" s="9"/>
      <c r="D2" s="11"/>
      <c r="E2" s="8"/>
      <c r="F2" s="9"/>
      <c r="G2" s="9"/>
      <c r="H2" s="9"/>
      <c r="I2" s="9"/>
      <c r="J2" s="9"/>
      <c r="K2" s="9"/>
      <c r="L2" s="9"/>
      <c r="M2" s="9"/>
      <c r="N2" s="9"/>
      <c r="O2" s="9"/>
    </row>
    <row r="3" spans="1:25" ht="15" x14ac:dyDescent="0.2">
      <c r="A3" s="9"/>
      <c r="B3" s="9"/>
      <c r="C3" s="9"/>
      <c r="D3" s="9"/>
      <c r="E3" s="9"/>
      <c r="F3" s="9"/>
      <c r="G3" s="9"/>
      <c r="H3" s="9"/>
      <c r="I3" s="9"/>
      <c r="J3" s="9"/>
      <c r="K3" s="9"/>
      <c r="L3" s="9"/>
      <c r="M3" s="9"/>
      <c r="N3" s="9"/>
      <c r="O3" s="9"/>
      <c r="Q3" s="377"/>
      <c r="R3" s="377"/>
      <c r="S3" s="377"/>
      <c r="T3" s="377"/>
      <c r="U3" s="377"/>
      <c r="V3" s="377"/>
      <c r="W3" s="377"/>
      <c r="X3" s="377"/>
      <c r="Y3" s="377"/>
    </row>
    <row r="4" spans="1:25" ht="15" customHeight="1" x14ac:dyDescent="0.2">
      <c r="A4" s="9"/>
      <c r="B4" s="9"/>
      <c r="C4" s="9"/>
      <c r="D4" s="389" t="s">
        <v>64</v>
      </c>
      <c r="E4" s="389"/>
      <c r="F4" s="389"/>
      <c r="G4" s="389"/>
      <c r="H4" s="389"/>
      <c r="I4" s="389"/>
      <c r="J4" s="389"/>
      <c r="K4" s="9"/>
      <c r="L4" s="9"/>
      <c r="M4" s="9"/>
      <c r="N4" s="9"/>
      <c r="O4" s="9"/>
      <c r="Q4" s="377"/>
      <c r="R4" s="377"/>
      <c r="S4" s="377"/>
      <c r="T4" s="377"/>
      <c r="U4" s="377"/>
      <c r="V4" s="377"/>
      <c r="W4" s="377"/>
      <c r="X4" s="377"/>
      <c r="Y4" s="377"/>
    </row>
    <row r="5" spans="1:25" ht="15" customHeight="1" x14ac:dyDescent="0.2">
      <c r="A5" s="9"/>
      <c r="B5" s="9"/>
      <c r="C5" s="9"/>
      <c r="D5" s="389"/>
      <c r="E5" s="389"/>
      <c r="F5" s="389"/>
      <c r="G5" s="389"/>
      <c r="H5" s="389"/>
      <c r="I5" s="389"/>
      <c r="J5" s="389"/>
      <c r="K5" s="9"/>
      <c r="L5" s="9"/>
      <c r="M5" s="9"/>
      <c r="N5" s="9"/>
      <c r="O5" s="9"/>
      <c r="Q5" s="378"/>
      <c r="R5" s="378"/>
      <c r="S5" s="378"/>
      <c r="T5" s="378"/>
      <c r="U5" s="378"/>
      <c r="V5" s="378"/>
      <c r="W5" s="378"/>
      <c r="X5" s="12"/>
      <c r="Y5" s="12"/>
    </row>
    <row r="6" spans="1:25" ht="19.5" customHeight="1" x14ac:dyDescent="0.2">
      <c r="A6" s="9"/>
      <c r="B6" s="9"/>
      <c r="C6" s="19"/>
      <c r="D6" s="389"/>
      <c r="E6" s="389"/>
      <c r="F6" s="389"/>
      <c r="G6" s="389"/>
      <c r="H6" s="389"/>
      <c r="I6" s="389"/>
      <c r="J6" s="389"/>
      <c r="L6" s="9"/>
      <c r="M6" s="9"/>
      <c r="N6" s="9"/>
      <c r="O6" s="9"/>
      <c r="Q6" s="13"/>
      <c r="R6" s="12"/>
      <c r="S6" s="12"/>
      <c r="T6" s="12"/>
      <c r="U6" s="12"/>
      <c r="V6" s="12"/>
      <c r="W6" s="12"/>
      <c r="X6" s="12"/>
      <c r="Y6" s="12"/>
    </row>
    <row r="7" spans="1:25" ht="15" customHeight="1" x14ac:dyDescent="0.25">
      <c r="A7" s="400" t="str">
        <f>"Showing data for: "&amp;VLOOKUP('Lookup data'!A110,'Lookup data'!B110:C117,2,FALSE)</f>
        <v>Showing data for: Wales</v>
      </c>
      <c r="B7" s="400"/>
      <c r="C7" s="400"/>
      <c r="D7" s="400"/>
      <c r="E7" s="400"/>
      <c r="F7" s="400"/>
      <c r="G7" s="400"/>
      <c r="H7" s="400"/>
      <c r="I7" s="400"/>
      <c r="J7" s="400"/>
      <c r="K7" s="400"/>
      <c r="L7" s="400"/>
      <c r="M7" s="400"/>
      <c r="N7" s="9"/>
      <c r="O7" s="9"/>
      <c r="Q7" s="14"/>
      <c r="R7" s="12"/>
      <c r="S7" s="12"/>
      <c r="T7" s="12"/>
      <c r="U7" s="12"/>
      <c r="V7" s="12"/>
      <c r="W7" s="12"/>
      <c r="X7" s="12"/>
      <c r="Y7" s="12"/>
    </row>
    <row r="8" spans="1:25" ht="14.25" customHeight="1" x14ac:dyDescent="0.2">
      <c r="A8" s="455" t="str">
        <f>IF(A7="Showing data for: Wales", "Click here to select a health board", "Click here to select Wales or a different health board")</f>
        <v>Click here to select a health board</v>
      </c>
      <c r="B8" s="455"/>
      <c r="C8" s="455"/>
      <c r="D8" s="455"/>
      <c r="E8" s="455"/>
      <c r="F8" s="455"/>
      <c r="G8" s="455"/>
      <c r="H8" s="455"/>
      <c r="I8" s="455"/>
      <c r="J8" s="455"/>
      <c r="K8" s="455"/>
      <c r="L8" s="455"/>
      <c r="M8" s="455"/>
      <c r="N8" s="9"/>
      <c r="O8" s="9"/>
      <c r="Q8" s="13"/>
      <c r="R8" s="15"/>
      <c r="S8" s="15"/>
      <c r="T8" s="15"/>
      <c r="U8" s="15"/>
      <c r="V8" s="15"/>
      <c r="W8" s="15"/>
      <c r="X8" s="15"/>
      <c r="Y8" s="12"/>
    </row>
    <row r="9" spans="1:25" ht="14.25" customHeight="1" x14ac:dyDescent="0.25">
      <c r="A9" s="359"/>
      <c r="B9" s="457" t="s">
        <v>36</v>
      </c>
      <c r="C9" s="457"/>
      <c r="D9" s="457"/>
      <c r="E9" s="362"/>
      <c r="F9" s="457" t="s">
        <v>436</v>
      </c>
      <c r="G9" s="457"/>
      <c r="H9" s="457"/>
      <c r="I9" s="363"/>
      <c r="J9" s="456" t="s">
        <v>63</v>
      </c>
      <c r="K9" s="456"/>
      <c r="L9" s="456"/>
      <c r="M9" s="364"/>
      <c r="N9" s="9"/>
      <c r="O9" s="9"/>
      <c r="Q9" s="14"/>
      <c r="R9" s="15"/>
      <c r="S9" s="15"/>
      <c r="T9" s="15"/>
      <c r="U9" s="15"/>
      <c r="V9" s="15"/>
      <c r="W9" s="15"/>
      <c r="X9" s="15"/>
      <c r="Y9" s="12"/>
    </row>
    <row r="10" spans="1:25" ht="15" customHeight="1" x14ac:dyDescent="0.2">
      <c r="A10" s="359"/>
      <c r="B10" s="459" t="str">
        <f>'Lookup data'!B130</f>
        <v xml:space="preserve">In 2015-16 there were 45 new CVIs per 100,000 Welsh residents which is 5 more than in 2014-15. </v>
      </c>
      <c r="C10" s="459"/>
      <c r="D10" s="459"/>
      <c r="E10" s="365"/>
      <c r="F10" s="459" t="str">
        <f>'Lookup data'!E130</f>
        <v>The number of people in Wales who had a low vision assessment has increased over the last 5 years. In 2016-17 the figure reached 8,792 which was over 700 more assessments than in 2015-16.</v>
      </c>
      <c r="G10" s="459"/>
      <c r="H10" s="459"/>
      <c r="I10" s="366"/>
      <c r="J10" s="459" t="str">
        <f>'Lookup data'!H130</f>
        <v>85 per cent of scheduled DESW appointments (invitations) in Wales had results reported in 2016-17</v>
      </c>
      <c r="K10" s="459"/>
      <c r="L10" s="459"/>
      <c r="M10" s="367"/>
      <c r="N10" s="9"/>
      <c r="O10" s="9"/>
      <c r="Q10" s="13"/>
      <c r="R10" s="15"/>
      <c r="S10" s="15"/>
      <c r="T10" s="15"/>
      <c r="U10" s="15"/>
      <c r="V10" s="15"/>
      <c r="W10" s="15"/>
      <c r="X10" s="15"/>
      <c r="Y10" s="12"/>
    </row>
    <row r="11" spans="1:25" ht="15" customHeight="1" x14ac:dyDescent="0.2">
      <c r="A11" s="360"/>
      <c r="B11" s="459"/>
      <c r="C11" s="459"/>
      <c r="D11" s="459"/>
      <c r="E11" s="366"/>
      <c r="F11" s="459"/>
      <c r="G11" s="459"/>
      <c r="H11" s="459"/>
      <c r="I11" s="366"/>
      <c r="J11" s="459"/>
      <c r="K11" s="459"/>
      <c r="L11" s="459"/>
      <c r="M11" s="367"/>
      <c r="N11" s="9"/>
      <c r="O11" s="9"/>
      <c r="Q11" s="16"/>
      <c r="R11" s="17"/>
      <c r="S11" s="17"/>
      <c r="T11" s="17"/>
      <c r="U11" s="17"/>
      <c r="V11" s="17"/>
      <c r="W11" s="17"/>
      <c r="X11" s="17"/>
      <c r="Y11" s="17"/>
    </row>
    <row r="12" spans="1:25" ht="15" customHeight="1" x14ac:dyDescent="0.2">
      <c r="A12" s="360"/>
      <c r="B12" s="459"/>
      <c r="C12" s="459"/>
      <c r="D12" s="459"/>
      <c r="E12" s="366"/>
      <c r="F12" s="459"/>
      <c r="G12" s="459"/>
      <c r="H12" s="459"/>
      <c r="I12" s="366"/>
      <c r="J12" s="459"/>
      <c r="K12" s="459"/>
      <c r="L12" s="459"/>
      <c r="M12" s="367"/>
      <c r="N12" s="9"/>
      <c r="O12" s="9"/>
      <c r="Q12" s="16"/>
      <c r="R12" s="17"/>
      <c r="S12" s="17"/>
      <c r="T12" s="17"/>
      <c r="U12" s="17"/>
      <c r="V12" s="17"/>
      <c r="W12" s="17"/>
      <c r="X12" s="17"/>
      <c r="Y12" s="17"/>
    </row>
    <row r="13" spans="1:25" ht="15" customHeight="1" x14ac:dyDescent="0.2">
      <c r="A13" s="368"/>
      <c r="B13" s="459"/>
      <c r="C13" s="459"/>
      <c r="D13" s="459"/>
      <c r="E13" s="369"/>
      <c r="F13" s="459"/>
      <c r="G13" s="459"/>
      <c r="H13" s="459"/>
      <c r="I13" s="370"/>
      <c r="J13" s="459"/>
      <c r="K13" s="459"/>
      <c r="L13" s="459"/>
      <c r="M13" s="359"/>
      <c r="N13" s="9"/>
      <c r="O13" s="9"/>
      <c r="Q13" s="16"/>
      <c r="R13" s="12"/>
      <c r="S13" s="12"/>
      <c r="T13" s="12"/>
      <c r="U13" s="12"/>
      <c r="V13" s="12"/>
      <c r="W13" s="12"/>
      <c r="X13" s="12"/>
      <c r="Y13" s="12"/>
    </row>
    <row r="14" spans="1:25" ht="13.5" customHeight="1" x14ac:dyDescent="0.25">
      <c r="A14" s="368"/>
      <c r="B14" s="457" t="s">
        <v>114</v>
      </c>
      <c r="C14" s="457"/>
      <c r="D14" s="457"/>
      <c r="E14" s="362"/>
      <c r="F14" s="456" t="s">
        <v>437</v>
      </c>
      <c r="G14" s="456"/>
      <c r="H14" s="456"/>
      <c r="I14" s="362"/>
      <c r="J14" s="456" t="s">
        <v>191</v>
      </c>
      <c r="K14" s="456"/>
      <c r="L14" s="456"/>
      <c r="M14" s="359"/>
      <c r="N14" s="9"/>
      <c r="O14" s="9"/>
    </row>
    <row r="15" spans="1:25" ht="15" customHeight="1" x14ac:dyDescent="0.2">
      <c r="A15" s="368"/>
      <c r="B15" s="459" t="str">
        <f>'Lookup data'!C130</f>
        <v>251 out of 1,000 Welsh residents had a sight test paid by the NHS during the 2016-17 financial year. This figure was an increase on last year's figure of 248.</v>
      </c>
      <c r="C15" s="459"/>
      <c r="D15" s="459"/>
      <c r="E15" s="365"/>
      <c r="F15" s="460" t="str">
        <f>'Lookup data'!F130</f>
        <v>The number of referrals for a first ophthalmology outpatient appointment has increased over the last four years in Wales. Between 2014-15 and 2015-16 there was an increase of over 16,500 referrals from 81,515 to 98,024.</v>
      </c>
      <c r="G15" s="460"/>
      <c r="H15" s="460"/>
      <c r="I15" s="370"/>
      <c r="J15" s="458" t="str">
        <f>'Lookup data'!I130</f>
        <v>There was an increase in the number of ophthalmic practitioners in Wales between 2015 and 2016.</v>
      </c>
      <c r="K15" s="458"/>
      <c r="L15" s="458"/>
      <c r="M15" s="359"/>
      <c r="N15" s="9"/>
      <c r="O15" s="9"/>
    </row>
    <row r="16" spans="1:25" ht="15" customHeight="1" x14ac:dyDescent="0.2">
      <c r="A16" s="368"/>
      <c r="B16" s="459"/>
      <c r="C16" s="459"/>
      <c r="D16" s="459"/>
      <c r="E16" s="366"/>
      <c r="F16" s="460"/>
      <c r="G16" s="460"/>
      <c r="H16" s="460"/>
      <c r="I16" s="370"/>
      <c r="J16" s="458"/>
      <c r="K16" s="458"/>
      <c r="L16" s="458"/>
      <c r="M16" s="359"/>
      <c r="N16" s="9"/>
      <c r="O16" s="9"/>
      <c r="V16" s="18"/>
    </row>
    <row r="17" spans="1:15" ht="15" customHeight="1" x14ac:dyDescent="0.2">
      <c r="A17" s="368"/>
      <c r="B17" s="459"/>
      <c r="C17" s="459"/>
      <c r="D17" s="459"/>
      <c r="E17" s="366"/>
      <c r="F17" s="460"/>
      <c r="G17" s="460"/>
      <c r="H17" s="460"/>
      <c r="I17" s="370"/>
      <c r="J17" s="458"/>
      <c r="K17" s="458"/>
      <c r="L17" s="458"/>
      <c r="M17" s="359"/>
      <c r="N17" s="9"/>
      <c r="O17" s="9"/>
    </row>
    <row r="18" spans="1:15" ht="15" customHeight="1" x14ac:dyDescent="0.2">
      <c r="A18" s="368"/>
      <c r="B18" s="459"/>
      <c r="C18" s="459"/>
      <c r="D18" s="459"/>
      <c r="E18" s="366"/>
      <c r="F18" s="460"/>
      <c r="G18" s="460"/>
      <c r="H18" s="460"/>
      <c r="I18" s="370"/>
      <c r="J18" s="458"/>
      <c r="K18" s="458"/>
      <c r="L18" s="458"/>
      <c r="M18" s="359"/>
      <c r="N18" s="9"/>
      <c r="O18" s="9"/>
    </row>
    <row r="19" spans="1:15" ht="13.5" customHeight="1" x14ac:dyDescent="0.25">
      <c r="A19" s="368"/>
      <c r="B19" s="457" t="s">
        <v>59</v>
      </c>
      <c r="C19" s="457"/>
      <c r="D19" s="457"/>
      <c r="E19" s="362"/>
      <c r="F19" s="456" t="s">
        <v>20</v>
      </c>
      <c r="G19" s="456"/>
      <c r="H19" s="456"/>
      <c r="I19" s="371"/>
      <c r="J19" s="456" t="s">
        <v>211</v>
      </c>
      <c r="K19" s="456"/>
      <c r="L19" s="456"/>
      <c r="M19" s="359"/>
      <c r="N19" s="9"/>
      <c r="O19" s="9"/>
    </row>
    <row r="20" spans="1:15" ht="15" customHeight="1" x14ac:dyDescent="0.2">
      <c r="A20" s="368"/>
      <c r="B20" s="459" t="str">
        <f>'Lookup data'!D130</f>
        <v>150,324 EHEW examinations were carried out in Wales in the 2016-17 financial year; this is an increase of over 28,500 from the 121,736 eye examinations in 2015-16.</v>
      </c>
      <c r="C20" s="459"/>
      <c r="D20" s="459"/>
      <c r="E20" s="365"/>
      <c r="F20" s="459" t="str">
        <f>'Lookup data'!G130</f>
        <v>338 (93 per cent) optometry practices in Wales were accredited to provide Eye Health Examinations Wales services and 210 (58 per cent) to provide Low Vision Service Wales services in 2016-17.</v>
      </c>
      <c r="G20" s="459"/>
      <c r="H20" s="459"/>
      <c r="I20" s="370"/>
      <c r="J20" s="458" t="str">
        <f>'Lookup data'!M130</f>
        <v>The number of admissions for procedures relating to hearing loss in Wales has gone down over the 5 years, while the number of admissions for a diagnosis relating to hearing loss has increased.</v>
      </c>
      <c r="K20" s="458"/>
      <c r="L20" s="458"/>
      <c r="M20" s="359"/>
      <c r="N20" s="9"/>
      <c r="O20" s="9"/>
    </row>
    <row r="21" spans="1:15" ht="15" customHeight="1" x14ac:dyDescent="0.2">
      <c r="A21" s="368"/>
      <c r="B21" s="459"/>
      <c r="C21" s="459"/>
      <c r="D21" s="459"/>
      <c r="E21" s="366"/>
      <c r="F21" s="459"/>
      <c r="G21" s="459"/>
      <c r="H21" s="459"/>
      <c r="I21" s="370"/>
      <c r="J21" s="458"/>
      <c r="K21" s="458"/>
      <c r="L21" s="458"/>
      <c r="M21" s="359"/>
      <c r="N21" s="9"/>
      <c r="O21" s="9"/>
    </row>
    <row r="22" spans="1:15" ht="15" customHeight="1" x14ac:dyDescent="0.2">
      <c r="A22" s="361"/>
      <c r="B22" s="459"/>
      <c r="C22" s="459"/>
      <c r="D22" s="459"/>
      <c r="E22" s="365"/>
      <c r="F22" s="459"/>
      <c r="G22" s="459"/>
      <c r="H22" s="459"/>
      <c r="I22" s="365"/>
      <c r="J22" s="458"/>
      <c r="K22" s="458"/>
      <c r="L22" s="458"/>
      <c r="M22" s="359"/>
      <c r="N22" s="9"/>
      <c r="O22" s="9"/>
    </row>
    <row r="23" spans="1:15" ht="15" customHeight="1" x14ac:dyDescent="0.2">
      <c r="A23" s="361"/>
      <c r="B23" s="459"/>
      <c r="C23" s="459"/>
      <c r="D23" s="459"/>
      <c r="E23" s="365"/>
      <c r="F23" s="459"/>
      <c r="G23" s="459"/>
      <c r="H23" s="459"/>
      <c r="I23" s="365"/>
      <c r="J23" s="458"/>
      <c r="K23" s="458"/>
      <c r="L23" s="458"/>
      <c r="M23" s="359"/>
      <c r="N23" s="9"/>
      <c r="O23" s="9"/>
    </row>
    <row r="24" spans="1:15" ht="14.25" customHeight="1" x14ac:dyDescent="0.25">
      <c r="A24" s="372"/>
      <c r="B24" s="457" t="s">
        <v>204</v>
      </c>
      <c r="C24" s="457"/>
      <c r="D24" s="457"/>
      <c r="E24" s="362"/>
      <c r="F24" s="456" t="s">
        <v>328</v>
      </c>
      <c r="G24" s="456"/>
      <c r="H24" s="456"/>
      <c r="I24" s="371"/>
      <c r="J24" s="456" t="s">
        <v>197</v>
      </c>
      <c r="K24" s="456"/>
      <c r="L24" s="456"/>
      <c r="M24" s="372"/>
      <c r="N24" s="9"/>
      <c r="O24" s="9"/>
    </row>
    <row r="25" spans="1:15" ht="15" customHeight="1" x14ac:dyDescent="0.2">
      <c r="A25" s="372"/>
      <c r="B25" s="459" t="str">
        <f>'Lookup data'!K130</f>
        <v>The target waiting time in Wales is 14 weeks and on 31 March 2017 there were 390 patients that had been waiting longer than 14 weeks in Wales</v>
      </c>
      <c r="C25" s="459"/>
      <c r="D25" s="459"/>
      <c r="E25" s="373"/>
      <c r="F25" s="458" t="str">
        <f>'Lookup data'!L130</f>
        <v>The number of closed pathways for ophthalmology in Wales was 103,895 in 2016-17. There were 41,790 patients were waiting for ophthalmology treatment in Wales on 31 March 2017.</v>
      </c>
      <c r="G25" s="458"/>
      <c r="H25" s="458"/>
      <c r="I25" s="373"/>
      <c r="J25" s="458" t="str">
        <f>'Lookup data'!J130</f>
        <v>29,518 people in Wales are registered as sight impaired, hearing impaired or both.</v>
      </c>
      <c r="K25" s="458"/>
      <c r="L25" s="458"/>
      <c r="M25" s="372"/>
      <c r="N25" s="9"/>
      <c r="O25" s="9"/>
    </row>
    <row r="26" spans="1:15" ht="15" customHeight="1" x14ac:dyDescent="0.2">
      <c r="A26" s="372"/>
      <c r="B26" s="459"/>
      <c r="C26" s="459"/>
      <c r="D26" s="459"/>
      <c r="E26" s="373"/>
      <c r="F26" s="458"/>
      <c r="G26" s="458"/>
      <c r="H26" s="458"/>
      <c r="I26" s="373"/>
      <c r="J26" s="458"/>
      <c r="K26" s="458"/>
      <c r="L26" s="458"/>
      <c r="M26" s="372"/>
      <c r="N26" s="9"/>
      <c r="O26" s="9"/>
    </row>
    <row r="27" spans="1:15" ht="15" customHeight="1" x14ac:dyDescent="0.2">
      <c r="A27" s="372"/>
      <c r="B27" s="459"/>
      <c r="C27" s="459"/>
      <c r="D27" s="459"/>
      <c r="E27" s="373"/>
      <c r="F27" s="458"/>
      <c r="G27" s="458"/>
      <c r="H27" s="458"/>
      <c r="I27" s="373"/>
      <c r="J27" s="458"/>
      <c r="K27" s="458"/>
      <c r="L27" s="458"/>
      <c r="M27" s="372"/>
      <c r="N27" s="9"/>
      <c r="O27" s="9"/>
    </row>
    <row r="28" spans="1:15" ht="15" customHeight="1" x14ac:dyDescent="0.2">
      <c r="A28" s="372"/>
      <c r="B28" s="459"/>
      <c r="C28" s="459"/>
      <c r="D28" s="459"/>
      <c r="E28" s="373"/>
      <c r="F28" s="458"/>
      <c r="G28" s="458"/>
      <c r="H28" s="458"/>
      <c r="I28" s="373"/>
      <c r="J28" s="365"/>
      <c r="K28" s="365"/>
      <c r="L28" s="365"/>
      <c r="M28" s="372"/>
      <c r="N28" s="9"/>
      <c r="O28" s="9"/>
    </row>
    <row r="29" spans="1:15" ht="15.75" customHeight="1" x14ac:dyDescent="0.25">
      <c r="B29" s="244"/>
      <c r="N29" s="9"/>
      <c r="O29" s="9"/>
    </row>
  </sheetData>
  <sheetProtection password="E69E" sheet="1" objects="1" scenarios="1"/>
  <mergeCells count="29">
    <mergeCell ref="B24:D24"/>
    <mergeCell ref="F24:H24"/>
    <mergeCell ref="J19:L19"/>
    <mergeCell ref="B25:D28"/>
    <mergeCell ref="J20:L23"/>
    <mergeCell ref="F25:H28"/>
    <mergeCell ref="J24:L24"/>
    <mergeCell ref="B20:D23"/>
    <mergeCell ref="F19:H19"/>
    <mergeCell ref="F20:H23"/>
    <mergeCell ref="J25:L27"/>
    <mergeCell ref="J9:L9"/>
    <mergeCell ref="F9:H9"/>
    <mergeCell ref="B19:D19"/>
    <mergeCell ref="B9:D9"/>
    <mergeCell ref="B14:D14"/>
    <mergeCell ref="J14:L14"/>
    <mergeCell ref="J15:L18"/>
    <mergeCell ref="B10:D13"/>
    <mergeCell ref="J10:L13"/>
    <mergeCell ref="B15:D18"/>
    <mergeCell ref="F14:H14"/>
    <mergeCell ref="F10:H13"/>
    <mergeCell ref="F15:H18"/>
    <mergeCell ref="A8:M8"/>
    <mergeCell ref="Q3:Y4"/>
    <mergeCell ref="Q5:W5"/>
    <mergeCell ref="A7:M7"/>
    <mergeCell ref="D4:J6"/>
  </mergeCells>
  <hyperlinks>
    <hyperlink ref="A8:M8" location="'Select Health Board'!A1" display="Click here to select a different health board"/>
  </hyperlinks>
  <pageMargins left="0.7" right="0.7" top="0.75" bottom="0.75" header="0.3" footer="0.3"/>
  <pageSetup paperSize="9"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Y29"/>
  <sheetViews>
    <sheetView showRowColHeaders="0" zoomScaleNormal="100" zoomScaleSheetLayoutView="180" workbookViewId="0"/>
  </sheetViews>
  <sheetFormatPr defaultColWidth="0" defaultRowHeight="0" customHeight="1" zeroHeight="1" x14ac:dyDescent="0.2"/>
  <cols>
    <col min="1" max="1" width="0.88671875" style="243" customWidth="1"/>
    <col min="2" max="2" width="8.77734375" style="243" customWidth="1"/>
    <col min="3" max="3" width="8.44140625" style="243" customWidth="1"/>
    <col min="4" max="4" width="8.77734375" style="243" customWidth="1"/>
    <col min="5" max="5" width="0.88671875" style="243" customWidth="1"/>
    <col min="6" max="6" width="8.77734375" style="243" customWidth="1"/>
    <col min="7" max="7" width="8.5546875" style="243" customWidth="1"/>
    <col min="8" max="8" width="8.77734375" style="243" customWidth="1"/>
    <col min="9" max="9" width="0.88671875" style="243" customWidth="1"/>
    <col min="10" max="10" width="8.77734375" style="243" customWidth="1"/>
    <col min="11" max="11" width="8.44140625" style="243" customWidth="1"/>
    <col min="12" max="12" width="8.77734375" style="243" customWidth="1"/>
    <col min="13" max="13" width="0.88671875" style="243" customWidth="1"/>
    <col min="14" max="14" width="0.109375" style="8" hidden="1" customWidth="1"/>
    <col min="15" max="16384" width="8.88671875" style="8" hidden="1"/>
  </cols>
  <sheetData>
    <row r="1" spans="1:25" ht="15" x14ac:dyDescent="0.2">
      <c r="A1" s="9"/>
      <c r="B1" s="9"/>
      <c r="C1" s="9"/>
      <c r="D1" s="9"/>
      <c r="E1" s="9"/>
      <c r="F1" s="9"/>
      <c r="G1" s="9"/>
      <c r="H1" s="9"/>
      <c r="I1" s="9"/>
      <c r="J1" s="9"/>
      <c r="K1" s="9"/>
      <c r="L1" s="9"/>
      <c r="M1" s="9"/>
      <c r="N1" s="9"/>
      <c r="O1" s="9"/>
    </row>
    <row r="2" spans="1:25" ht="35.25" x14ac:dyDescent="0.5">
      <c r="A2" s="9"/>
      <c r="B2" s="9"/>
      <c r="C2" s="9"/>
      <c r="D2" s="11"/>
      <c r="E2" s="8"/>
      <c r="F2" s="9"/>
      <c r="G2" s="9"/>
      <c r="H2" s="9"/>
      <c r="I2" s="9"/>
      <c r="J2" s="9"/>
      <c r="K2" s="9"/>
      <c r="L2" s="9"/>
      <c r="M2" s="9"/>
      <c r="N2" s="9"/>
      <c r="O2" s="9"/>
    </row>
    <row r="3" spans="1:25" ht="15" x14ac:dyDescent="0.2">
      <c r="A3" s="9"/>
      <c r="B3" s="9"/>
      <c r="C3" s="9"/>
      <c r="D3" s="9"/>
      <c r="E3" s="9"/>
      <c r="F3" s="9"/>
      <c r="G3" s="9"/>
      <c r="H3" s="9"/>
      <c r="I3" s="9"/>
      <c r="J3" s="9"/>
      <c r="K3" s="9"/>
      <c r="L3" s="9"/>
      <c r="M3" s="9"/>
      <c r="N3" s="9"/>
      <c r="O3" s="9"/>
      <c r="Q3" s="377"/>
      <c r="R3" s="377"/>
      <c r="S3" s="377"/>
      <c r="T3" s="377"/>
      <c r="U3" s="377"/>
      <c r="V3" s="377"/>
      <c r="W3" s="377"/>
      <c r="X3" s="377"/>
      <c r="Y3" s="377"/>
    </row>
    <row r="4" spans="1:25" ht="15" customHeight="1" x14ac:dyDescent="0.2">
      <c r="A4" s="9"/>
      <c r="B4" s="9"/>
      <c r="C4" s="9"/>
      <c r="D4" s="390" t="s">
        <v>659</v>
      </c>
      <c r="E4" s="390"/>
      <c r="F4" s="390"/>
      <c r="G4" s="390"/>
      <c r="H4" s="390"/>
      <c r="I4" s="390"/>
      <c r="J4" s="390"/>
      <c r="K4" s="9"/>
      <c r="L4" s="9"/>
      <c r="M4" s="9"/>
      <c r="N4" s="9"/>
      <c r="O4" s="9"/>
      <c r="Q4" s="377"/>
      <c r="R4" s="377"/>
      <c r="S4" s="377"/>
      <c r="T4" s="377"/>
      <c r="U4" s="377"/>
      <c r="V4" s="377"/>
      <c r="W4" s="377"/>
      <c r="X4" s="377"/>
      <c r="Y4" s="377"/>
    </row>
    <row r="5" spans="1:25" ht="15" customHeight="1" x14ac:dyDescent="0.2">
      <c r="A5" s="9"/>
      <c r="B5" s="9"/>
      <c r="C5" s="9"/>
      <c r="D5" s="390"/>
      <c r="E5" s="390"/>
      <c r="F5" s="390"/>
      <c r="G5" s="390"/>
      <c r="H5" s="390"/>
      <c r="I5" s="390"/>
      <c r="J5" s="390"/>
      <c r="K5" s="9"/>
      <c r="L5" s="9"/>
      <c r="M5" s="9"/>
      <c r="N5" s="9"/>
      <c r="O5" s="9"/>
      <c r="Q5" s="378"/>
      <c r="R5" s="378"/>
      <c r="S5" s="378"/>
      <c r="T5" s="378"/>
      <c r="U5" s="378"/>
      <c r="V5" s="378"/>
      <c r="W5" s="378"/>
      <c r="X5" s="12"/>
      <c r="Y5" s="12"/>
    </row>
    <row r="6" spans="1:25" ht="19.5" customHeight="1" x14ac:dyDescent="0.2">
      <c r="A6" s="9"/>
      <c r="B6" s="9"/>
      <c r="C6" s="19"/>
      <c r="D6" s="390"/>
      <c r="E6" s="390"/>
      <c r="F6" s="390"/>
      <c r="G6" s="390"/>
      <c r="H6" s="390"/>
      <c r="I6" s="390"/>
      <c r="J6" s="390"/>
      <c r="L6" s="9"/>
      <c r="M6" s="9"/>
      <c r="N6" s="9"/>
      <c r="O6" s="9"/>
      <c r="Q6" s="13"/>
      <c r="R6" s="12"/>
      <c r="S6" s="12"/>
      <c r="T6" s="12"/>
      <c r="U6" s="12"/>
      <c r="V6" s="12"/>
      <c r="W6" s="12"/>
      <c r="X6" s="12"/>
      <c r="Y6" s="12"/>
    </row>
    <row r="7" spans="1:25" ht="18" customHeight="1" x14ac:dyDescent="0.2">
      <c r="A7" s="461"/>
      <c r="B7" s="461"/>
      <c r="C7" s="461"/>
      <c r="D7" s="461"/>
      <c r="E7" s="461"/>
      <c r="F7" s="461"/>
      <c r="G7" s="461"/>
      <c r="H7" s="461"/>
      <c r="I7" s="461"/>
      <c r="J7" s="461"/>
      <c r="K7" s="461"/>
      <c r="L7" s="461"/>
      <c r="M7" s="461"/>
      <c r="N7" s="9"/>
      <c r="O7" s="9"/>
      <c r="Q7" s="14"/>
      <c r="R7" s="12"/>
      <c r="S7" s="12"/>
      <c r="T7" s="12"/>
      <c r="U7" s="12"/>
      <c r="V7" s="12"/>
      <c r="W7" s="12"/>
      <c r="X7" s="12"/>
      <c r="Y7" s="12"/>
    </row>
    <row r="8" spans="1:25" ht="14.25" customHeight="1" x14ac:dyDescent="0.2">
      <c r="A8" s="462"/>
      <c r="B8" s="462"/>
      <c r="C8" s="462"/>
      <c r="D8" s="462"/>
      <c r="E8" s="462"/>
      <c r="F8" s="462"/>
      <c r="G8" s="462"/>
      <c r="H8" s="462"/>
      <c r="I8" s="462"/>
      <c r="J8" s="462"/>
      <c r="K8" s="462"/>
      <c r="L8" s="462"/>
      <c r="M8" s="462"/>
      <c r="N8" s="9"/>
      <c r="O8" s="9"/>
      <c r="Q8" s="13"/>
      <c r="R8" s="15"/>
      <c r="S8" s="15"/>
      <c r="T8" s="15"/>
      <c r="U8" s="15"/>
      <c r="V8" s="15"/>
      <c r="W8" s="15"/>
      <c r="X8" s="15"/>
      <c r="Y8" s="12"/>
    </row>
    <row r="9" spans="1:25" ht="12.75" customHeight="1" x14ac:dyDescent="0.2">
      <c r="A9" s="9"/>
      <c r="B9" s="287"/>
      <c r="C9" s="463"/>
      <c r="D9" s="463"/>
      <c r="E9" s="463"/>
      <c r="F9" s="463"/>
      <c r="G9" s="463"/>
      <c r="H9" s="463"/>
      <c r="I9" s="463"/>
      <c r="J9" s="463"/>
      <c r="K9" s="463"/>
      <c r="L9" s="463"/>
      <c r="M9" s="242"/>
      <c r="N9" s="9"/>
      <c r="O9" s="9"/>
      <c r="Q9" s="14"/>
      <c r="R9" s="15"/>
      <c r="S9" s="15"/>
      <c r="T9" s="15"/>
      <c r="U9" s="15"/>
      <c r="V9" s="15"/>
      <c r="W9" s="15"/>
      <c r="X9" s="15"/>
      <c r="Y9" s="12"/>
    </row>
    <row r="10" spans="1:25" ht="15" customHeight="1" x14ac:dyDescent="0.2">
      <c r="A10" s="9"/>
      <c r="B10" s="288"/>
      <c r="C10" s="463"/>
      <c r="D10" s="463"/>
      <c r="E10" s="463"/>
      <c r="F10" s="463"/>
      <c r="G10" s="463"/>
      <c r="H10" s="463"/>
      <c r="I10" s="463"/>
      <c r="J10" s="463"/>
      <c r="K10" s="463"/>
      <c r="L10" s="463"/>
      <c r="M10" s="241"/>
      <c r="N10" s="9"/>
      <c r="O10" s="9"/>
      <c r="Q10" s="13"/>
      <c r="R10" s="15"/>
      <c r="S10" s="15"/>
      <c r="T10" s="15"/>
      <c r="U10" s="15"/>
      <c r="V10" s="15"/>
      <c r="W10" s="15"/>
      <c r="X10" s="15"/>
      <c r="Y10" s="12"/>
    </row>
    <row r="11" spans="1:25" ht="15" customHeight="1" x14ac:dyDescent="0.2">
      <c r="A11" s="8"/>
      <c r="B11" s="287"/>
      <c r="C11" s="463"/>
      <c r="D11" s="463"/>
      <c r="E11" s="463"/>
      <c r="F11" s="463"/>
      <c r="G11" s="463"/>
      <c r="H11" s="463"/>
      <c r="I11" s="463"/>
      <c r="J11" s="463"/>
      <c r="K11" s="463"/>
      <c r="L11" s="463"/>
      <c r="M11" s="241"/>
      <c r="N11" s="9"/>
      <c r="O11" s="9"/>
      <c r="Q11" s="16"/>
      <c r="R11" s="17"/>
      <c r="S11" s="17"/>
      <c r="T11" s="17"/>
      <c r="U11" s="17"/>
      <c r="V11" s="17"/>
      <c r="W11" s="17"/>
      <c r="X11" s="17"/>
      <c r="Y11" s="17"/>
    </row>
    <row r="12" spans="1:25" ht="15" customHeight="1" x14ac:dyDescent="0.2">
      <c r="A12" s="8"/>
      <c r="B12" s="288"/>
      <c r="C12" s="463"/>
      <c r="D12" s="463"/>
      <c r="E12" s="463"/>
      <c r="F12" s="463"/>
      <c r="G12" s="463"/>
      <c r="H12" s="463"/>
      <c r="I12" s="463"/>
      <c r="J12" s="463"/>
      <c r="K12" s="463"/>
      <c r="L12" s="463"/>
      <c r="M12" s="241"/>
      <c r="N12" s="9"/>
      <c r="O12" s="9"/>
      <c r="Q12" s="16"/>
      <c r="R12" s="17"/>
      <c r="S12" s="17"/>
      <c r="T12" s="17"/>
      <c r="U12" s="17"/>
      <c r="V12" s="17"/>
      <c r="W12" s="17"/>
      <c r="X12" s="17"/>
      <c r="Y12" s="17"/>
    </row>
    <row r="13" spans="1:25" ht="15" customHeight="1" x14ac:dyDescent="0.2">
      <c r="A13" s="22"/>
      <c r="B13" s="287"/>
      <c r="C13" s="463"/>
      <c r="D13" s="463"/>
      <c r="E13" s="463"/>
      <c r="F13" s="463"/>
      <c r="G13" s="463"/>
      <c r="H13" s="463"/>
      <c r="I13" s="463"/>
      <c r="J13" s="463"/>
      <c r="K13" s="463"/>
      <c r="L13" s="463"/>
      <c r="M13" s="9"/>
      <c r="N13" s="9"/>
      <c r="O13" s="9"/>
      <c r="Q13" s="16"/>
      <c r="R13" s="12"/>
      <c r="S13" s="12"/>
      <c r="T13" s="12"/>
      <c r="U13" s="12"/>
      <c r="V13" s="12"/>
      <c r="W13" s="12"/>
      <c r="X13" s="12"/>
      <c r="Y13" s="12"/>
    </row>
    <row r="14" spans="1:25" ht="13.5" customHeight="1" x14ac:dyDescent="0.2">
      <c r="A14" s="22"/>
      <c r="B14" s="288"/>
      <c r="C14" s="463"/>
      <c r="D14" s="463"/>
      <c r="E14" s="463"/>
      <c r="F14" s="463"/>
      <c r="G14" s="463"/>
      <c r="H14" s="463"/>
      <c r="I14" s="463"/>
      <c r="J14" s="463"/>
      <c r="K14" s="463"/>
      <c r="L14" s="463"/>
      <c r="M14" s="9"/>
      <c r="N14" s="9"/>
      <c r="O14" s="9"/>
    </row>
    <row r="15" spans="1:25" ht="15" customHeight="1" x14ac:dyDescent="0.2">
      <c r="A15" s="22"/>
      <c r="B15" s="287"/>
      <c r="C15" s="463"/>
      <c r="D15" s="463"/>
      <c r="E15" s="463"/>
      <c r="F15" s="463"/>
      <c r="G15" s="463"/>
      <c r="H15" s="463"/>
      <c r="I15" s="463"/>
      <c r="J15" s="463"/>
      <c r="K15" s="463"/>
      <c r="L15" s="463"/>
      <c r="M15" s="9"/>
      <c r="N15" s="9"/>
      <c r="O15" s="9"/>
    </row>
    <row r="16" spans="1:25" ht="15" customHeight="1" x14ac:dyDescent="0.2">
      <c r="A16" s="22"/>
      <c r="B16" s="288"/>
      <c r="C16" s="463"/>
      <c r="D16" s="463"/>
      <c r="E16" s="463"/>
      <c r="F16" s="463"/>
      <c r="G16" s="463"/>
      <c r="H16" s="463"/>
      <c r="I16" s="463"/>
      <c r="J16" s="463"/>
      <c r="K16" s="463"/>
      <c r="L16" s="463"/>
      <c r="M16" s="9"/>
      <c r="N16" s="9"/>
      <c r="O16" s="9"/>
      <c r="V16" s="18"/>
    </row>
    <row r="17" spans="1:15" ht="15" customHeight="1" x14ac:dyDescent="0.2">
      <c r="A17" s="22"/>
      <c r="B17" s="290"/>
      <c r="C17" s="463"/>
      <c r="D17" s="463"/>
      <c r="E17" s="463"/>
      <c r="F17" s="463"/>
      <c r="G17" s="463"/>
      <c r="H17" s="463"/>
      <c r="I17" s="463"/>
      <c r="J17" s="463"/>
      <c r="K17" s="463"/>
      <c r="L17" s="463"/>
      <c r="M17" s="9"/>
      <c r="N17" s="9"/>
      <c r="O17" s="9"/>
    </row>
    <row r="18" spans="1:15" ht="15" customHeight="1" x14ac:dyDescent="0.2">
      <c r="A18" s="22"/>
      <c r="B18" s="290"/>
      <c r="C18" s="466"/>
      <c r="D18" s="466"/>
      <c r="E18" s="466"/>
      <c r="F18" s="466"/>
      <c r="G18" s="466"/>
      <c r="H18" s="466"/>
      <c r="I18" s="466"/>
      <c r="J18" s="466"/>
      <c r="K18" s="466"/>
      <c r="L18" s="466"/>
      <c r="M18" s="9"/>
      <c r="N18" s="9"/>
      <c r="O18" s="9"/>
    </row>
    <row r="19" spans="1:15" ht="13.5" customHeight="1" x14ac:dyDescent="0.2">
      <c r="A19" s="22"/>
      <c r="B19" s="464"/>
      <c r="C19" s="463"/>
      <c r="D19" s="463"/>
      <c r="E19" s="463"/>
      <c r="F19" s="463"/>
      <c r="G19" s="463"/>
      <c r="H19" s="463"/>
      <c r="I19" s="463"/>
      <c r="J19" s="463"/>
      <c r="K19" s="463"/>
      <c r="L19" s="463"/>
      <c r="M19" s="9"/>
      <c r="N19" s="9"/>
      <c r="O19" s="9"/>
    </row>
    <row r="20" spans="1:15" ht="15" customHeight="1" x14ac:dyDescent="0.2">
      <c r="A20" s="22"/>
      <c r="B20" s="464"/>
      <c r="C20" s="463"/>
      <c r="D20" s="463"/>
      <c r="E20" s="463"/>
      <c r="F20" s="463"/>
      <c r="G20" s="463"/>
      <c r="H20" s="463"/>
      <c r="I20" s="463"/>
      <c r="J20" s="463"/>
      <c r="K20" s="463"/>
      <c r="L20" s="463"/>
      <c r="M20" s="9"/>
      <c r="N20" s="9"/>
      <c r="O20" s="9"/>
    </row>
    <row r="21" spans="1:15" ht="15" customHeight="1" x14ac:dyDescent="0.2">
      <c r="A21" s="22"/>
      <c r="B21" s="289"/>
      <c r="C21" s="463"/>
      <c r="D21" s="463"/>
      <c r="E21" s="463"/>
      <c r="F21" s="463"/>
      <c r="G21" s="463"/>
      <c r="H21" s="463"/>
      <c r="I21" s="463"/>
      <c r="J21" s="463"/>
      <c r="K21" s="463"/>
      <c r="L21" s="463"/>
      <c r="M21" s="9"/>
      <c r="N21" s="9"/>
      <c r="O21" s="9"/>
    </row>
    <row r="22" spans="1:15" ht="15" customHeight="1" x14ac:dyDescent="0.2">
      <c r="A22" s="33"/>
      <c r="B22" s="288"/>
      <c r="C22" s="463"/>
      <c r="D22" s="463"/>
      <c r="E22" s="463"/>
      <c r="F22" s="463"/>
      <c r="G22" s="463"/>
      <c r="H22" s="463"/>
      <c r="I22" s="463"/>
      <c r="J22" s="463"/>
      <c r="K22" s="463"/>
      <c r="L22" s="463"/>
      <c r="M22" s="9"/>
      <c r="N22" s="9"/>
      <c r="O22" s="9"/>
    </row>
    <row r="23" spans="1:15" ht="15" customHeight="1" x14ac:dyDescent="0.2">
      <c r="A23" s="33"/>
      <c r="B23" s="464"/>
      <c r="C23" s="463"/>
      <c r="D23" s="463"/>
      <c r="E23" s="463"/>
      <c r="F23" s="463"/>
      <c r="G23" s="463"/>
      <c r="H23" s="463"/>
      <c r="I23" s="463"/>
      <c r="J23" s="463"/>
      <c r="K23" s="463"/>
      <c r="L23" s="463"/>
      <c r="M23" s="9"/>
      <c r="N23" s="9"/>
      <c r="O23" s="9"/>
    </row>
    <row r="24" spans="1:15" ht="14.25" customHeight="1" x14ac:dyDescent="0.2">
      <c r="B24" s="464"/>
      <c r="C24" s="463"/>
      <c r="D24" s="463"/>
      <c r="E24" s="463"/>
      <c r="F24" s="463"/>
      <c r="G24" s="463"/>
      <c r="H24" s="463"/>
      <c r="I24" s="463"/>
      <c r="J24" s="463"/>
      <c r="K24" s="463"/>
      <c r="L24" s="463"/>
      <c r="N24" s="9"/>
      <c r="O24" s="9"/>
    </row>
    <row r="25" spans="1:15" ht="15" customHeight="1" x14ac:dyDescent="0.2">
      <c r="B25" s="318"/>
      <c r="C25" s="286"/>
      <c r="D25" s="286"/>
      <c r="E25" s="286"/>
      <c r="F25" s="286"/>
      <c r="G25" s="286"/>
      <c r="H25" s="286"/>
      <c r="I25" s="286"/>
      <c r="J25" s="286"/>
      <c r="K25" s="286"/>
      <c r="L25" s="286"/>
      <c r="N25" s="9"/>
      <c r="O25" s="9"/>
    </row>
    <row r="26" spans="1:15" ht="13.5" customHeight="1" x14ac:dyDescent="0.2">
      <c r="B26" s="465" t="str">
        <f>'Comparison data'!I23</f>
        <v>In 2015-16 there were 45 new CVIs per 100,000 Welsh residents. Out of the health boards, Powys had the highest rate with 59 new CVIs per 100,000 Powys residents and the lowest rate was in Cardiff &amp; Vale with 33 new CVIs per 100,000 Cardiif &amp; Vale residents.</v>
      </c>
      <c r="C26" s="465"/>
      <c r="D26" s="465"/>
      <c r="E26" s="465"/>
      <c r="F26" s="465"/>
      <c r="G26" s="465"/>
      <c r="H26" s="465"/>
      <c r="I26" s="465"/>
      <c r="J26" s="465"/>
      <c r="K26" s="465"/>
      <c r="L26" s="286"/>
      <c r="N26" s="9"/>
      <c r="O26" s="9"/>
    </row>
    <row r="27" spans="1:15" ht="15" customHeight="1" x14ac:dyDescent="0.2">
      <c r="B27" s="465"/>
      <c r="C27" s="465"/>
      <c r="D27" s="465"/>
      <c r="E27" s="465"/>
      <c r="F27" s="465"/>
      <c r="G27" s="465"/>
      <c r="H27" s="465"/>
      <c r="I27" s="465"/>
      <c r="J27" s="465"/>
      <c r="K27" s="465"/>
      <c r="L27" s="286"/>
      <c r="N27" s="9"/>
      <c r="O27" s="9"/>
    </row>
    <row r="28" spans="1:15" ht="15" customHeight="1" x14ac:dyDescent="0.2">
      <c r="B28" s="465"/>
      <c r="C28" s="465"/>
      <c r="D28" s="465"/>
      <c r="E28" s="465"/>
      <c r="F28" s="465"/>
      <c r="G28" s="465"/>
      <c r="H28" s="465"/>
      <c r="I28" s="465"/>
      <c r="J28" s="465"/>
      <c r="K28" s="465"/>
      <c r="L28" s="286"/>
      <c r="N28" s="9"/>
      <c r="O28" s="9"/>
    </row>
    <row r="29" spans="1:15" ht="15.75" customHeight="1" x14ac:dyDescent="0.2">
      <c r="B29" s="465"/>
      <c r="C29" s="465"/>
      <c r="D29" s="465"/>
      <c r="E29" s="465"/>
      <c r="F29" s="465"/>
      <c r="G29" s="465"/>
      <c r="H29" s="465"/>
      <c r="I29" s="465"/>
      <c r="J29" s="465"/>
      <c r="K29" s="465"/>
      <c r="N29" s="9"/>
      <c r="O29" s="9"/>
    </row>
  </sheetData>
  <sheetProtection password="E69E" sheet="1" objects="1" scenarios="1"/>
  <mergeCells count="17">
    <mergeCell ref="B19:B20"/>
    <mergeCell ref="B23:B24"/>
    <mergeCell ref="B26:K29"/>
    <mergeCell ref="C17:L17"/>
    <mergeCell ref="C18:L18"/>
    <mergeCell ref="C23:L24"/>
    <mergeCell ref="C21:L22"/>
    <mergeCell ref="C9:L10"/>
    <mergeCell ref="C11:L12"/>
    <mergeCell ref="C13:L14"/>
    <mergeCell ref="C15:L16"/>
    <mergeCell ref="C19:L20"/>
    <mergeCell ref="Q3:Y4"/>
    <mergeCell ref="D4:J6"/>
    <mergeCell ref="Q5:W5"/>
    <mergeCell ref="A7:M7"/>
    <mergeCell ref="A8:M8"/>
  </mergeCell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22" r:id="rId4" name="Drop Down 2">
              <controlPr defaultSize="0" autoLine="0" autoPict="0">
                <anchor moveWithCells="1">
                  <from>
                    <xdr:col>1</xdr:col>
                    <xdr:colOff>95250</xdr:colOff>
                    <xdr:row>7</xdr:row>
                    <xdr:rowOff>19050</xdr:rowOff>
                  </from>
                  <to>
                    <xdr:col>11</xdr:col>
                    <xdr:colOff>733425</xdr:colOff>
                    <xdr:row>8</xdr:row>
                    <xdr:rowOff>38100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pageSetUpPr autoPageBreaks="0"/>
  </sheetPr>
  <dimension ref="A1:V26"/>
  <sheetViews>
    <sheetView showRowColHeaders="0" zoomScaleNormal="100" zoomScaleSheetLayoutView="140" workbookViewId="0"/>
  </sheetViews>
  <sheetFormatPr defaultColWidth="0" defaultRowHeight="15" customHeight="1" zeroHeight="1" x14ac:dyDescent="0.2"/>
  <cols>
    <col min="1" max="1" width="1.109375" style="8" customWidth="1"/>
    <col min="2" max="2" width="9.88671875" style="8" customWidth="1"/>
    <col min="3" max="7" width="8.88671875" style="8" customWidth="1"/>
    <col min="8" max="8" width="10.21875" style="8" customWidth="1"/>
    <col min="9" max="9" width="10.77734375" style="8" customWidth="1"/>
    <col min="10" max="10" width="5.109375" style="8" customWidth="1"/>
    <col min="11" max="11" width="0.3320312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389" t="s">
        <v>35</v>
      </c>
      <c r="B4" s="389"/>
      <c r="C4" s="389"/>
      <c r="D4" s="389"/>
      <c r="E4" s="389"/>
      <c r="F4" s="389"/>
      <c r="G4" s="389"/>
      <c r="H4" s="389"/>
      <c r="I4" s="389"/>
      <c r="J4" s="389"/>
      <c r="K4" s="9"/>
      <c r="L4" s="9"/>
      <c r="N4" s="377"/>
      <c r="O4" s="377"/>
      <c r="P4" s="377"/>
      <c r="Q4" s="377"/>
      <c r="R4" s="377"/>
      <c r="S4" s="377"/>
      <c r="T4" s="377"/>
      <c r="U4" s="377"/>
      <c r="V4" s="377"/>
    </row>
    <row r="5" spans="1:22" ht="15" customHeight="1" x14ac:dyDescent="0.2">
      <c r="A5" s="389"/>
      <c r="B5" s="389"/>
      <c r="C5" s="389"/>
      <c r="D5" s="389"/>
      <c r="E5" s="389"/>
      <c r="F5" s="389"/>
      <c r="G5" s="389"/>
      <c r="H5" s="389"/>
      <c r="I5" s="389"/>
      <c r="J5" s="389"/>
      <c r="K5" s="9"/>
      <c r="L5" s="9"/>
      <c r="N5" s="378"/>
      <c r="O5" s="378"/>
      <c r="P5" s="378"/>
      <c r="Q5" s="378"/>
      <c r="R5" s="378"/>
      <c r="S5" s="378"/>
      <c r="T5" s="378"/>
      <c r="U5" s="12"/>
      <c r="V5" s="12"/>
    </row>
    <row r="6" spans="1:22" ht="27" customHeight="1" x14ac:dyDescent="0.2">
      <c r="A6" s="389"/>
      <c r="B6" s="389"/>
      <c r="C6" s="389"/>
      <c r="D6" s="389"/>
      <c r="E6" s="389"/>
      <c r="F6" s="389"/>
      <c r="G6" s="389"/>
      <c r="H6" s="389"/>
      <c r="I6" s="389"/>
      <c r="J6" s="389"/>
      <c r="K6" s="9"/>
      <c r="L6" s="9"/>
      <c r="N6" s="13"/>
      <c r="O6" s="12"/>
      <c r="P6" s="12"/>
      <c r="Q6" s="12"/>
      <c r="R6" s="12"/>
      <c r="S6" s="12"/>
      <c r="T6" s="12"/>
      <c r="U6" s="12"/>
      <c r="V6" s="12"/>
    </row>
    <row r="7" spans="1:22" ht="33" customHeight="1" x14ac:dyDescent="0.2">
      <c r="A7" s="389"/>
      <c r="B7" s="389"/>
      <c r="C7" s="389"/>
      <c r="D7" s="389"/>
      <c r="E7" s="389"/>
      <c r="F7" s="389"/>
      <c r="G7" s="389"/>
      <c r="H7" s="389"/>
      <c r="I7" s="389"/>
      <c r="J7" s="389"/>
      <c r="K7" s="9"/>
      <c r="L7" s="9"/>
      <c r="N7" s="14"/>
      <c r="O7" s="12"/>
      <c r="P7" s="12"/>
      <c r="Q7" s="12"/>
      <c r="R7" s="12"/>
      <c r="S7" s="12"/>
      <c r="T7" s="12"/>
      <c r="U7" s="12"/>
      <c r="V7" s="12"/>
    </row>
    <row r="8" spans="1:22" x14ac:dyDescent="0.2">
      <c r="A8" s="9"/>
      <c r="B8" s="191" t="s">
        <v>326</v>
      </c>
      <c r="C8" s="192"/>
      <c r="D8" s="192"/>
      <c r="E8" s="193"/>
      <c r="F8" s="193"/>
      <c r="G8" s="56"/>
      <c r="H8" s="192"/>
      <c r="I8" s="56"/>
      <c r="J8" s="194"/>
      <c r="K8" s="9"/>
      <c r="L8" s="9"/>
      <c r="N8" s="13"/>
      <c r="O8" s="15"/>
      <c r="P8" s="15"/>
      <c r="Q8" s="15"/>
      <c r="R8" s="15"/>
      <c r="S8" s="15"/>
      <c r="T8" s="15"/>
      <c r="U8" s="15"/>
      <c r="V8" s="12"/>
    </row>
    <row r="9" spans="1:22" x14ac:dyDescent="0.2">
      <c r="A9" s="9"/>
      <c r="B9" s="195" t="s">
        <v>80</v>
      </c>
      <c r="C9" s="196"/>
      <c r="D9" s="196"/>
      <c r="E9" s="56"/>
      <c r="F9" s="56"/>
      <c r="G9" s="56"/>
      <c r="H9" s="56"/>
      <c r="I9" s="192"/>
      <c r="J9" s="337" t="s">
        <v>37</v>
      </c>
      <c r="K9" s="9"/>
      <c r="L9" s="9"/>
      <c r="N9" s="14"/>
      <c r="O9" s="15"/>
      <c r="P9" s="15"/>
      <c r="Q9" s="15"/>
      <c r="R9" s="15"/>
      <c r="S9" s="15"/>
      <c r="T9" s="15"/>
      <c r="U9" s="15"/>
      <c r="V9" s="12"/>
    </row>
    <row r="10" spans="1:22" ht="15.75" customHeight="1" x14ac:dyDescent="0.2">
      <c r="A10" s="9"/>
      <c r="B10" s="34" t="s">
        <v>327</v>
      </c>
      <c r="C10" s="197"/>
      <c r="D10" s="197"/>
      <c r="E10" s="197"/>
      <c r="F10" s="197"/>
      <c r="G10" s="56"/>
      <c r="H10" s="56"/>
      <c r="I10" s="56"/>
      <c r="J10" s="194"/>
      <c r="K10" s="9"/>
      <c r="L10" s="9"/>
      <c r="N10" s="13"/>
      <c r="O10" s="15"/>
      <c r="P10" s="15"/>
      <c r="Q10" s="15"/>
      <c r="R10" s="15"/>
      <c r="S10" s="15"/>
      <c r="T10" s="15"/>
      <c r="U10" s="15"/>
      <c r="V10" s="12"/>
    </row>
    <row r="11" spans="1:22" ht="15" customHeight="1" x14ac:dyDescent="0.2">
      <c r="B11" s="191"/>
      <c r="C11" s="34"/>
      <c r="D11" s="34"/>
      <c r="E11" s="198"/>
      <c r="F11" s="56"/>
      <c r="G11" s="56"/>
      <c r="H11" s="56"/>
      <c r="I11" s="56"/>
      <c r="J11" s="194"/>
      <c r="K11" s="9"/>
      <c r="L11" s="9"/>
      <c r="N11" s="16"/>
      <c r="O11" s="17"/>
      <c r="P11" s="17"/>
      <c r="Q11" s="17"/>
      <c r="R11" s="17"/>
      <c r="S11" s="17"/>
      <c r="T11" s="17"/>
      <c r="U11" s="17"/>
      <c r="V11" s="17"/>
    </row>
    <row r="12" spans="1:22" ht="15.75" customHeight="1" x14ac:dyDescent="0.2">
      <c r="B12" s="191" t="s">
        <v>40</v>
      </c>
      <c r="C12" s="34"/>
      <c r="D12" s="34"/>
      <c r="E12" s="198"/>
      <c r="F12" s="56"/>
      <c r="G12" s="352"/>
      <c r="H12" s="352"/>
      <c r="I12" s="352"/>
      <c r="J12" s="354"/>
      <c r="K12" s="353"/>
      <c r="L12" s="9"/>
      <c r="N12" s="16"/>
      <c r="O12" s="17"/>
      <c r="P12" s="17"/>
      <c r="Q12" s="17"/>
      <c r="R12" s="17"/>
      <c r="S12" s="17"/>
      <c r="T12" s="17"/>
      <c r="U12" s="17"/>
      <c r="V12" s="17"/>
    </row>
    <row r="13" spans="1:22" ht="15" customHeight="1" x14ac:dyDescent="0.2">
      <c r="A13" s="22"/>
      <c r="B13" s="469" t="s">
        <v>39</v>
      </c>
      <c r="C13" s="469"/>
      <c r="D13" s="469"/>
      <c r="E13" s="469"/>
      <c r="F13" s="469"/>
      <c r="G13" s="352"/>
      <c r="H13" s="352"/>
      <c r="I13" s="352"/>
      <c r="K13" s="9"/>
      <c r="L13" s="9"/>
      <c r="N13" s="16"/>
      <c r="O13" s="12"/>
      <c r="P13" s="12"/>
      <c r="Q13" s="12"/>
      <c r="R13" s="12"/>
      <c r="S13" s="12"/>
      <c r="T13" s="12"/>
      <c r="U13" s="12"/>
      <c r="V13" s="12"/>
    </row>
    <row r="14" spans="1:22" x14ac:dyDescent="0.2">
      <c r="A14" s="22"/>
      <c r="B14" s="352"/>
      <c r="C14" s="352"/>
      <c r="D14" s="352"/>
      <c r="E14" s="352"/>
      <c r="F14" s="352"/>
      <c r="G14" s="352"/>
      <c r="H14" s="352"/>
      <c r="I14" s="352"/>
      <c r="J14" s="194"/>
      <c r="K14" s="9"/>
      <c r="L14" s="9"/>
    </row>
    <row r="15" spans="1:22" ht="15" customHeight="1" x14ac:dyDescent="0.2">
      <c r="A15" s="22"/>
      <c r="C15" s="355"/>
      <c r="D15" s="355"/>
      <c r="E15" s="355"/>
      <c r="F15" s="355"/>
      <c r="G15" s="355"/>
      <c r="H15" s="355"/>
      <c r="I15" s="355"/>
      <c r="J15" s="194"/>
      <c r="K15" s="9"/>
      <c r="L15" s="9"/>
    </row>
    <row r="16" spans="1:22" x14ac:dyDescent="0.2">
      <c r="A16" s="22"/>
      <c r="B16" s="467" t="s">
        <v>190</v>
      </c>
      <c r="C16" s="467"/>
      <c r="D16" s="467"/>
      <c r="E16" s="467"/>
      <c r="F16" s="467"/>
      <c r="G16" s="467"/>
      <c r="H16" s="467"/>
      <c r="I16" s="467"/>
      <c r="J16" s="194"/>
      <c r="K16" s="9"/>
      <c r="L16" s="9"/>
      <c r="S16" s="18"/>
    </row>
    <row r="17" spans="1:12" ht="14.25" customHeight="1" x14ac:dyDescent="0.2">
      <c r="A17" s="22"/>
      <c r="B17" s="467"/>
      <c r="C17" s="467"/>
      <c r="D17" s="467"/>
      <c r="E17" s="467"/>
      <c r="F17" s="467"/>
      <c r="G17" s="467"/>
      <c r="H17" s="467"/>
      <c r="I17" s="467"/>
      <c r="J17" s="344"/>
      <c r="K17" s="9"/>
      <c r="L17" s="9"/>
    </row>
    <row r="18" spans="1:12" ht="15.6" customHeight="1" x14ac:dyDescent="0.2">
      <c r="A18" s="22"/>
      <c r="B18" s="468" t="s">
        <v>38</v>
      </c>
      <c r="C18" s="468"/>
      <c r="D18" s="468"/>
      <c r="E18" s="468"/>
      <c r="F18" s="468"/>
      <c r="G18" s="468"/>
      <c r="H18" s="468"/>
      <c r="I18" s="468"/>
      <c r="J18" s="344"/>
      <c r="K18" s="9"/>
      <c r="L18" s="9"/>
    </row>
    <row r="19" spans="1:12" ht="18.75" customHeight="1" x14ac:dyDescent="0.2">
      <c r="A19" s="22"/>
      <c r="B19" s="468"/>
      <c r="C19" s="468"/>
      <c r="D19" s="468"/>
      <c r="E19" s="468"/>
      <c r="F19" s="468"/>
      <c r="G19" s="468"/>
      <c r="H19" s="468"/>
      <c r="I19" s="468"/>
      <c r="J19" s="351"/>
      <c r="K19" s="9"/>
      <c r="L19" s="9"/>
    </row>
    <row r="20" spans="1:12" s="42" customFormat="1" ht="24.75" customHeight="1" x14ac:dyDescent="0.2">
      <c r="A20" s="40"/>
      <c r="J20" s="351"/>
      <c r="K20" s="41"/>
      <c r="L20" s="41"/>
    </row>
    <row r="21" spans="1:12" ht="18.75" customHeight="1" x14ac:dyDescent="0.2">
      <c r="A21" s="22"/>
      <c r="J21" s="199"/>
      <c r="K21" s="9"/>
      <c r="L21" s="9"/>
    </row>
    <row r="22" spans="1:12" ht="15" customHeight="1" x14ac:dyDescent="0.25">
      <c r="A22" s="33"/>
      <c r="J22" s="194"/>
      <c r="K22" s="9"/>
      <c r="L22" s="9"/>
    </row>
    <row r="23" spans="1:12" ht="13.5" customHeight="1" x14ac:dyDescent="0.25">
      <c r="A23" s="33"/>
      <c r="J23" s="194"/>
      <c r="K23" s="9"/>
      <c r="L23" s="9"/>
    </row>
    <row r="24" spans="1:12" ht="16.5" customHeight="1" x14ac:dyDescent="0.25">
      <c r="A24" s="33"/>
      <c r="B24" s="191" t="s">
        <v>873</v>
      </c>
      <c r="C24" s="34"/>
      <c r="D24" s="33"/>
      <c r="E24" s="33"/>
      <c r="F24" s="33"/>
      <c r="G24" s="33"/>
      <c r="H24" s="33"/>
      <c r="I24" s="33"/>
      <c r="J24" s="194"/>
      <c r="K24" s="9"/>
      <c r="L24" s="9"/>
    </row>
    <row r="25" spans="1:12" ht="13.5" customHeight="1" x14ac:dyDescent="0.25">
      <c r="A25" s="9"/>
      <c r="B25" s="356" t="s">
        <v>872</v>
      </c>
      <c r="C25" s="9"/>
      <c r="D25" s="9"/>
      <c r="E25" s="9"/>
      <c r="F25" s="9"/>
      <c r="G25" s="9"/>
      <c r="H25" s="9"/>
      <c r="I25" s="9"/>
      <c r="J25" s="9"/>
      <c r="K25" s="9"/>
      <c r="L25" s="9"/>
    </row>
    <row r="26" spans="1:12" ht="13.5" customHeight="1" x14ac:dyDescent="0.25"/>
  </sheetData>
  <sheetProtection selectLockedCells="1"/>
  <mergeCells count="6">
    <mergeCell ref="B16:I17"/>
    <mergeCell ref="B18:I19"/>
    <mergeCell ref="N3:V4"/>
    <mergeCell ref="N5:T5"/>
    <mergeCell ref="B13:F13"/>
    <mergeCell ref="A4:J7"/>
  </mergeCells>
  <hyperlinks>
    <hyperlink ref="J9" r:id="rId1"/>
    <hyperlink ref="B13" r:id="rId2"/>
    <hyperlink ref="B25" r:id="rId3" display="mailto:stats.healthinfo@wales.gsi.gov.uk"/>
  </hyperlinks>
  <pageMargins left="0.7" right="0.7" top="0.75" bottom="0.75" header="0.3" footer="0.3"/>
  <pageSetup paperSize="9" scale="90" orientation="landscape" horizontalDpi="300" verticalDpi="3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A1:V29"/>
  <sheetViews>
    <sheetView showRowColHeaders="0" topLeftCell="A2" zoomScaleNormal="100" zoomScaleSheetLayoutView="120" workbookViewId="0">
      <selection activeCell="B17" sqref="B16:F22"/>
    </sheetView>
  </sheetViews>
  <sheetFormatPr defaultColWidth="0" defaultRowHeight="15" customHeight="1" zeroHeight="1" x14ac:dyDescent="0.2"/>
  <cols>
    <col min="1" max="1" width="8.88671875" style="8" customWidth="1"/>
    <col min="2" max="2" width="1.88671875" style="8" customWidth="1"/>
    <col min="3" max="8" width="8.88671875" style="8" customWidth="1"/>
    <col min="9" max="9" width="13.33203125" style="8" customWidth="1"/>
    <col min="10" max="10" width="3.77734375" style="8" customWidth="1"/>
    <col min="11" max="11" width="0.6640625" style="8" customWidth="1"/>
    <col min="12" max="16384" width="8.88671875" style="8" hidden="1"/>
  </cols>
  <sheetData>
    <row r="1" spans="1:22" x14ac:dyDescent="0.2">
      <c r="A1" s="9"/>
      <c r="B1" s="9"/>
      <c r="C1" s="9"/>
      <c r="D1" s="9"/>
      <c r="E1" s="9"/>
      <c r="F1" s="9"/>
      <c r="G1" s="9"/>
      <c r="H1" s="9"/>
      <c r="I1" s="9"/>
      <c r="J1" s="9"/>
      <c r="K1" s="9"/>
      <c r="L1" s="9"/>
    </row>
    <row r="2" spans="1:22" ht="22.5" customHeight="1"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x14ac:dyDescent="0.2">
      <c r="A4" s="9"/>
      <c r="B4" s="9"/>
      <c r="C4" s="9"/>
      <c r="D4" s="9"/>
      <c r="E4" s="9"/>
      <c r="F4" s="9"/>
      <c r="G4" s="9"/>
      <c r="H4" s="9"/>
      <c r="I4" s="9"/>
      <c r="J4" s="9"/>
      <c r="K4" s="9"/>
      <c r="L4" s="9"/>
      <c r="N4" s="377"/>
      <c r="O4" s="377"/>
      <c r="P4" s="377"/>
      <c r="Q4" s="377"/>
      <c r="R4" s="377"/>
      <c r="S4" s="377"/>
      <c r="T4" s="377"/>
      <c r="U4" s="377"/>
      <c r="V4" s="377"/>
    </row>
    <row r="5" spans="1:22" x14ac:dyDescent="0.2">
      <c r="A5" s="9"/>
      <c r="B5" s="9"/>
      <c r="C5" s="9"/>
      <c r="D5" s="9"/>
      <c r="E5" s="9"/>
      <c r="F5" s="9"/>
      <c r="G5" s="9"/>
      <c r="H5" s="9"/>
      <c r="I5" s="9"/>
      <c r="J5" s="9"/>
      <c r="K5" s="9"/>
      <c r="L5" s="9"/>
      <c r="N5" s="78"/>
      <c r="O5" s="78"/>
      <c r="P5" s="78"/>
      <c r="Q5" s="78"/>
      <c r="R5" s="78"/>
      <c r="S5" s="78"/>
      <c r="T5" s="78"/>
      <c r="U5" s="12"/>
      <c r="V5" s="12"/>
    </row>
    <row r="6" spans="1:22" ht="15.75" customHeight="1" x14ac:dyDescent="0.2">
      <c r="A6" s="9"/>
      <c r="B6" s="9"/>
      <c r="C6" s="19"/>
      <c r="D6" s="19"/>
      <c r="E6" s="19"/>
      <c r="F6" s="19"/>
      <c r="I6" s="9"/>
      <c r="J6" s="9"/>
      <c r="K6" s="9"/>
      <c r="L6" s="9"/>
      <c r="N6" s="13"/>
      <c r="O6" s="12"/>
      <c r="P6" s="12"/>
      <c r="Q6" s="12"/>
      <c r="R6" s="12"/>
      <c r="S6" s="12"/>
      <c r="T6" s="12"/>
      <c r="U6" s="12"/>
      <c r="V6" s="12"/>
    </row>
    <row r="7" spans="1:22" x14ac:dyDescent="0.2">
      <c r="A7" s="9"/>
      <c r="B7" s="9"/>
      <c r="C7" s="19"/>
      <c r="D7" s="19"/>
      <c r="E7" s="19"/>
      <c r="F7" s="345"/>
      <c r="I7" s="9"/>
      <c r="J7" s="9"/>
      <c r="K7" s="9"/>
      <c r="L7" s="9"/>
      <c r="N7" s="14"/>
      <c r="O7" s="12"/>
      <c r="P7" s="12"/>
      <c r="Q7" s="12"/>
      <c r="R7" s="12"/>
      <c r="S7" s="12"/>
      <c r="T7" s="12"/>
      <c r="U7" s="12"/>
      <c r="V7" s="12"/>
    </row>
    <row r="8" spans="1:22" x14ac:dyDescent="0.2">
      <c r="A8" s="9"/>
      <c r="B8" s="9"/>
      <c r="C8" s="19"/>
      <c r="D8" s="19"/>
      <c r="E8" s="19"/>
      <c r="F8" s="19"/>
      <c r="I8" s="9"/>
      <c r="J8" s="9"/>
      <c r="K8" s="9"/>
      <c r="L8" s="9"/>
      <c r="N8" s="13"/>
      <c r="O8" s="15"/>
      <c r="P8" s="15"/>
      <c r="Q8" s="15"/>
      <c r="R8" s="15"/>
      <c r="S8" s="15"/>
      <c r="T8" s="15"/>
      <c r="U8" s="15"/>
      <c r="V8" s="12"/>
    </row>
    <row r="9" spans="1:22" x14ac:dyDescent="0.2">
      <c r="A9" s="9"/>
      <c r="B9" s="9"/>
      <c r="C9" s="19"/>
      <c r="D9" s="19"/>
      <c r="E9" s="19"/>
      <c r="F9" s="19"/>
      <c r="I9" s="9"/>
      <c r="J9" s="9"/>
      <c r="K9" s="9"/>
      <c r="L9" s="9"/>
      <c r="N9" s="14"/>
      <c r="O9" s="15"/>
      <c r="P9" s="15"/>
      <c r="Q9" s="15"/>
      <c r="R9" s="15"/>
      <c r="S9" s="15"/>
      <c r="T9" s="15"/>
      <c r="U9" s="15"/>
      <c r="V9" s="12"/>
    </row>
    <row r="10" spans="1:22" x14ac:dyDescent="0.2">
      <c r="A10" s="9"/>
      <c r="B10" s="9"/>
      <c r="I10" s="9"/>
      <c r="J10" s="9"/>
      <c r="K10" s="9"/>
      <c r="L10" s="9"/>
      <c r="N10" s="13"/>
      <c r="O10" s="15"/>
      <c r="P10" s="15"/>
      <c r="Q10" s="15"/>
      <c r="R10" s="15"/>
      <c r="S10" s="15"/>
      <c r="T10" s="15"/>
      <c r="U10" s="15"/>
      <c r="V10" s="12"/>
    </row>
    <row r="11" spans="1:22" x14ac:dyDescent="0.2">
      <c r="A11" s="9"/>
      <c r="B11" s="9"/>
      <c r="C11" s="55"/>
      <c r="D11" s="55"/>
      <c r="E11" s="55"/>
      <c r="F11" s="55"/>
      <c r="I11" s="9"/>
      <c r="J11" s="9"/>
      <c r="K11" s="9"/>
      <c r="L11" s="9"/>
      <c r="N11" s="16"/>
      <c r="O11" s="17"/>
      <c r="P11" s="17"/>
      <c r="Q11" s="17"/>
      <c r="R11" s="17"/>
      <c r="S11" s="17"/>
      <c r="T11" s="17"/>
      <c r="U11" s="17"/>
      <c r="V11" s="17"/>
    </row>
    <row r="12" spans="1:22" ht="15.75" customHeight="1" x14ac:dyDescent="0.2">
      <c r="A12" s="9"/>
      <c r="B12" s="9"/>
      <c r="C12" s="55"/>
      <c r="D12" s="55"/>
      <c r="E12" s="55"/>
      <c r="F12" s="55"/>
      <c r="I12" s="9"/>
      <c r="J12" s="9"/>
      <c r="K12" s="9"/>
      <c r="L12" s="9"/>
      <c r="N12" s="16"/>
      <c r="O12" s="17"/>
      <c r="P12" s="17"/>
      <c r="Q12" s="17"/>
      <c r="R12" s="17"/>
      <c r="S12" s="17"/>
      <c r="T12" s="17"/>
      <c r="U12" s="17"/>
      <c r="V12" s="17"/>
    </row>
    <row r="13" spans="1:22" x14ac:dyDescent="0.2">
      <c r="A13" s="9"/>
      <c r="B13" s="9"/>
      <c r="C13" s="55"/>
      <c r="D13" s="55"/>
      <c r="E13" s="55"/>
      <c r="F13" s="55"/>
      <c r="I13" s="9"/>
      <c r="J13" s="9"/>
      <c r="K13" s="9"/>
      <c r="L13" s="9"/>
      <c r="N13" s="16"/>
      <c r="O13" s="12"/>
      <c r="P13" s="12"/>
      <c r="Q13" s="12"/>
      <c r="R13" s="12"/>
      <c r="S13" s="12"/>
      <c r="T13" s="12"/>
      <c r="U13" s="12"/>
      <c r="V13" s="12"/>
    </row>
    <row r="14" spans="1:22" ht="11.25" customHeight="1" x14ac:dyDescent="0.2">
      <c r="A14" s="9"/>
      <c r="B14" s="9"/>
      <c r="C14" s="9"/>
      <c r="D14" s="9"/>
      <c r="E14" s="9"/>
      <c r="F14" s="9"/>
      <c r="H14" s="9"/>
      <c r="I14" s="9"/>
      <c r="J14" s="9"/>
      <c r="K14" s="9"/>
      <c r="L14" s="9"/>
    </row>
    <row r="15" spans="1:22" ht="15" customHeight="1" x14ac:dyDescent="0.2">
      <c r="A15" s="9"/>
      <c r="B15" s="9"/>
      <c r="G15" s="9"/>
      <c r="H15" s="9"/>
      <c r="I15" s="9"/>
      <c r="J15" s="9"/>
      <c r="K15" s="9"/>
      <c r="L15" s="9"/>
    </row>
    <row r="16" spans="1:22" ht="15.75" customHeight="1" x14ac:dyDescent="0.2">
      <c r="A16" s="9"/>
      <c r="B16" s="9"/>
      <c r="C16" s="77"/>
      <c r="D16" s="77"/>
      <c r="E16" s="77"/>
      <c r="F16" s="77"/>
      <c r="G16" s="9"/>
      <c r="H16" s="9"/>
      <c r="I16" s="9"/>
      <c r="J16" s="9"/>
      <c r="K16" s="9"/>
      <c r="L16" s="9"/>
      <c r="S16" s="18"/>
    </row>
    <row r="17" spans="1:12" ht="15" customHeight="1" x14ac:dyDescent="0.2">
      <c r="A17" s="9"/>
      <c r="B17" s="9"/>
      <c r="G17" s="9"/>
      <c r="H17" s="9"/>
      <c r="I17" s="9"/>
      <c r="J17" s="9"/>
      <c r="K17" s="9"/>
      <c r="L17" s="9"/>
    </row>
    <row r="18" spans="1:12" ht="15" customHeight="1" x14ac:dyDescent="0.25">
      <c r="A18" s="9"/>
      <c r="B18" s="9"/>
      <c r="C18" s="21"/>
      <c r="D18" s="21"/>
      <c r="E18" s="21"/>
      <c r="F18" s="21"/>
      <c r="G18" s="9"/>
      <c r="H18" s="9"/>
      <c r="I18" s="9"/>
      <c r="J18" s="9"/>
      <c r="K18" s="9"/>
      <c r="L18" s="9"/>
    </row>
    <row r="19" spans="1:12" ht="15" customHeight="1" x14ac:dyDescent="0.25">
      <c r="A19" s="9"/>
      <c r="B19" s="9"/>
      <c r="C19" s="21"/>
      <c r="D19" s="21"/>
      <c r="E19" s="21"/>
      <c r="F19" s="21"/>
      <c r="G19" s="9"/>
      <c r="H19" s="9"/>
      <c r="I19" s="9"/>
      <c r="J19" s="9"/>
      <c r="K19" s="9"/>
      <c r="L19" s="9"/>
    </row>
    <row r="20" spans="1:12" ht="15" customHeight="1" x14ac:dyDescent="0.2">
      <c r="A20" s="9"/>
      <c r="B20" s="9"/>
      <c r="G20" s="9"/>
      <c r="H20" s="9"/>
      <c r="I20" s="9"/>
      <c r="J20" s="9"/>
      <c r="K20" s="9"/>
      <c r="L20" s="9"/>
    </row>
    <row r="21" spans="1:12" ht="15.75" customHeight="1" x14ac:dyDescent="0.25">
      <c r="A21" s="9"/>
      <c r="B21" s="9"/>
      <c r="C21" s="21"/>
      <c r="D21" s="21"/>
      <c r="E21" s="21"/>
      <c r="F21" s="21"/>
      <c r="G21" s="9"/>
      <c r="H21" s="9"/>
      <c r="I21" s="9"/>
      <c r="J21" s="9"/>
      <c r="K21" s="9"/>
      <c r="L21" s="9"/>
    </row>
    <row r="22" spans="1:12" ht="15" customHeight="1" x14ac:dyDescent="0.25">
      <c r="A22" s="9"/>
      <c r="B22" s="9"/>
      <c r="C22" s="21"/>
      <c r="D22" s="21"/>
      <c r="E22" s="21"/>
      <c r="F22" s="21"/>
      <c r="H22" s="220"/>
      <c r="I22" s="220"/>
      <c r="J22" s="220"/>
      <c r="K22" s="9"/>
      <c r="L22" s="9"/>
    </row>
    <row r="23" spans="1:12" ht="15" customHeight="1" x14ac:dyDescent="0.2">
      <c r="A23" s="9"/>
      <c r="B23" s="9"/>
      <c r="J23" s="220"/>
      <c r="K23" s="9"/>
      <c r="L23" s="9"/>
    </row>
    <row r="24" spans="1:12" ht="33.75" customHeight="1" x14ac:dyDescent="0.2">
      <c r="A24" s="9"/>
      <c r="B24" s="9"/>
      <c r="G24" s="383" t="s">
        <v>876</v>
      </c>
      <c r="H24" s="383"/>
      <c r="I24" s="383"/>
      <c r="J24" s="220"/>
      <c r="K24" s="9"/>
      <c r="L24" s="9"/>
    </row>
    <row r="25" spans="1:12" ht="26.25" customHeight="1" x14ac:dyDescent="0.2">
      <c r="A25" s="9"/>
      <c r="B25" s="9"/>
      <c r="G25" s="383"/>
      <c r="H25" s="383"/>
      <c r="I25" s="383"/>
      <c r="J25" s="220"/>
      <c r="K25" s="9"/>
      <c r="L25" s="9"/>
    </row>
    <row r="26" spans="1:12" ht="22.5" customHeight="1" x14ac:dyDescent="0.25">
      <c r="A26" s="9"/>
      <c r="B26" s="9"/>
      <c r="G26" s="220"/>
      <c r="H26" s="220"/>
      <c r="I26" s="220"/>
      <c r="J26" s="9"/>
      <c r="K26" s="9"/>
      <c r="L26" s="9"/>
    </row>
    <row r="27" spans="1:12" ht="21" customHeight="1" x14ac:dyDescent="0.25">
      <c r="A27" s="9"/>
      <c r="B27" s="9"/>
      <c r="C27" s="9"/>
      <c r="D27" s="9"/>
      <c r="E27" s="9"/>
      <c r="F27" s="9"/>
      <c r="G27" s="9"/>
      <c r="H27" s="9"/>
      <c r="I27" s="9"/>
      <c r="J27" s="9"/>
      <c r="K27" s="9"/>
      <c r="L27" s="9"/>
    </row>
    <row r="28" spans="1:12" ht="15" hidden="1" customHeight="1" x14ac:dyDescent="0.2">
      <c r="A28" s="9"/>
      <c r="B28" s="9"/>
      <c r="C28" s="9"/>
      <c r="D28" s="9"/>
      <c r="E28" s="9"/>
      <c r="F28" s="9"/>
      <c r="G28" s="9"/>
      <c r="H28" s="9"/>
      <c r="I28" s="9"/>
      <c r="J28" s="9"/>
      <c r="K28" s="9"/>
      <c r="L28" s="9"/>
    </row>
    <row r="29" spans="1:12" ht="15" hidden="1" customHeight="1" x14ac:dyDescent="0.2">
      <c r="A29" s="9"/>
      <c r="B29" s="9"/>
      <c r="C29" s="9"/>
      <c r="D29" s="9"/>
      <c r="E29" s="9"/>
      <c r="F29" s="9"/>
      <c r="G29" s="9"/>
      <c r="H29" s="9"/>
      <c r="I29" s="9"/>
      <c r="J29" s="9"/>
      <c r="K29" s="9"/>
      <c r="L29" s="9"/>
    </row>
  </sheetData>
  <sheetProtection selectLockedCells="1" selectUnlockedCells="1"/>
  <mergeCells count="2">
    <mergeCell ref="G24:I25"/>
    <mergeCell ref="N3:V4"/>
  </mergeCells>
  <pageMargins left="0.7" right="0.7" top="0.75" bottom="0.75" header="0.3" footer="0.3"/>
  <pageSetup paperSize="9" orientation="landscape" horizontalDpi="300" verticalDpi="300" r:id="rId1"/>
  <colBreaks count="1" manualBreakCount="1">
    <brk id="1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Group Box 1">
              <controlPr defaultSize="0" autoFill="0" autoPict="0">
                <anchor moveWithCells="1">
                  <from>
                    <xdr:col>5</xdr:col>
                    <xdr:colOff>714375</xdr:colOff>
                    <xdr:row>8</xdr:row>
                    <xdr:rowOff>19050</xdr:rowOff>
                  </from>
                  <to>
                    <xdr:col>9</xdr:col>
                    <xdr:colOff>19050</xdr:colOff>
                    <xdr:row>22</xdr:row>
                    <xdr:rowOff>171450</xdr:rowOff>
                  </to>
                </anchor>
              </controlPr>
            </control>
          </mc:Choice>
        </mc:AlternateContent>
        <mc:AlternateContent xmlns:mc="http://schemas.openxmlformats.org/markup-compatibility/2006">
          <mc:Choice Requires="x14">
            <control shapeId="32770" r:id="rId5" name="Option Button 2">
              <controlPr defaultSize="0" autoFill="0" autoLine="0" autoPict="0">
                <anchor moveWithCells="1">
                  <from>
                    <xdr:col>6</xdr:col>
                    <xdr:colOff>295275</xdr:colOff>
                    <xdr:row>9</xdr:row>
                    <xdr:rowOff>66675</xdr:rowOff>
                  </from>
                  <to>
                    <xdr:col>8</xdr:col>
                    <xdr:colOff>1028700</xdr:colOff>
                    <xdr:row>11</xdr:row>
                    <xdr:rowOff>0</xdr:rowOff>
                  </to>
                </anchor>
              </controlPr>
            </control>
          </mc:Choice>
        </mc:AlternateContent>
        <mc:AlternateContent xmlns:mc="http://schemas.openxmlformats.org/markup-compatibility/2006">
          <mc:Choice Requires="x14">
            <control shapeId="32771" r:id="rId6" name="Option Button 3">
              <controlPr defaultSize="0" autoFill="0" autoLine="0" autoPict="0">
                <anchor moveWithCells="1">
                  <from>
                    <xdr:col>6</xdr:col>
                    <xdr:colOff>295275</xdr:colOff>
                    <xdr:row>10</xdr:row>
                    <xdr:rowOff>152400</xdr:rowOff>
                  </from>
                  <to>
                    <xdr:col>8</xdr:col>
                    <xdr:colOff>1028700</xdr:colOff>
                    <xdr:row>12</xdr:row>
                    <xdr:rowOff>76200</xdr:rowOff>
                  </to>
                </anchor>
              </controlPr>
            </control>
          </mc:Choice>
        </mc:AlternateContent>
        <mc:AlternateContent xmlns:mc="http://schemas.openxmlformats.org/markup-compatibility/2006">
          <mc:Choice Requires="x14">
            <control shapeId="32772" r:id="rId7" name="Option Button 4">
              <controlPr defaultSize="0" autoFill="0" autoLine="0" autoPict="0">
                <anchor moveWithCells="1">
                  <from>
                    <xdr:col>6</xdr:col>
                    <xdr:colOff>295275</xdr:colOff>
                    <xdr:row>12</xdr:row>
                    <xdr:rowOff>57150</xdr:rowOff>
                  </from>
                  <to>
                    <xdr:col>8</xdr:col>
                    <xdr:colOff>1028700</xdr:colOff>
                    <xdr:row>14</xdr:row>
                    <xdr:rowOff>38100</xdr:rowOff>
                  </to>
                </anchor>
              </controlPr>
            </control>
          </mc:Choice>
        </mc:AlternateContent>
        <mc:AlternateContent xmlns:mc="http://schemas.openxmlformats.org/markup-compatibility/2006">
          <mc:Choice Requires="x14">
            <control shapeId="32773" r:id="rId8" name="Option Button 5">
              <controlPr defaultSize="0" autoFill="0" autoLine="0" autoPict="0">
                <anchor moveWithCells="1">
                  <from>
                    <xdr:col>6</xdr:col>
                    <xdr:colOff>295275</xdr:colOff>
                    <xdr:row>14</xdr:row>
                    <xdr:rowOff>19050</xdr:rowOff>
                  </from>
                  <to>
                    <xdr:col>8</xdr:col>
                    <xdr:colOff>1028700</xdr:colOff>
                    <xdr:row>15</xdr:row>
                    <xdr:rowOff>142875</xdr:rowOff>
                  </to>
                </anchor>
              </controlPr>
            </control>
          </mc:Choice>
        </mc:AlternateContent>
        <mc:AlternateContent xmlns:mc="http://schemas.openxmlformats.org/markup-compatibility/2006">
          <mc:Choice Requires="x14">
            <control shapeId="32774" r:id="rId9" name="Option Button 6">
              <controlPr defaultSize="0" autoFill="0" autoLine="0" autoPict="0">
                <anchor moveWithCells="1">
                  <from>
                    <xdr:col>6</xdr:col>
                    <xdr:colOff>295275</xdr:colOff>
                    <xdr:row>15</xdr:row>
                    <xdr:rowOff>123825</xdr:rowOff>
                  </from>
                  <to>
                    <xdr:col>8</xdr:col>
                    <xdr:colOff>1028700</xdr:colOff>
                    <xdr:row>17</xdr:row>
                    <xdr:rowOff>57150</xdr:rowOff>
                  </to>
                </anchor>
              </controlPr>
            </control>
          </mc:Choice>
        </mc:AlternateContent>
        <mc:AlternateContent xmlns:mc="http://schemas.openxmlformats.org/markup-compatibility/2006">
          <mc:Choice Requires="x14">
            <control shapeId="32775" r:id="rId10" name="Option Button 7">
              <controlPr defaultSize="0" autoFill="0" autoLine="0" autoPict="0">
                <anchor moveWithCells="1">
                  <from>
                    <xdr:col>6</xdr:col>
                    <xdr:colOff>295275</xdr:colOff>
                    <xdr:row>17</xdr:row>
                    <xdr:rowOff>28575</xdr:rowOff>
                  </from>
                  <to>
                    <xdr:col>8</xdr:col>
                    <xdr:colOff>1028700</xdr:colOff>
                    <xdr:row>18</xdr:row>
                    <xdr:rowOff>152400</xdr:rowOff>
                  </to>
                </anchor>
              </controlPr>
            </control>
          </mc:Choice>
        </mc:AlternateContent>
        <mc:AlternateContent xmlns:mc="http://schemas.openxmlformats.org/markup-compatibility/2006">
          <mc:Choice Requires="x14">
            <control shapeId="32776" r:id="rId11" name="Option Button 8">
              <controlPr defaultSize="0" autoFill="0" autoLine="0" autoPict="0">
                <anchor moveWithCells="1">
                  <from>
                    <xdr:col>6</xdr:col>
                    <xdr:colOff>295275</xdr:colOff>
                    <xdr:row>18</xdr:row>
                    <xdr:rowOff>142875</xdr:rowOff>
                  </from>
                  <to>
                    <xdr:col>8</xdr:col>
                    <xdr:colOff>1028700</xdr:colOff>
                    <xdr:row>20</xdr:row>
                    <xdr:rowOff>76200</xdr:rowOff>
                  </to>
                </anchor>
              </controlPr>
            </control>
          </mc:Choice>
        </mc:AlternateContent>
        <mc:AlternateContent xmlns:mc="http://schemas.openxmlformats.org/markup-compatibility/2006">
          <mc:Choice Requires="x14">
            <control shapeId="32777" r:id="rId12" name="Option Button 9">
              <controlPr defaultSize="0" autoFill="0" autoLine="0" autoPict="0">
                <anchor moveWithCells="1">
                  <from>
                    <xdr:col>6</xdr:col>
                    <xdr:colOff>295275</xdr:colOff>
                    <xdr:row>20</xdr:row>
                    <xdr:rowOff>66675</xdr:rowOff>
                  </from>
                  <to>
                    <xdr:col>8</xdr:col>
                    <xdr:colOff>1028700</xdr:colOff>
                    <xdr:row>22</xdr:row>
                    <xdr:rowOff>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2060"/>
    <pageSetUpPr autoPageBreaks="0"/>
  </sheetPr>
  <dimension ref="A1:CU127"/>
  <sheetViews>
    <sheetView topLeftCell="A22" zoomScale="90" zoomScaleNormal="90" workbookViewId="0">
      <pane xSplit="1" topLeftCell="B1" activePane="topRight" state="frozen"/>
      <selection pane="topRight" activeCell="K37" sqref="K37"/>
    </sheetView>
  </sheetViews>
  <sheetFormatPr defaultColWidth="8.88671875" defaultRowHeight="11.25" x14ac:dyDescent="0.2"/>
  <cols>
    <col min="1" max="1" width="28.77734375" style="35" customWidth="1"/>
    <col min="2" max="13" width="9.6640625" style="35" bestFit="1" customWidth="1"/>
    <col min="14" max="16" width="9" style="35" customWidth="1"/>
    <col min="17" max="22" width="8.88671875" style="35"/>
    <col min="23" max="23" width="8.88671875" style="35" customWidth="1"/>
    <col min="24" max="16384" width="8.88671875" style="35"/>
  </cols>
  <sheetData>
    <row r="1" spans="1:99" s="81" customFormat="1" ht="26.25" customHeight="1" x14ac:dyDescent="0.2">
      <c r="A1" s="80" t="s">
        <v>36</v>
      </c>
      <c r="B1" s="485" t="s">
        <v>8</v>
      </c>
      <c r="C1" s="485"/>
      <c r="D1" s="485"/>
      <c r="E1" s="485" t="s">
        <v>1</v>
      </c>
      <c r="F1" s="485"/>
      <c r="G1" s="485"/>
      <c r="H1" s="485" t="s">
        <v>89</v>
      </c>
      <c r="I1" s="485"/>
      <c r="J1" s="485"/>
      <c r="K1" s="485" t="s">
        <v>2</v>
      </c>
      <c r="L1" s="485"/>
      <c r="M1" s="485"/>
    </row>
    <row r="2" spans="1:99" s="81" customFormat="1" x14ac:dyDescent="0.2">
      <c r="B2" s="82" t="s">
        <v>5</v>
      </c>
      <c r="C2" s="82" t="s">
        <v>4</v>
      </c>
      <c r="D2" s="82" t="s">
        <v>3</v>
      </c>
      <c r="E2" s="82" t="s">
        <v>5</v>
      </c>
      <c r="F2" s="82" t="s">
        <v>4</v>
      </c>
      <c r="G2" s="82" t="s">
        <v>3</v>
      </c>
      <c r="H2" s="82" t="s">
        <v>5</v>
      </c>
      <c r="I2" s="82" t="s">
        <v>4</v>
      </c>
      <c r="J2" s="82" t="s">
        <v>3</v>
      </c>
      <c r="K2" s="82" t="s">
        <v>5</v>
      </c>
      <c r="L2" s="82" t="s">
        <v>4</v>
      </c>
      <c r="M2" s="82" t="s">
        <v>3</v>
      </c>
      <c r="N2" s="471" t="s">
        <v>115</v>
      </c>
      <c r="O2" s="471"/>
      <c r="P2" s="471"/>
      <c r="Q2" s="471"/>
      <c r="R2" s="475" t="s">
        <v>116</v>
      </c>
      <c r="S2" s="476"/>
      <c r="T2" s="476"/>
      <c r="U2" s="476"/>
      <c r="V2" s="475" t="s">
        <v>113</v>
      </c>
      <c r="W2" s="476"/>
      <c r="X2" s="476"/>
      <c r="Y2" s="476"/>
      <c r="AC2" s="471"/>
      <c r="AD2" s="471"/>
      <c r="AE2" s="471"/>
      <c r="AF2" s="471"/>
      <c r="AG2" s="471"/>
      <c r="AH2" s="269"/>
    </row>
    <row r="3" spans="1:99" s="81" customFormat="1" x14ac:dyDescent="0.2">
      <c r="A3" s="83" t="s">
        <v>82</v>
      </c>
      <c r="B3" s="84">
        <f>[7]Dashboard!B3</f>
        <v>46.677244915359559</v>
      </c>
      <c r="C3" s="84">
        <f>[7]Dashboard!C3</f>
        <v>38.470516023618302</v>
      </c>
      <c r="D3" s="84">
        <f>[7]Dashboard!D3</f>
        <v>47.950028294836514</v>
      </c>
      <c r="E3" s="84">
        <f>[7]Dashboard!E3</f>
        <v>120.65084051172133</v>
      </c>
      <c r="F3" s="84">
        <f>[7]Dashboard!F3</f>
        <v>97.934180343492628</v>
      </c>
      <c r="G3" s="84">
        <f>[7]Dashboard!G3</f>
        <v>112.66948987917168</v>
      </c>
      <c r="H3" s="84">
        <f>[7]Dashboard!H3</f>
        <v>15.214351855495135</v>
      </c>
      <c r="I3" s="84">
        <f>[7]Dashboard!I3</f>
        <v>11.738405715821022</v>
      </c>
      <c r="J3" s="84">
        <f>[7]Dashboard!J3</f>
        <v>14.052070728756002</v>
      </c>
      <c r="K3" s="84">
        <f>[7]Dashboard!K3</f>
        <v>2.6697903213426377</v>
      </c>
      <c r="L3" s="84">
        <f>[7]Dashboard!L3</f>
        <v>2.4981888131104948</v>
      </c>
      <c r="M3" s="84">
        <f>[7]Dashboard!M3</f>
        <v>3.6648586697229364</v>
      </c>
      <c r="N3" s="81" t="str">
        <f>"New CVIs per 100,000 "&amp;AB3&amp;" residents (all ages)"</f>
        <v>New CVIs per 100,000 Betsi Cadwaladr residents (all ages)</v>
      </c>
      <c r="O3" s="81" t="str">
        <f>"New CVIs per 100,000 "&amp;AB3&amp;" residents with AMD aged 65+"</f>
        <v>New CVIs per 100,000 Betsi Cadwaladr residents with AMD aged 65+</v>
      </c>
      <c r="P3" s="81" t="str">
        <f>"New CVIs per 100,000 "&amp;AB3&amp;" residents with glaucoma aged 40+"</f>
        <v>New CVIs per 100,000 Betsi Cadwaladr residents with glaucoma aged 40+</v>
      </c>
      <c r="Q3" s="81" t="str">
        <f>"New CVIs per 100,000 "&amp;AB3&amp;" residents with diabetic eye disease aged 12+"</f>
        <v>New CVIs per 100,000 Betsi Cadwaladr residents with diabetic eye disease aged 12+</v>
      </c>
      <c r="R3" s="85" t="str">
        <f>"Chart 1a: New CVIs per 100,000 "&amp;AB3&amp;" residents (all ages)"</f>
        <v>Chart 1a: New CVIs per 100,000 Betsi Cadwaladr residents (all ages)</v>
      </c>
      <c r="S3" s="86" t="str">
        <f>"Chart 1b: New CVIs with AMD per 100,000 "&amp;AB3&amp;" residents aged 65+"</f>
        <v>Chart 1b: New CVIs with AMD per 100,000 Betsi Cadwaladr residents aged 65+</v>
      </c>
      <c r="T3" s="86" t="str">
        <f>"Chart 1c: New CVIs with glaucoma per 100,000 "&amp;AB3&amp;" residents aged 40+"</f>
        <v>Chart 1c: New CVIs with glaucoma per 100,000 Betsi Cadwaladr residents aged 40+</v>
      </c>
      <c r="U3" s="86" t="str">
        <f>"Chart 1d: New CVIs with diabetic eye disease per 100,000 "&amp;AB3&amp;" residents aged 12+"</f>
        <v>Chart 1d: New CVIs with diabetic eye disease per 100,000 Betsi Cadwaladr residents aged 12+</v>
      </c>
      <c r="V3" s="85" t="s">
        <v>628</v>
      </c>
      <c r="W3" s="86" t="s">
        <v>91</v>
      </c>
      <c r="X3" s="86" t="s">
        <v>94</v>
      </c>
      <c r="Y3" s="86" t="s">
        <v>106</v>
      </c>
      <c r="AB3" s="264" t="s">
        <v>231</v>
      </c>
      <c r="AC3" s="268"/>
      <c r="AD3" s="268"/>
      <c r="AG3" s="268"/>
    </row>
    <row r="4" spans="1:99" s="81" customFormat="1" x14ac:dyDescent="0.2">
      <c r="A4" s="83" t="s">
        <v>83</v>
      </c>
      <c r="B4" s="84">
        <f>[7]Dashboard!B4</f>
        <v>47.473719905052562</v>
      </c>
      <c r="C4" s="84">
        <f>[7]Dashboard!C4</f>
        <v>43.715846994535518</v>
      </c>
      <c r="D4" s="84">
        <f>[7]Dashboard!D4</f>
        <v>58.804903424254761</v>
      </c>
      <c r="E4" s="84">
        <f>[7]Dashboard!E4</f>
        <v>106.9747539580659</v>
      </c>
      <c r="F4" s="84">
        <f>[7]Dashboard!F4</f>
        <v>104.19147416051442</v>
      </c>
      <c r="G4" s="84">
        <f>[7]Dashboard!G4</f>
        <v>143.45102172258331</v>
      </c>
      <c r="H4" s="84">
        <f>[7]Dashboard!H4</f>
        <v>20.044097013429546</v>
      </c>
      <c r="I4" s="84">
        <f>[7]Dashboard!I4</f>
        <v>12.470071827613726</v>
      </c>
      <c r="J4" s="84">
        <f>[7]Dashboard!J4</f>
        <v>11.176236836876615</v>
      </c>
      <c r="K4" s="84">
        <f>[7]Dashboard!K4</f>
        <v>6.8493737103913563</v>
      </c>
      <c r="L4" s="84" t="str">
        <f>[7]Dashboard!L4</f>
        <v>*</v>
      </c>
      <c r="M4" s="84">
        <f>[7]Dashboard!M4</f>
        <v>5.1415644066634671</v>
      </c>
      <c r="N4" s="81" t="str">
        <f t="shared" ref="N4:N10" si="0">"New CVIs per 100,000 "&amp;AB4&amp;" residents (all ages)"</f>
        <v>New CVIs per 100,000 Powys residents (all ages)</v>
      </c>
      <c r="O4" s="81" t="str">
        <f t="shared" ref="O4:O10" si="1">"New CVIs per 100,000 "&amp;AB4&amp;" residents with AMD aged 65+"</f>
        <v>New CVIs per 100,000 Powys residents with AMD aged 65+</v>
      </c>
      <c r="P4" s="81" t="str">
        <f t="shared" ref="P4:P10" si="2">"New CVIs per 100,000 "&amp;AB4&amp;" residents with glaucoma aged 40+"</f>
        <v>New CVIs per 100,000 Powys residents with glaucoma aged 40+</v>
      </c>
      <c r="Q4" s="81" t="str">
        <f t="shared" ref="Q4:Q10" si="3">"New CVIs per 100,000 "&amp;AB4&amp;" residents with diabetic eye disease aged 12+"</f>
        <v>New CVIs per 100,000 Powys residents with diabetic eye disease aged 12+</v>
      </c>
      <c r="R4" s="85" t="str">
        <f t="shared" ref="R4:R10" si="4">"Chart 1a: New CVIs per 100,000 "&amp;AB4&amp;" residents (all ages)"</f>
        <v>Chart 1a: New CVIs per 100,000 Powys residents (all ages)</v>
      </c>
      <c r="S4" s="86" t="str">
        <f t="shared" ref="S4:S10" si="5">"Chart 1b: New CVIs with AMD per 100,000 "&amp;AB4&amp;" residents aged 65+"</f>
        <v>Chart 1b: New CVIs with AMD per 100,000 Powys residents aged 65+</v>
      </c>
      <c r="T4" s="86" t="str">
        <f t="shared" ref="T4:T10" si="6">"Chart 1c: New CVIs with glaucoma per 100,000 "&amp;AB4&amp;" residents aged 40+"</f>
        <v>Chart 1c: New CVIs with glaucoma per 100,000 Powys residents aged 40+</v>
      </c>
      <c r="U4" s="86" t="str">
        <f t="shared" ref="U4:U10" si="7">"Chart 1d: New CVIs with diabetic eye disease per 100,000 "&amp;AB4&amp;" residents aged 12+"</f>
        <v>Chart 1d: New CVIs with diabetic eye disease per 100,000 Powys residents aged 12+</v>
      </c>
      <c r="V4" s="85" t="s">
        <v>629</v>
      </c>
      <c r="W4" s="86" t="s">
        <v>93</v>
      </c>
      <c r="X4" s="86" t="s">
        <v>95</v>
      </c>
      <c r="Y4" s="86" t="s">
        <v>111</v>
      </c>
      <c r="AB4" s="264" t="s">
        <v>232</v>
      </c>
      <c r="AC4" s="268"/>
      <c r="AD4" s="268"/>
      <c r="AG4" s="268"/>
    </row>
    <row r="5" spans="1:99" s="81" customFormat="1" x14ac:dyDescent="0.2">
      <c r="A5" s="83" t="s">
        <v>84</v>
      </c>
      <c r="B5" s="84">
        <f>[7]Dashboard!B5</f>
        <v>30.997171182529058</v>
      </c>
      <c r="C5" s="84">
        <f>[7]Dashboard!C5</f>
        <v>38.021922502988367</v>
      </c>
      <c r="D5" s="84">
        <f>[7]Dashboard!D5</f>
        <v>40.184850311432591</v>
      </c>
      <c r="E5" s="84">
        <f>[7]Dashboard!E5</f>
        <v>62.755671253253993</v>
      </c>
      <c r="F5" s="84">
        <f>[7]Dashboard!F5</f>
        <v>106.63520549965401</v>
      </c>
      <c r="G5" s="84">
        <f>[7]Dashboard!G5</f>
        <v>102.61100391483286</v>
      </c>
      <c r="H5" s="84">
        <f>[7]Dashboard!H5</f>
        <v>5.5962840673792602</v>
      </c>
      <c r="I5" s="84">
        <f>[7]Dashboard!I5</f>
        <v>10.669487122392933</v>
      </c>
      <c r="J5" s="84">
        <f>[7]Dashboard!J5</f>
        <v>10.183063713578189</v>
      </c>
      <c r="K5" s="84">
        <f>[7]Dashboard!K5</f>
        <v>4.768617726740322</v>
      </c>
      <c r="L5" s="84">
        <f>[7]Dashboard!L5</f>
        <v>2.3852614693806968</v>
      </c>
      <c r="M5" s="84">
        <f>[7]Dashboard!M5</f>
        <v>2.6911863646557523</v>
      </c>
      <c r="N5" s="81" t="str">
        <f t="shared" si="0"/>
        <v>New CVIs per 100,000 Hywel Dda residents (all ages)</v>
      </c>
      <c r="O5" s="81" t="str">
        <f t="shared" si="1"/>
        <v>New CVIs per 100,000 Hywel Dda residents with AMD aged 65+</v>
      </c>
      <c r="P5" s="81" t="str">
        <f t="shared" si="2"/>
        <v>New CVIs per 100,000 Hywel Dda residents with glaucoma aged 40+</v>
      </c>
      <c r="Q5" s="81" t="str">
        <f t="shared" si="3"/>
        <v>New CVIs per 100,000 Hywel Dda residents with diabetic eye disease aged 12+</v>
      </c>
      <c r="R5" s="85" t="str">
        <f t="shared" si="4"/>
        <v>Chart 1a: New CVIs per 100,000 Hywel Dda residents (all ages)</v>
      </c>
      <c r="S5" s="86" t="str">
        <f t="shared" si="5"/>
        <v>Chart 1b: New CVIs with AMD per 100,000 Hywel Dda residents aged 65+</v>
      </c>
      <c r="T5" s="86" t="str">
        <f t="shared" si="6"/>
        <v>Chart 1c: New CVIs with glaucoma per 100,000 Hywel Dda residents aged 40+</v>
      </c>
      <c r="U5" s="86" t="str">
        <f t="shared" si="7"/>
        <v>Chart 1d: New CVIs with diabetic eye disease per 100,000 Hywel Dda residents aged 12+</v>
      </c>
      <c r="V5" s="85" t="s">
        <v>630</v>
      </c>
      <c r="W5" s="86" t="s">
        <v>636</v>
      </c>
      <c r="X5" s="86" t="s">
        <v>96</v>
      </c>
      <c r="Y5" s="86" t="s">
        <v>107</v>
      </c>
      <c r="AB5" s="264" t="s">
        <v>625</v>
      </c>
      <c r="AC5" s="268"/>
      <c r="AD5" s="268"/>
      <c r="AG5" s="268"/>
    </row>
    <row r="6" spans="1:99" s="81" customFormat="1" x14ac:dyDescent="0.2">
      <c r="A6" s="83" t="s">
        <v>103</v>
      </c>
      <c r="B6" s="84">
        <f>[7]Dashboard!B6</f>
        <v>53.196596954158743</v>
      </c>
      <c r="C6" s="84">
        <f>[7]Dashboard!C6</f>
        <v>48.565872722996701</v>
      </c>
      <c r="D6" s="84">
        <f>[7]Dashboard!D6</f>
        <v>51.953884742304922</v>
      </c>
      <c r="E6" s="84">
        <f>[7]Dashboard!E6</f>
        <v>143.70270623348173</v>
      </c>
      <c r="F6" s="84">
        <f>[7]Dashboard!F6</f>
        <v>134.62653420201843</v>
      </c>
      <c r="G6" s="84">
        <f>[7]Dashboard!G6</f>
        <v>156.13332428212613</v>
      </c>
      <c r="H6" s="84">
        <f>[7]Dashboard!H6</f>
        <v>17.340038148083927</v>
      </c>
      <c r="I6" s="84">
        <f>[7]Dashboard!I6</f>
        <v>10.995535812460142</v>
      </c>
      <c r="J6" s="84">
        <f>[7]Dashboard!J6</f>
        <v>11.316305335820488</v>
      </c>
      <c r="K6" s="84">
        <f>[7]Dashboard!K6</f>
        <v>4.8610620094746517</v>
      </c>
      <c r="L6" s="84">
        <f>[7]Dashboard!L6</f>
        <v>5.2814344375932505</v>
      </c>
      <c r="M6" s="84">
        <f>[7]Dashboard!M6</f>
        <v>5.7007542536397127</v>
      </c>
      <c r="N6" s="81" t="str">
        <f t="shared" si="0"/>
        <v>New CVIs per 100,000 ABM residents (all ages)</v>
      </c>
      <c r="O6" s="81" t="str">
        <f t="shared" si="1"/>
        <v>New CVIs per 100,000 ABM residents with AMD aged 65+</v>
      </c>
      <c r="P6" s="81" t="str">
        <f t="shared" si="2"/>
        <v>New CVIs per 100,000 ABM residents with glaucoma aged 40+</v>
      </c>
      <c r="Q6" s="81" t="str">
        <f t="shared" si="3"/>
        <v>New CVIs per 100,000 ABM residents with diabetic eye disease aged 12+</v>
      </c>
      <c r="R6" s="85" t="str">
        <f t="shared" si="4"/>
        <v>Chart 1a: New CVIs per 100,000 ABM residents (all ages)</v>
      </c>
      <c r="S6" s="86" t="str">
        <f t="shared" si="5"/>
        <v>Chart 1b: New CVIs with AMD per 100,000 ABM residents aged 65+</v>
      </c>
      <c r="T6" s="86" t="str">
        <f t="shared" si="6"/>
        <v>Chart 1c: New CVIs with glaucoma per 100,000 ABM residents aged 40+</v>
      </c>
      <c r="U6" s="86" t="str">
        <f t="shared" si="7"/>
        <v>Chart 1d: New CVIs with diabetic eye disease per 100,000 ABM residents aged 12+</v>
      </c>
      <c r="V6" s="85" t="s">
        <v>631</v>
      </c>
      <c r="W6" s="86" t="s">
        <v>102</v>
      </c>
      <c r="X6" s="86" t="s">
        <v>97</v>
      </c>
      <c r="Y6" s="86" t="s">
        <v>108</v>
      </c>
      <c r="AB6" s="264" t="s">
        <v>626</v>
      </c>
      <c r="AC6" s="268"/>
      <c r="AD6" s="268"/>
      <c r="AG6" s="268"/>
    </row>
    <row r="7" spans="1:99" s="81" customFormat="1" x14ac:dyDescent="0.2">
      <c r="A7" s="83" t="s">
        <v>85</v>
      </c>
      <c r="B7" s="84">
        <f>[7]Dashboard!B7</f>
        <v>38.287563318481375</v>
      </c>
      <c r="C7" s="84">
        <f>[7]Dashboard!C7</f>
        <v>38.857521295611129</v>
      </c>
      <c r="D7" s="84">
        <f>[7]Dashboard!D7</f>
        <v>41.788127453788732</v>
      </c>
      <c r="E7" s="84">
        <f>[7]Dashboard!E7</f>
        <v>129.76266596456915</v>
      </c>
      <c r="F7" s="84">
        <f>[7]Dashboard!F7</f>
        <v>125.43811104962184</v>
      </c>
      <c r="G7" s="84">
        <f>[7]Dashboard!G7</f>
        <v>117.91383219954649</v>
      </c>
      <c r="H7" s="84">
        <f>[7]Dashboard!H7</f>
        <v>4.6600493965236032</v>
      </c>
      <c r="I7" s="84">
        <f>[7]Dashboard!I7</f>
        <v>5.9718130424396847</v>
      </c>
      <c r="J7" s="84">
        <f>[7]Dashboard!J7</f>
        <v>10.602556541446056</v>
      </c>
      <c r="K7" s="84" t="str">
        <f>[7]Dashboard!K7</f>
        <v>*</v>
      </c>
      <c r="L7" s="84">
        <f>[7]Dashboard!L7</f>
        <v>2.7578273048541697</v>
      </c>
      <c r="M7" s="84">
        <f>[7]Dashboard!M7</f>
        <v>5.1111277113549605</v>
      </c>
      <c r="N7" s="81" t="str">
        <f t="shared" si="0"/>
        <v>New CVIs per 100,000 Cwm Taf residents (all ages)</v>
      </c>
      <c r="O7" s="81" t="str">
        <f t="shared" si="1"/>
        <v>New CVIs per 100,000 Cwm Taf residents with AMD aged 65+</v>
      </c>
      <c r="P7" s="81" t="str">
        <f t="shared" si="2"/>
        <v>New CVIs per 100,000 Cwm Taf residents with glaucoma aged 40+</v>
      </c>
      <c r="Q7" s="81" t="str">
        <f t="shared" si="3"/>
        <v>New CVIs per 100,000 Cwm Taf residents with diabetic eye disease aged 12+</v>
      </c>
      <c r="R7" s="85" t="str">
        <f t="shared" si="4"/>
        <v>Chart 1a: New CVIs per 100,000 Cwm Taf residents (all ages)</v>
      </c>
      <c r="S7" s="86" t="str">
        <f t="shared" si="5"/>
        <v>Chart 1b: New CVIs with AMD per 100,000 Cwm Taf residents aged 65+</v>
      </c>
      <c r="T7" s="86" t="str">
        <f t="shared" si="6"/>
        <v>Chart 1c: New CVIs with glaucoma per 100,000 Cwm Taf residents aged 40+</v>
      </c>
      <c r="U7" s="86" t="str">
        <f t="shared" si="7"/>
        <v>Chart 1d: New CVIs with diabetic eye disease per 100,000 Cwm Taf residents aged 12+</v>
      </c>
      <c r="V7" s="85" t="s">
        <v>632</v>
      </c>
      <c r="W7" s="86" t="s">
        <v>637</v>
      </c>
      <c r="X7" s="86" t="s">
        <v>98</v>
      </c>
      <c r="Y7" s="86" t="s">
        <v>639</v>
      </c>
      <c r="AB7" s="264" t="s">
        <v>234</v>
      </c>
      <c r="AC7" s="268"/>
      <c r="AD7" s="268"/>
      <c r="AG7" s="268"/>
    </row>
    <row r="8" spans="1:99" s="81" customFormat="1" x14ac:dyDescent="0.2">
      <c r="A8" s="83" t="s">
        <v>86</v>
      </c>
      <c r="B8" s="84">
        <f>[7]Dashboard!B8</f>
        <v>42.306955090735464</v>
      </c>
      <c r="C8" s="84">
        <f>[7]Dashboard!C8</f>
        <v>42.039900000172295</v>
      </c>
      <c r="D8" s="84">
        <f>[7]Dashboard!D8</f>
        <v>44.00220698569413</v>
      </c>
      <c r="E8" s="84">
        <f>[7]Dashboard!E8</f>
        <v>123.12078797304302</v>
      </c>
      <c r="F8" s="84">
        <f>[7]Dashboard!F8</f>
        <v>118.4952013966152</v>
      </c>
      <c r="G8" s="84">
        <f>[7]Dashboard!G8</f>
        <v>115.33104445568183</v>
      </c>
      <c r="H8" s="84">
        <f>[7]Dashboard!H8</f>
        <v>10.555238531898262</v>
      </c>
      <c r="I8" s="84">
        <f>[7]Dashboard!I8</f>
        <v>14.105112611282779</v>
      </c>
      <c r="J8" s="84">
        <f>[7]Dashboard!J8</f>
        <v>10.785512115725277</v>
      </c>
      <c r="K8" s="84">
        <f>[7]Dashboard!K8</f>
        <v>4.4170675490093725</v>
      </c>
      <c r="L8" s="84">
        <f>[7]Dashboard!L8</f>
        <v>5.0111347413953808</v>
      </c>
      <c r="M8" s="84">
        <f>[7]Dashboard!M8</f>
        <v>2.6022170889597938</v>
      </c>
      <c r="N8" s="81" t="str">
        <f t="shared" si="0"/>
        <v>New CVIs per 100,000 Aneurin Bevan residents (all ages)</v>
      </c>
      <c r="O8" s="81" t="str">
        <f t="shared" si="1"/>
        <v>New CVIs per 100,000 Aneurin Bevan residents with AMD aged 65+</v>
      </c>
      <c r="P8" s="81" t="str">
        <f t="shared" si="2"/>
        <v>New CVIs per 100,000 Aneurin Bevan residents with glaucoma aged 40+</v>
      </c>
      <c r="Q8" s="81" t="str">
        <f t="shared" si="3"/>
        <v>New CVIs per 100,000 Aneurin Bevan residents with diabetic eye disease aged 12+</v>
      </c>
      <c r="R8" s="85" t="str">
        <f t="shared" si="4"/>
        <v>Chart 1a: New CVIs per 100,000 Aneurin Bevan residents (all ages)</v>
      </c>
      <c r="S8" s="86" t="str">
        <f t="shared" si="5"/>
        <v>Chart 1b: New CVIs with AMD per 100,000 Aneurin Bevan residents aged 65+</v>
      </c>
      <c r="T8" s="86" t="str">
        <f t="shared" si="6"/>
        <v>Chart 1c: New CVIs with glaucoma per 100,000 Aneurin Bevan residents aged 40+</v>
      </c>
      <c r="U8" s="86" t="str">
        <f t="shared" si="7"/>
        <v>Chart 1d: New CVIs with diabetic eye disease per 100,000 Aneurin Bevan residents aged 12+</v>
      </c>
      <c r="V8" s="85" t="s">
        <v>633</v>
      </c>
      <c r="W8" s="86" t="s">
        <v>638</v>
      </c>
      <c r="X8" s="86" t="s">
        <v>99</v>
      </c>
      <c r="Y8" s="86" t="s">
        <v>109</v>
      </c>
      <c r="AB8" s="264" t="s">
        <v>230</v>
      </c>
      <c r="AC8" s="268"/>
      <c r="AD8" s="268"/>
      <c r="AG8" s="268"/>
    </row>
    <row r="9" spans="1:99" s="81" customFormat="1" x14ac:dyDescent="0.2">
      <c r="A9" s="83" t="s">
        <v>87</v>
      </c>
      <c r="B9" s="84">
        <f>[7]Dashboard!B9</f>
        <v>30.697330585191356</v>
      </c>
      <c r="C9" s="84">
        <f>[7]Dashboard!C9</f>
        <v>30.084298278555703</v>
      </c>
      <c r="D9" s="84">
        <f>[7]Dashboard!D9</f>
        <v>32.593986203254453</v>
      </c>
      <c r="E9" s="84">
        <f>[7]Dashboard!E9</f>
        <v>94.789334139271631</v>
      </c>
      <c r="F9" s="84">
        <f>[7]Dashboard!F9</f>
        <v>99.549337458801361</v>
      </c>
      <c r="G9" s="84">
        <f>[7]Dashboard!G9</f>
        <v>107.19815777980705</v>
      </c>
      <c r="H9" s="84">
        <f>[7]Dashboard!H9</f>
        <v>7.8798188568700436</v>
      </c>
      <c r="I9" s="84">
        <f>[7]Dashboard!I9</f>
        <v>8.7362748524029357</v>
      </c>
      <c r="J9" s="84">
        <f>[7]Dashboard!J9</f>
        <v>10.51015372242227</v>
      </c>
      <c r="K9" s="84" t="str">
        <f>[7]Dashboard!K9</f>
        <v>*</v>
      </c>
      <c r="L9" s="84" t="str">
        <f>[7]Dashboard!L9</f>
        <v>*</v>
      </c>
      <c r="M9" s="84">
        <f>[7]Dashboard!M9</f>
        <v>1.6855812967899308</v>
      </c>
      <c r="N9" s="81" t="str">
        <f t="shared" si="0"/>
        <v>New CVIs per 100,000 Cardiff &amp; Vale residents (all ages)</v>
      </c>
      <c r="O9" s="81" t="str">
        <f t="shared" si="1"/>
        <v>New CVIs per 100,000 Cardiff &amp; Vale residents with AMD aged 65+</v>
      </c>
      <c r="P9" s="81" t="str">
        <f t="shared" si="2"/>
        <v>New CVIs per 100,000 Cardiff &amp; Vale residents with glaucoma aged 40+</v>
      </c>
      <c r="Q9" s="81" t="str">
        <f t="shared" si="3"/>
        <v>New CVIs per 100,000 Cardiff &amp; Vale residents with diabetic eye disease aged 12+</v>
      </c>
      <c r="R9" s="85" t="str">
        <f t="shared" si="4"/>
        <v>Chart 1a: New CVIs per 100,000 Cardiff &amp; Vale residents (all ages)</v>
      </c>
      <c r="S9" s="86" t="str">
        <f t="shared" si="5"/>
        <v>Chart 1b: New CVIs with AMD per 100,000 Cardiff &amp; Vale residents aged 65+</v>
      </c>
      <c r="T9" s="86" t="str">
        <f t="shared" si="6"/>
        <v>Chart 1c: New CVIs with glaucoma per 100,000 Cardiff &amp; Vale residents aged 40+</v>
      </c>
      <c r="U9" s="86" t="str">
        <f t="shared" si="7"/>
        <v>Chart 1d: New CVIs with diabetic eye disease per 100,000 Cardiff &amp; Vale residents aged 12+</v>
      </c>
      <c r="V9" s="85" t="s">
        <v>634</v>
      </c>
      <c r="W9" s="86" t="s">
        <v>101</v>
      </c>
      <c r="X9" s="86" t="s">
        <v>100</v>
      </c>
      <c r="Y9" s="86" t="s">
        <v>112</v>
      </c>
      <c r="AB9" s="264" t="s">
        <v>229</v>
      </c>
      <c r="AC9" s="268"/>
      <c r="AD9" s="268"/>
      <c r="AG9" s="268"/>
    </row>
    <row r="10" spans="1:99" s="81" customFormat="1" x14ac:dyDescent="0.2">
      <c r="A10" s="83" t="s">
        <v>88</v>
      </c>
      <c r="B10" s="84">
        <f>[7]Dashboard!B10</f>
        <v>42.239648690700662</v>
      </c>
      <c r="C10" s="84">
        <f>[7]Dashboard!C10</f>
        <v>40.200049417277164</v>
      </c>
      <c r="D10" s="84">
        <f>[7]Dashboard!D10</f>
        <v>44.787398607202256</v>
      </c>
      <c r="E10" s="84">
        <f>[7]Dashboard!E10</f>
        <v>115.21236035496062</v>
      </c>
      <c r="F10" s="84">
        <f>[7]Dashboard!F10</f>
        <v>113.37997582745422</v>
      </c>
      <c r="G10" s="84">
        <f>[7]Dashboard!G10</f>
        <v>121.48412303348577</v>
      </c>
      <c r="H10" s="84">
        <f>[7]Dashboard!H10</f>
        <v>11.760038275829841</v>
      </c>
      <c r="I10" s="84">
        <f>[7]Dashboard!I10</f>
        <v>11.015377836690563</v>
      </c>
      <c r="J10" s="84">
        <f>[7]Dashboard!J10</f>
        <v>11.714140623658393</v>
      </c>
      <c r="K10" s="84">
        <f>[7]Dashboard!K10</f>
        <v>3.5620360448051644</v>
      </c>
      <c r="L10" s="84">
        <f>[7]Dashboard!L10</f>
        <v>3.2172468372780143</v>
      </c>
      <c r="M10" s="84">
        <f>[7]Dashboard!M10</f>
        <v>3.6612178032319589</v>
      </c>
      <c r="N10" s="81" t="str">
        <f t="shared" si="0"/>
        <v>New CVIs per 100,000 Welsh residents (all ages)</v>
      </c>
      <c r="O10" s="81" t="str">
        <f t="shared" si="1"/>
        <v>New CVIs per 100,000 Welsh residents with AMD aged 65+</v>
      </c>
      <c r="P10" s="81" t="str">
        <f t="shared" si="2"/>
        <v>New CVIs per 100,000 Welsh residents with glaucoma aged 40+</v>
      </c>
      <c r="Q10" s="81" t="str">
        <f t="shared" si="3"/>
        <v>New CVIs per 100,000 Welsh residents with diabetic eye disease aged 12+</v>
      </c>
      <c r="R10" s="85" t="str">
        <f t="shared" si="4"/>
        <v>Chart 1a: New CVIs per 100,000 Welsh residents (all ages)</v>
      </c>
      <c r="S10" s="86" t="str">
        <f t="shared" si="5"/>
        <v>Chart 1b: New CVIs with AMD per 100,000 Welsh residents aged 65+</v>
      </c>
      <c r="T10" s="86" t="str">
        <f t="shared" si="6"/>
        <v>Chart 1c: New CVIs with glaucoma per 100,000 Welsh residents aged 40+</v>
      </c>
      <c r="U10" s="86" t="str">
        <f t="shared" si="7"/>
        <v>Chart 1d: New CVIs with diabetic eye disease per 100,000 Welsh residents aged 12+</v>
      </c>
      <c r="V10" s="85" t="s">
        <v>635</v>
      </c>
      <c r="W10" s="86" t="s">
        <v>92</v>
      </c>
      <c r="X10" s="86" t="s">
        <v>90</v>
      </c>
      <c r="Y10" s="86" t="s">
        <v>110</v>
      </c>
      <c r="AB10" s="264" t="s">
        <v>627</v>
      </c>
      <c r="AC10" s="268"/>
      <c r="AD10" s="268"/>
      <c r="AG10" s="268"/>
    </row>
    <row r="11" spans="1:99" s="37" customFormat="1" x14ac:dyDescent="0.2">
      <c r="B11" s="63"/>
      <c r="C11" s="63"/>
      <c r="D11" s="63"/>
      <c r="E11" s="63"/>
      <c r="F11" s="63"/>
      <c r="G11" s="63"/>
      <c r="H11" s="63"/>
      <c r="I11" s="63"/>
      <c r="J11" s="63"/>
      <c r="K11" s="63"/>
      <c r="L11" s="63"/>
      <c r="M11" s="63"/>
    </row>
    <row r="12" spans="1:99" s="94" customFormat="1" ht="26.25" customHeight="1" x14ac:dyDescent="0.2">
      <c r="A12" s="96" t="s">
        <v>114</v>
      </c>
      <c r="B12" s="483" t="s">
        <v>12</v>
      </c>
      <c r="C12" s="483"/>
      <c r="D12" s="483"/>
      <c r="E12" s="483" t="s">
        <v>13</v>
      </c>
      <c r="F12" s="483"/>
      <c r="G12" s="483"/>
      <c r="H12" s="483" t="s">
        <v>14</v>
      </c>
      <c r="I12" s="483"/>
      <c r="J12" s="483"/>
      <c r="K12" s="483" t="s">
        <v>237</v>
      </c>
      <c r="L12" s="483"/>
      <c r="M12" s="483"/>
      <c r="N12" s="484" t="s">
        <v>58</v>
      </c>
      <c r="O12" s="484"/>
      <c r="P12" s="484"/>
      <c r="AI12" s="483" t="s">
        <v>353</v>
      </c>
      <c r="AJ12" s="483"/>
      <c r="AK12" s="483"/>
      <c r="AL12" s="483" t="s">
        <v>354</v>
      </c>
      <c r="AM12" s="483"/>
      <c r="AN12" s="483"/>
      <c r="AO12" s="483" t="s">
        <v>355</v>
      </c>
      <c r="AP12" s="483"/>
      <c r="AQ12" s="483"/>
      <c r="AR12" s="483" t="s">
        <v>356</v>
      </c>
      <c r="AS12" s="483"/>
      <c r="AT12" s="483"/>
      <c r="AU12" s="483" t="s">
        <v>357</v>
      </c>
      <c r="AV12" s="483"/>
      <c r="AW12" s="483"/>
      <c r="BO12" s="490" t="s">
        <v>406</v>
      </c>
      <c r="BP12" s="490"/>
      <c r="BQ12" s="490"/>
      <c r="BR12" s="490"/>
      <c r="BS12" s="490"/>
      <c r="BT12" s="490"/>
      <c r="BU12" s="490"/>
      <c r="BV12" s="490"/>
      <c r="BW12" s="490" t="s">
        <v>407</v>
      </c>
      <c r="BX12" s="490"/>
      <c r="BY12" s="490"/>
      <c r="BZ12" s="490"/>
      <c r="CA12" s="490"/>
      <c r="CB12" s="490"/>
      <c r="CC12" s="490"/>
      <c r="CD12" s="490"/>
      <c r="CE12" s="490" t="s">
        <v>408</v>
      </c>
      <c r="CF12" s="490"/>
      <c r="CG12" s="490"/>
      <c r="CH12" s="490"/>
      <c r="CI12" s="490"/>
      <c r="CJ12" s="490"/>
      <c r="CK12" s="490"/>
      <c r="CL12" s="490"/>
    </row>
    <row r="13" spans="1:99" s="94" customFormat="1" x14ac:dyDescent="0.2">
      <c r="B13" s="93" t="s">
        <v>4</v>
      </c>
      <c r="C13" s="93" t="s">
        <v>3</v>
      </c>
      <c r="D13" s="93" t="s">
        <v>81</v>
      </c>
      <c r="E13" s="93" t="s">
        <v>4</v>
      </c>
      <c r="F13" s="93" t="s">
        <v>3</v>
      </c>
      <c r="G13" s="93" t="s">
        <v>81</v>
      </c>
      <c r="H13" s="93" t="s">
        <v>4</v>
      </c>
      <c r="I13" s="93" t="s">
        <v>3</v>
      </c>
      <c r="J13" s="93" t="s">
        <v>81</v>
      </c>
      <c r="K13" s="93" t="s">
        <v>4</v>
      </c>
      <c r="L13" s="93" t="s">
        <v>3</v>
      </c>
      <c r="M13" s="93" t="s">
        <v>81</v>
      </c>
      <c r="N13" s="93" t="s">
        <v>4</v>
      </c>
      <c r="O13" s="93" t="s">
        <v>3</v>
      </c>
      <c r="P13" s="93" t="s">
        <v>81</v>
      </c>
      <c r="Q13" s="486" t="s">
        <v>115</v>
      </c>
      <c r="R13" s="486"/>
      <c r="S13" s="486"/>
      <c r="T13" s="486"/>
      <c r="U13" s="479"/>
      <c r="V13" s="477" t="s">
        <v>116</v>
      </c>
      <c r="W13" s="478"/>
      <c r="X13" s="478"/>
      <c r="Y13" s="478"/>
      <c r="Z13" s="479"/>
      <c r="AA13" s="477" t="s">
        <v>113</v>
      </c>
      <c r="AB13" s="478"/>
      <c r="AC13" s="478"/>
      <c r="AD13" s="478"/>
      <c r="AE13" s="479"/>
      <c r="AF13" s="477" t="s">
        <v>170</v>
      </c>
      <c r="AG13" s="478"/>
      <c r="AI13" s="231" t="s">
        <v>4</v>
      </c>
      <c r="AJ13" s="231" t="s">
        <v>3</v>
      </c>
      <c r="AK13" s="231" t="s">
        <v>81</v>
      </c>
      <c r="AL13" s="231" t="s">
        <v>4</v>
      </c>
      <c r="AM13" s="231" t="s">
        <v>3</v>
      </c>
      <c r="AN13" s="231" t="s">
        <v>81</v>
      </c>
      <c r="AO13" s="231" t="s">
        <v>4</v>
      </c>
      <c r="AP13" s="231" t="s">
        <v>3</v>
      </c>
      <c r="AQ13" s="231" t="s">
        <v>81</v>
      </c>
      <c r="AR13" s="231" t="s">
        <v>4</v>
      </c>
      <c r="AS13" s="231" t="s">
        <v>3</v>
      </c>
      <c r="AT13" s="231" t="s">
        <v>81</v>
      </c>
      <c r="AU13" s="231" t="s">
        <v>4</v>
      </c>
      <c r="AV13" s="231" t="s">
        <v>3</v>
      </c>
      <c r="AW13" s="231" t="s">
        <v>81</v>
      </c>
      <c r="BO13" s="239" t="s">
        <v>409</v>
      </c>
      <c r="BP13" s="239" t="s">
        <v>410</v>
      </c>
      <c r="BQ13" s="239" t="s">
        <v>411</v>
      </c>
      <c r="BR13" s="239" t="s">
        <v>412</v>
      </c>
      <c r="BS13" s="239" t="s">
        <v>413</v>
      </c>
      <c r="BT13" s="239" t="s">
        <v>414</v>
      </c>
      <c r="BU13" s="239" t="s">
        <v>415</v>
      </c>
      <c r="BV13" s="239" t="s">
        <v>416</v>
      </c>
      <c r="BW13" s="239" t="s">
        <v>409</v>
      </c>
      <c r="BX13" s="239" t="s">
        <v>410</v>
      </c>
      <c r="BY13" s="239" t="s">
        <v>411</v>
      </c>
      <c r="BZ13" s="239" t="s">
        <v>412</v>
      </c>
      <c r="CA13" s="239" t="s">
        <v>413</v>
      </c>
      <c r="CB13" s="239" t="s">
        <v>414</v>
      </c>
      <c r="CC13" s="239" t="s">
        <v>415</v>
      </c>
      <c r="CD13" s="239" t="s">
        <v>416</v>
      </c>
      <c r="CE13" s="239" t="s">
        <v>409</v>
      </c>
      <c r="CF13" s="239" t="s">
        <v>410</v>
      </c>
      <c r="CG13" s="239" t="s">
        <v>411</v>
      </c>
      <c r="CH13" s="239" t="s">
        <v>412</v>
      </c>
      <c r="CI13" s="239" t="s">
        <v>413</v>
      </c>
      <c r="CJ13" s="239" t="s">
        <v>414</v>
      </c>
      <c r="CK13" s="239" t="s">
        <v>415</v>
      </c>
      <c r="CL13" s="239" t="s">
        <v>416</v>
      </c>
    </row>
    <row r="14" spans="1:99" s="94" customFormat="1" x14ac:dyDescent="0.2">
      <c r="A14" s="94" t="s">
        <v>82</v>
      </c>
      <c r="B14" s="95">
        <f>[7]Dashboard!B14</f>
        <v>222.44891490091317</v>
      </c>
      <c r="C14" s="95">
        <f>[7]Dashboard!C14</f>
        <v>224.84099453830459</v>
      </c>
      <c r="D14" s="95">
        <f>[7]Dashboard!D14</f>
        <v>224.80211613698444</v>
      </c>
      <c r="E14" s="95">
        <f>[7]Dashboard!E14</f>
        <v>434.08601194398904</v>
      </c>
      <c r="F14" s="95">
        <f>[7]Dashboard!F14</f>
        <v>432.89043753032189</v>
      </c>
      <c r="G14" s="95">
        <f>[7]Dashboard!G14</f>
        <v>433.32091475319856</v>
      </c>
      <c r="H14" s="95">
        <f>[7]Dashboard!H14</f>
        <v>55.118238551177733</v>
      </c>
      <c r="I14" s="95">
        <f>[7]Dashboard!I14</f>
        <v>59.655544180345444</v>
      </c>
      <c r="J14" s="95">
        <f>[7]Dashboard!J14</f>
        <v>57.366647060644887</v>
      </c>
      <c r="K14" s="95">
        <f>[7]Dashboard!K14</f>
        <v>231.94629995020594</v>
      </c>
      <c r="L14" s="95">
        <f>[7]Dashboard!L14</f>
        <v>235.51907052098755</v>
      </c>
      <c r="M14" s="95">
        <f>[7]Dashboard!M14</f>
        <v>238.11149694851099</v>
      </c>
      <c r="N14" s="95">
        <f>[7]Dashboard!N14</f>
        <v>20871</v>
      </c>
      <c r="O14" s="95">
        <f>[7]Dashboard!O14</f>
        <v>21840</v>
      </c>
      <c r="P14" s="95">
        <f>[7]Dashboard!P14</f>
        <v>25086</v>
      </c>
      <c r="Q14" s="97" t="s">
        <v>120</v>
      </c>
      <c r="R14" s="97" t="s">
        <v>121</v>
      </c>
      <c r="S14" s="97" t="s">
        <v>122</v>
      </c>
      <c r="T14" s="97" t="s">
        <v>238</v>
      </c>
      <c r="U14" s="97" t="s">
        <v>123</v>
      </c>
      <c r="V14" s="98" t="s">
        <v>149</v>
      </c>
      <c r="W14" s="97" t="s">
        <v>150</v>
      </c>
      <c r="X14" s="97" t="s">
        <v>151</v>
      </c>
      <c r="Y14" s="97" t="s">
        <v>247</v>
      </c>
      <c r="Z14" s="97" t="s">
        <v>239</v>
      </c>
      <c r="AA14" s="98" t="s">
        <v>725</v>
      </c>
      <c r="AB14" s="97" t="s">
        <v>710</v>
      </c>
      <c r="AC14" s="97" t="s">
        <v>740</v>
      </c>
      <c r="AD14" s="97" t="s">
        <v>743</v>
      </c>
      <c r="AE14" s="97" t="s">
        <v>419</v>
      </c>
      <c r="AF14" s="98" t="s">
        <v>180</v>
      </c>
      <c r="AG14" s="94" t="s">
        <v>172</v>
      </c>
      <c r="AH14" s="97"/>
      <c r="AI14" s="95">
        <f>[7]Dashboard!R14</f>
        <v>81.022941106971089</v>
      </c>
      <c r="AJ14" s="95">
        <f>[7]Dashboard!S14</f>
        <v>77.784161515278484</v>
      </c>
      <c r="AK14" s="95">
        <f>[7]Dashboard!T14</f>
        <v>75.883439672960648</v>
      </c>
      <c r="AL14" s="95">
        <f>[7]Dashboard!U14</f>
        <v>109.65854919767949</v>
      </c>
      <c r="AM14" s="95">
        <f>[7]Dashboard!V14</f>
        <v>111.29980510605951</v>
      </c>
      <c r="AN14" s="95">
        <f>[7]Dashboard!W14</f>
        <v>117.39731677139183</v>
      </c>
      <c r="AO14" s="95">
        <f>[7]Dashboard!X14</f>
        <v>101.08764852849126</v>
      </c>
      <c r="AP14" s="95">
        <f>[7]Dashboard!Y14</f>
        <v>95.108120064885455</v>
      </c>
      <c r="AQ14" s="95">
        <f>[7]Dashboard!Z14</f>
        <v>89.839529178341138</v>
      </c>
      <c r="AR14" s="95">
        <f>[7]Dashboard!AA14</f>
        <v>8.6781991764139708</v>
      </c>
      <c r="AS14" s="95">
        <f>[7]Dashboard!AB14</f>
        <v>8.1500648693325726</v>
      </c>
      <c r="AT14" s="95">
        <f>[7]Dashboard!AC14</f>
        <v>8.5878068693815308</v>
      </c>
      <c r="AU14" s="95">
        <f>[7]Dashboard!AD14</f>
        <v>48.042273322237122</v>
      </c>
      <c r="AV14" s="95">
        <f>[7]Dashboard!AE14</f>
        <v>45.318906329605277</v>
      </c>
      <c r="AW14" s="95">
        <f>[7]Dashboard!AF14</f>
        <v>47.890535917901943</v>
      </c>
      <c r="AX14" s="94" t="s">
        <v>359</v>
      </c>
      <c r="AY14" s="94" t="s">
        <v>364</v>
      </c>
      <c r="AZ14" s="94" t="s">
        <v>365</v>
      </c>
      <c r="BA14" s="94" t="s">
        <v>366</v>
      </c>
      <c r="BB14" s="94" t="s">
        <v>367</v>
      </c>
      <c r="BC14" s="238" t="s">
        <v>509</v>
      </c>
      <c r="BD14" s="94" t="s">
        <v>517</v>
      </c>
      <c r="BE14" s="94" t="s">
        <v>525</v>
      </c>
      <c r="BF14" s="94" t="s">
        <v>533</v>
      </c>
      <c r="BG14" s="94" t="s">
        <v>541</v>
      </c>
      <c r="BH14" s="238" t="s">
        <v>751</v>
      </c>
      <c r="BI14" s="94" t="s">
        <v>714</v>
      </c>
      <c r="BJ14" s="94" t="s">
        <v>717</v>
      </c>
      <c r="BK14" s="94" t="s">
        <v>719</v>
      </c>
      <c r="BL14" s="94" t="s">
        <v>722</v>
      </c>
      <c r="BM14" s="98" t="s">
        <v>180</v>
      </c>
      <c r="BO14" s="94">
        <f>[7]Dashboard!AH14</f>
        <v>394</v>
      </c>
      <c r="BP14" s="94">
        <f>[7]Dashboard!AI14</f>
        <v>129</v>
      </c>
      <c r="BQ14" s="94">
        <f>[7]Dashboard!AJ14</f>
        <v>330</v>
      </c>
      <c r="BR14" s="94">
        <f>[7]Dashboard!AK14</f>
        <v>5882</v>
      </c>
      <c r="BS14" s="94">
        <f>[7]Dashboard!AL14</f>
        <v>3409</v>
      </c>
      <c r="BT14" s="94">
        <f>[7]Dashboard!AM14</f>
        <v>3123</v>
      </c>
      <c r="BU14" s="94">
        <f>[7]Dashboard!AN14</f>
        <v>1778</v>
      </c>
      <c r="BV14" s="94">
        <f>[7]Dashboard!AO14</f>
        <v>3</v>
      </c>
      <c r="BW14" s="94">
        <f>[7]Dashboard!AP14</f>
        <v>436</v>
      </c>
      <c r="BX14" s="94">
        <f>[7]Dashboard!AQ14</f>
        <v>50</v>
      </c>
      <c r="BY14" s="94">
        <f>[7]Dashboard!AR14</f>
        <v>65</v>
      </c>
      <c r="BZ14" s="94">
        <f>[7]Dashboard!AS14</f>
        <v>1290</v>
      </c>
      <c r="CA14" s="94">
        <f>[7]Dashboard!AT14</f>
        <v>1692</v>
      </c>
      <c r="CB14" s="94">
        <f>[7]Dashboard!AU14</f>
        <v>2411</v>
      </c>
      <c r="CC14" s="94">
        <f>[7]Dashboard!AV14</f>
        <v>1564</v>
      </c>
      <c r="CD14" s="94">
        <f>[7]Dashboard!AW14</f>
        <v>1</v>
      </c>
      <c r="CE14" s="94">
        <f>[7]Dashboard!AX14</f>
        <v>53</v>
      </c>
      <c r="CF14" s="94">
        <f>[7]Dashboard!AY14</f>
        <v>15</v>
      </c>
      <c r="CG14" s="94">
        <f>[7]Dashboard!AZ14</f>
        <v>48</v>
      </c>
      <c r="CH14" s="94">
        <f>[7]Dashboard!BA14</f>
        <v>841</v>
      </c>
      <c r="CI14" s="94">
        <f>[7]Dashboard!BB14</f>
        <v>636</v>
      </c>
      <c r="CJ14" s="94">
        <f>[7]Dashboard!BC14</f>
        <v>608</v>
      </c>
      <c r="CK14" s="94">
        <f>[7]Dashboard!BD14</f>
        <v>328</v>
      </c>
      <c r="CL14" s="94">
        <f>[7]Dashboard!BE14</f>
        <v>0</v>
      </c>
      <c r="CM14" s="94" t="s">
        <v>428</v>
      </c>
      <c r="CO14" s="95">
        <f>SUM(BO14:BV14)</f>
        <v>15048</v>
      </c>
      <c r="CP14" s="95">
        <f>SUM(BW14:CD14)</f>
        <v>7509</v>
      </c>
      <c r="CQ14" s="95">
        <f>SUM(CE14:CL14)</f>
        <v>2529</v>
      </c>
      <c r="CR14" s="95">
        <f>SUM(CO14:CQ14)</f>
        <v>25086</v>
      </c>
      <c r="CT14" s="94">
        <f>BV14+CD14+CL14</f>
        <v>4</v>
      </c>
      <c r="CU14" s="94" t="s">
        <v>503</v>
      </c>
    </row>
    <row r="15" spans="1:99" s="94" customFormat="1" x14ac:dyDescent="0.2">
      <c r="A15" s="94" t="s">
        <v>83</v>
      </c>
      <c r="B15" s="95">
        <f>[7]Dashboard!B15</f>
        <v>193.11852270586022</v>
      </c>
      <c r="C15" s="95">
        <f>[7]Dashboard!C15</f>
        <v>203.44988766755631</v>
      </c>
      <c r="D15" s="95">
        <f>[7]Dashboard!D15</f>
        <v>205.25173022119688</v>
      </c>
      <c r="E15" s="95">
        <f>[7]Dashboard!E15</f>
        <v>302.98351208015845</v>
      </c>
      <c r="F15" s="95">
        <f>[7]Dashboard!F15</f>
        <v>333.32199687485991</v>
      </c>
      <c r="G15" s="95">
        <f>[7]Dashboard!G15</f>
        <v>312.64459443147985</v>
      </c>
      <c r="H15" s="95">
        <f>[7]Dashboard!H15</f>
        <v>36.42353864635632</v>
      </c>
      <c r="I15" s="95">
        <f>[7]Dashboard!I15</f>
        <v>40.24302162834168</v>
      </c>
      <c r="J15" s="95">
        <f>[7]Dashboard!J15</f>
        <v>46.185723329253115</v>
      </c>
      <c r="K15" s="95">
        <f>[7]Dashboard!K15</f>
        <v>274.03286711691163</v>
      </c>
      <c r="L15" s="95">
        <f>[7]Dashboard!L15</f>
        <v>255.88575885189923</v>
      </c>
      <c r="M15" s="95">
        <f>[7]Dashboard!M15</f>
        <v>296.56862745098039</v>
      </c>
      <c r="N15" s="95">
        <f>[7]Dashboard!N15</f>
        <v>4707</v>
      </c>
      <c r="O15" s="95">
        <f>[7]Dashboard!O15</f>
        <v>4652</v>
      </c>
      <c r="P15" s="95">
        <f>[7]Dashboard!P15</f>
        <v>5811</v>
      </c>
      <c r="Q15" s="97" t="s">
        <v>124</v>
      </c>
      <c r="R15" s="97" t="s">
        <v>125</v>
      </c>
      <c r="S15" s="97" t="s">
        <v>126</v>
      </c>
      <c r="T15" s="97" t="s">
        <v>780</v>
      </c>
      <c r="U15" s="97" t="s">
        <v>127</v>
      </c>
      <c r="V15" s="98" t="s">
        <v>152</v>
      </c>
      <c r="W15" s="97" t="s">
        <v>153</v>
      </c>
      <c r="X15" s="97" t="s">
        <v>154</v>
      </c>
      <c r="Y15" s="97" t="s">
        <v>248</v>
      </c>
      <c r="Z15" s="97" t="s">
        <v>240</v>
      </c>
      <c r="AA15" s="98" t="s">
        <v>726</v>
      </c>
      <c r="AB15" s="97" t="s">
        <v>733</v>
      </c>
      <c r="AC15" s="97" t="s">
        <v>741</v>
      </c>
      <c r="AD15" s="97" t="s">
        <v>744</v>
      </c>
      <c r="AE15" s="97" t="s">
        <v>420</v>
      </c>
      <c r="AF15" s="98" t="s">
        <v>181</v>
      </c>
      <c r="AG15" s="94" t="s">
        <v>173</v>
      </c>
      <c r="AH15" s="97"/>
      <c r="AI15" s="95">
        <f>[7]Dashboard!R15</f>
        <v>51.268136423591478</v>
      </c>
      <c r="AJ15" s="95">
        <f>[7]Dashboard!S15</f>
        <v>48.076778094419566</v>
      </c>
      <c r="AK15" s="95">
        <f>[7]Dashboard!T15</f>
        <v>51.642767750787833</v>
      </c>
      <c r="AL15" s="95">
        <f>[7]Dashboard!U15</f>
        <v>85.059779136624996</v>
      </c>
      <c r="AM15" s="95">
        <f>[7]Dashboard!V15</f>
        <v>85.972222222222229</v>
      </c>
      <c r="AN15" s="95">
        <f>[7]Dashboard!W15</f>
        <v>96.805555555555557</v>
      </c>
      <c r="AO15" s="95">
        <f>[7]Dashboard!X15</f>
        <v>62.891773862927423</v>
      </c>
      <c r="AP15" s="95">
        <f>[7]Dashboard!Y15</f>
        <v>57.604715548807718</v>
      </c>
      <c r="AQ15" s="95">
        <f>[7]Dashboard!Z15</f>
        <v>60.328659462355986</v>
      </c>
      <c r="AR15" s="95">
        <f>[7]Dashboard!AA15</f>
        <v>5.3815715093273031</v>
      </c>
      <c r="AS15" s="95">
        <f>[7]Dashboard!AB15</f>
        <v>5.5035358332956381</v>
      </c>
      <c r="AT15" s="95">
        <f>[7]Dashboard!AC15</f>
        <v>6.1594366791815567</v>
      </c>
      <c r="AU15" s="95">
        <f>[7]Dashboard!AD15</f>
        <v>31.623619603906182</v>
      </c>
      <c r="AV15" s="95">
        <f>[7]Dashboard!AE15</f>
        <v>33.05555555555555</v>
      </c>
      <c r="AW15" s="95">
        <f>[7]Dashboard!AF15</f>
        <v>36.620370370370374</v>
      </c>
      <c r="AX15" s="94" t="s">
        <v>368</v>
      </c>
      <c r="AY15" s="94" t="s">
        <v>369</v>
      </c>
      <c r="AZ15" s="94" t="s">
        <v>370</v>
      </c>
      <c r="BA15" s="94" t="s">
        <v>371</v>
      </c>
      <c r="BB15" s="94" t="s">
        <v>372</v>
      </c>
      <c r="BC15" s="238" t="s">
        <v>510</v>
      </c>
      <c r="BD15" s="94" t="s">
        <v>518</v>
      </c>
      <c r="BE15" s="94" t="s">
        <v>526</v>
      </c>
      <c r="BF15" s="94" t="s">
        <v>534</v>
      </c>
      <c r="BG15" s="94" t="s">
        <v>542</v>
      </c>
      <c r="BH15" s="238" t="s">
        <v>752</v>
      </c>
      <c r="BI15" s="94" t="s">
        <v>759</v>
      </c>
      <c r="BJ15" s="94" t="s">
        <v>764</v>
      </c>
      <c r="BK15" s="94" t="s">
        <v>769</v>
      </c>
      <c r="BL15" s="94" t="s">
        <v>774</v>
      </c>
      <c r="BM15" s="98" t="s">
        <v>181</v>
      </c>
      <c r="BO15" s="94">
        <f>[7]Dashboard!AH15</f>
        <v>144</v>
      </c>
      <c r="BP15" s="94">
        <f>[7]Dashboard!AI15</f>
        <v>50</v>
      </c>
      <c r="BQ15" s="94">
        <f>[7]Dashboard!AJ15</f>
        <v>69</v>
      </c>
      <c r="BR15" s="94">
        <f>[7]Dashboard!AK15</f>
        <v>1358</v>
      </c>
      <c r="BS15" s="94">
        <f>[7]Dashboard!AL15</f>
        <v>985</v>
      </c>
      <c r="BT15" s="94">
        <f>[7]Dashboard!AM15</f>
        <v>884</v>
      </c>
      <c r="BU15" s="94">
        <f>[7]Dashboard!AN15</f>
        <v>634</v>
      </c>
      <c r="BV15" s="94">
        <f>[7]Dashboard!AO15</f>
        <v>0</v>
      </c>
      <c r="BW15" s="94">
        <f>[7]Dashboard!AP15</f>
        <v>105</v>
      </c>
      <c r="BX15" s="94">
        <f>[7]Dashboard!AQ15</f>
        <v>3</v>
      </c>
      <c r="BY15" s="94">
        <f>[7]Dashboard!AR15</f>
        <v>11</v>
      </c>
      <c r="BZ15" s="94">
        <f>[7]Dashboard!AS15</f>
        <v>198</v>
      </c>
      <c r="CA15" s="94">
        <f>[7]Dashboard!AT15</f>
        <v>232</v>
      </c>
      <c r="CB15" s="94">
        <f>[7]Dashboard!AU15</f>
        <v>286</v>
      </c>
      <c r="CC15" s="94">
        <f>[7]Dashboard!AV15</f>
        <v>191</v>
      </c>
      <c r="CD15" s="94">
        <f>[7]Dashboard!AW15</f>
        <v>0</v>
      </c>
      <c r="CE15" s="94">
        <f>[7]Dashboard!AX15</f>
        <v>9</v>
      </c>
      <c r="CF15" s="94">
        <f>[7]Dashboard!AY15</f>
        <v>7</v>
      </c>
      <c r="CG15" s="94">
        <f>[7]Dashboard!AZ15</f>
        <v>6</v>
      </c>
      <c r="CH15" s="94">
        <f>[7]Dashboard!BA15</f>
        <v>151</v>
      </c>
      <c r="CI15" s="94">
        <f>[7]Dashboard!BB15</f>
        <v>109</v>
      </c>
      <c r="CJ15" s="94">
        <f>[7]Dashboard!BC15</f>
        <v>192</v>
      </c>
      <c r="CK15" s="94">
        <f>[7]Dashboard!BD15</f>
        <v>187</v>
      </c>
      <c r="CL15" s="94">
        <f>[7]Dashboard!BE15</f>
        <v>0</v>
      </c>
      <c r="CM15" s="94" t="s">
        <v>429</v>
      </c>
      <c r="CO15" s="95">
        <f t="shared" ref="CO15:CO21" si="8">SUM(BO15:BV15)</f>
        <v>4124</v>
      </c>
      <c r="CP15" s="95">
        <f t="shared" ref="CP15:CP21" si="9">SUM(BW15:CD15)</f>
        <v>1026</v>
      </c>
      <c r="CQ15" s="95">
        <f t="shared" ref="CQ15:CQ21" si="10">SUM(CE15:CL15)</f>
        <v>661</v>
      </c>
      <c r="CR15" s="95">
        <f t="shared" ref="CR15:CR21" si="11">SUM(CO15:CQ15)</f>
        <v>5811</v>
      </c>
      <c r="CT15" s="94">
        <f t="shared" ref="CT15:CT21" si="12">BV15+CD15+CL15</f>
        <v>0</v>
      </c>
      <c r="CU15" s="94" t="str">
        <f>""</f>
        <v/>
      </c>
    </row>
    <row r="16" spans="1:99" s="94" customFormat="1" x14ac:dyDescent="0.2">
      <c r="A16" s="94" t="s">
        <v>84</v>
      </c>
      <c r="B16" s="95">
        <f>[7]Dashboard!B16</f>
        <v>256.38494852717133</v>
      </c>
      <c r="C16" s="95">
        <f>[7]Dashboard!C16</f>
        <v>263.80049526523305</v>
      </c>
      <c r="D16" s="95">
        <f>[7]Dashboard!D16</f>
        <v>271.957497997281</v>
      </c>
      <c r="E16" s="95">
        <f>[7]Dashboard!E16</f>
        <v>388.81271672178525</v>
      </c>
      <c r="F16" s="95">
        <f>[7]Dashboard!F16</f>
        <v>428.42244828620551</v>
      </c>
      <c r="G16" s="95">
        <f>[7]Dashboard!G16</f>
        <v>421.38861402447446</v>
      </c>
      <c r="H16" s="95">
        <f>[7]Dashboard!H16</f>
        <v>67.232180380151846</v>
      </c>
      <c r="I16" s="95">
        <f>[7]Dashboard!I16</f>
        <v>74.780553991901655</v>
      </c>
      <c r="J16" s="95">
        <f>[7]Dashboard!J16</f>
        <v>75.996010753333238</v>
      </c>
      <c r="K16" s="95">
        <f>[7]Dashboard!K16</f>
        <v>289.03274616079494</v>
      </c>
      <c r="L16" s="95">
        <f>[7]Dashboard!L16</f>
        <v>305.11967634853198</v>
      </c>
      <c r="M16" s="95">
        <f>[7]Dashboard!M16</f>
        <v>316.6587159312561</v>
      </c>
      <c r="N16" s="95">
        <f>[7]Dashboard!N16</f>
        <v>15429</v>
      </c>
      <c r="O16" s="95">
        <f>[7]Dashboard!O16</f>
        <v>16298</v>
      </c>
      <c r="P16" s="95">
        <f>[7]Dashboard!P16</f>
        <v>19367</v>
      </c>
      <c r="Q16" s="97" t="s">
        <v>128</v>
      </c>
      <c r="R16" s="97" t="s">
        <v>129</v>
      </c>
      <c r="S16" s="97" t="s">
        <v>130</v>
      </c>
      <c r="T16" s="97" t="s">
        <v>781</v>
      </c>
      <c r="U16" s="97" t="s">
        <v>131</v>
      </c>
      <c r="V16" s="98" t="s">
        <v>155</v>
      </c>
      <c r="W16" s="97" t="s">
        <v>156</v>
      </c>
      <c r="X16" s="97" t="s">
        <v>157</v>
      </c>
      <c r="Y16" s="97" t="s">
        <v>249</v>
      </c>
      <c r="Z16" s="97" t="s">
        <v>241</v>
      </c>
      <c r="AA16" s="98" t="s">
        <v>727</v>
      </c>
      <c r="AB16" s="97" t="s">
        <v>734</v>
      </c>
      <c r="AC16" s="97" t="s">
        <v>877</v>
      </c>
      <c r="AD16" s="97" t="s">
        <v>745</v>
      </c>
      <c r="AE16" s="97" t="s">
        <v>421</v>
      </c>
      <c r="AF16" s="98" t="s">
        <v>182</v>
      </c>
      <c r="AG16" s="94" t="s">
        <v>174</v>
      </c>
      <c r="AH16" s="97"/>
      <c r="AI16" s="95">
        <f>[7]Dashboard!R16</f>
        <v>85.952983028159665</v>
      </c>
      <c r="AJ16" s="95">
        <f>[7]Dashboard!S16</f>
        <v>86.363505893343145</v>
      </c>
      <c r="AK16" s="95">
        <f>[7]Dashboard!T16</f>
        <v>85.512839581555667</v>
      </c>
      <c r="AL16" s="95">
        <f>[7]Dashboard!U16</f>
        <v>121.30268199233717</v>
      </c>
      <c r="AM16" s="95">
        <f>[7]Dashboard!V16</f>
        <v>131.40099588123195</v>
      </c>
      <c r="AN16" s="95">
        <f>[7]Dashboard!W16</f>
        <v>137.90188725640868</v>
      </c>
      <c r="AO16" s="95">
        <f>[7]Dashboard!X16</f>
        <v>107.29802509077936</v>
      </c>
      <c r="AP16" s="95">
        <f>[7]Dashboard!Y16</f>
        <v>106.31768507783012</v>
      </c>
      <c r="AQ16" s="95">
        <f>[7]Dashboard!Z16</f>
        <v>102.59269309519698</v>
      </c>
      <c r="AR16" s="95">
        <f>[7]Dashboard!AA16</f>
        <v>7.0757235233300957</v>
      </c>
      <c r="AS16" s="95">
        <f>[7]Dashboard!AB16</f>
        <v>7.1732567211771556</v>
      </c>
      <c r="AT16" s="95">
        <f>[7]Dashboard!AC16</f>
        <v>7.9743443215414285</v>
      </c>
      <c r="AU16" s="95">
        <f>[7]Dashboard!AD16</f>
        <v>40.812260536398469</v>
      </c>
      <c r="AV16" s="95">
        <f>[7]Dashboard!AE16</f>
        <v>41.617999631155094</v>
      </c>
      <c r="AW16" s="95">
        <f>[7]Dashboard!AF16</f>
        <v>45.967295752136224</v>
      </c>
      <c r="AX16" s="94" t="s">
        <v>373</v>
      </c>
      <c r="AY16" s="94" t="s">
        <v>374</v>
      </c>
      <c r="AZ16" s="94" t="s">
        <v>375</v>
      </c>
      <c r="BA16" s="94" t="s">
        <v>376</v>
      </c>
      <c r="BB16" s="94" t="s">
        <v>377</v>
      </c>
      <c r="BC16" s="238" t="s">
        <v>511</v>
      </c>
      <c r="BD16" s="94" t="s">
        <v>519</v>
      </c>
      <c r="BE16" s="94" t="s">
        <v>527</v>
      </c>
      <c r="BF16" s="94" t="s">
        <v>535</v>
      </c>
      <c r="BG16" s="94" t="s">
        <v>543</v>
      </c>
      <c r="BH16" s="238" t="s">
        <v>753</v>
      </c>
      <c r="BI16" s="94" t="s">
        <v>760</v>
      </c>
      <c r="BJ16" s="94" t="s">
        <v>765</v>
      </c>
      <c r="BK16" s="94" t="s">
        <v>770</v>
      </c>
      <c r="BL16" s="94" t="s">
        <v>775</v>
      </c>
      <c r="BM16" s="98" t="s">
        <v>182</v>
      </c>
      <c r="BO16" s="94">
        <f>[7]Dashboard!AH16</f>
        <v>324</v>
      </c>
      <c r="BP16" s="94">
        <f>[7]Dashboard!AI16</f>
        <v>133</v>
      </c>
      <c r="BQ16" s="94">
        <f>[7]Dashboard!AJ16</f>
        <v>213</v>
      </c>
      <c r="BR16" s="94">
        <f>[7]Dashboard!AK16</f>
        <v>3942</v>
      </c>
      <c r="BS16" s="94">
        <f>[7]Dashboard!AL16</f>
        <v>2444</v>
      </c>
      <c r="BT16" s="94">
        <f>[7]Dashboard!AM16</f>
        <v>1963</v>
      </c>
      <c r="BU16" s="94">
        <f>[7]Dashboard!AN16</f>
        <v>1094</v>
      </c>
      <c r="BV16" s="94">
        <f>[7]Dashboard!AO16</f>
        <v>0</v>
      </c>
      <c r="BW16" s="94">
        <f>[7]Dashboard!AP16</f>
        <v>894</v>
      </c>
      <c r="BX16" s="94">
        <f>[7]Dashboard!AQ16</f>
        <v>65</v>
      </c>
      <c r="BY16" s="94">
        <f>[7]Dashboard!AR16</f>
        <v>93</v>
      </c>
      <c r="BZ16" s="94">
        <f>[7]Dashboard!AS16</f>
        <v>1350</v>
      </c>
      <c r="CA16" s="94">
        <f>[7]Dashboard!AT16</f>
        <v>1420</v>
      </c>
      <c r="CB16" s="94">
        <f>[7]Dashboard!AU16</f>
        <v>1922</v>
      </c>
      <c r="CC16" s="94">
        <f>[7]Dashboard!AV16</f>
        <v>1343</v>
      </c>
      <c r="CD16" s="94">
        <f>[7]Dashboard!AW16</f>
        <v>1</v>
      </c>
      <c r="CE16" s="94">
        <f>[7]Dashboard!AX16</f>
        <v>55</v>
      </c>
      <c r="CF16" s="94">
        <f>[7]Dashboard!AY16</f>
        <v>20</v>
      </c>
      <c r="CG16" s="94">
        <f>[7]Dashboard!AZ16</f>
        <v>28</v>
      </c>
      <c r="CH16" s="94">
        <f>[7]Dashboard!BA16</f>
        <v>659</v>
      </c>
      <c r="CI16" s="94">
        <f>[7]Dashboard!BB16</f>
        <v>555</v>
      </c>
      <c r="CJ16" s="94">
        <f>[7]Dashboard!BC16</f>
        <v>501</v>
      </c>
      <c r="CK16" s="94">
        <f>[7]Dashboard!BD16</f>
        <v>348</v>
      </c>
      <c r="CL16" s="94">
        <f>[7]Dashboard!BE16</f>
        <v>0</v>
      </c>
      <c r="CM16" s="94" t="s">
        <v>430</v>
      </c>
      <c r="CO16" s="95">
        <f t="shared" si="8"/>
        <v>10113</v>
      </c>
      <c r="CP16" s="95">
        <f t="shared" si="9"/>
        <v>7088</v>
      </c>
      <c r="CQ16" s="95">
        <f t="shared" si="10"/>
        <v>2166</v>
      </c>
      <c r="CR16" s="95">
        <f t="shared" si="11"/>
        <v>19367</v>
      </c>
      <c r="CT16" s="94">
        <f t="shared" si="12"/>
        <v>1</v>
      </c>
      <c r="CU16" s="94" t="s">
        <v>504</v>
      </c>
    </row>
    <row r="17" spans="1:99" s="94" customFormat="1" x14ac:dyDescent="0.2">
      <c r="A17" s="94" t="s">
        <v>103</v>
      </c>
      <c r="B17" s="95">
        <f>[7]Dashboard!B17</f>
        <v>249.52915960007724</v>
      </c>
      <c r="C17" s="95">
        <f>[7]Dashboard!C17</f>
        <v>251.7479722760369</v>
      </c>
      <c r="D17" s="95">
        <f>[7]Dashboard!D17</f>
        <v>256.99474371319934</v>
      </c>
      <c r="E17" s="95">
        <f>[7]Dashboard!E17</f>
        <v>429.45271044471349</v>
      </c>
      <c r="F17" s="95">
        <f>[7]Dashboard!F17</f>
        <v>461.57909021754369</v>
      </c>
      <c r="G17" s="95">
        <f>[7]Dashboard!G17</f>
        <v>441.07665831045324</v>
      </c>
      <c r="H17" s="95">
        <f>[7]Dashboard!H17</f>
        <v>73.521814030462437</v>
      </c>
      <c r="I17" s="95">
        <f>[7]Dashboard!I17</f>
        <v>69.625849088466879</v>
      </c>
      <c r="J17" s="95">
        <f>[7]Dashboard!J17</f>
        <v>70.463964199562795</v>
      </c>
      <c r="K17" s="95">
        <f>[7]Dashboard!K17</f>
        <v>285.32636619040858</v>
      </c>
      <c r="L17" s="95">
        <f>[7]Dashboard!L17</f>
        <v>289.7669712880197</v>
      </c>
      <c r="M17" s="95">
        <f>[7]Dashboard!M17</f>
        <v>342.88170451701365</v>
      </c>
      <c r="N17" s="95">
        <f>[7]Dashboard!N17</f>
        <v>16214</v>
      </c>
      <c r="O17" s="95">
        <f>[7]Dashboard!O17</f>
        <v>16548</v>
      </c>
      <c r="P17" s="95">
        <f>[7]Dashboard!P17</f>
        <v>22991</v>
      </c>
      <c r="Q17" s="97" t="s">
        <v>132</v>
      </c>
      <c r="R17" s="97" t="s">
        <v>133</v>
      </c>
      <c r="S17" s="97" t="s">
        <v>134</v>
      </c>
      <c r="T17" s="97" t="s">
        <v>782</v>
      </c>
      <c r="U17" s="97" t="s">
        <v>135</v>
      </c>
      <c r="V17" s="98" t="s">
        <v>158</v>
      </c>
      <c r="W17" s="97" t="s">
        <v>159</v>
      </c>
      <c r="X17" s="97" t="s">
        <v>160</v>
      </c>
      <c r="Y17" s="97" t="s">
        <v>250</v>
      </c>
      <c r="Z17" s="97" t="s">
        <v>242</v>
      </c>
      <c r="AA17" s="98" t="s">
        <v>728</v>
      </c>
      <c r="AB17" s="97" t="s">
        <v>735</v>
      </c>
      <c r="AC17" s="97" t="s">
        <v>878</v>
      </c>
      <c r="AD17" s="97" t="s">
        <v>746</v>
      </c>
      <c r="AE17" s="97" t="s">
        <v>422</v>
      </c>
      <c r="AF17" s="98" t="s">
        <v>183</v>
      </c>
      <c r="AG17" s="94" t="s">
        <v>175</v>
      </c>
      <c r="AH17" s="97"/>
      <c r="AI17" s="95">
        <f>[7]Dashboard!R17</f>
        <v>98.535184445154016</v>
      </c>
      <c r="AJ17" s="95">
        <f>[7]Dashboard!S17</f>
        <v>97.448740736793638</v>
      </c>
      <c r="AK17" s="95">
        <f>[7]Dashboard!T17</f>
        <v>99.545926853497647</v>
      </c>
      <c r="AL17" s="95">
        <f>[7]Dashboard!U17</f>
        <v>124.39192365294008</v>
      </c>
      <c r="AM17" s="95">
        <f>[7]Dashboard!V17</f>
        <v>133.39934927146697</v>
      </c>
      <c r="AN17" s="95">
        <f>[7]Dashboard!W17</f>
        <v>145.47808960031338</v>
      </c>
      <c r="AO17" s="95">
        <f>[7]Dashboard!X17</f>
        <v>120.30747588424437</v>
      </c>
      <c r="AP17" s="95">
        <f>[7]Dashboard!Y17</f>
        <v>115.83210087568482</v>
      </c>
      <c r="AQ17" s="95">
        <f>[7]Dashboard!Z17</f>
        <v>115.80873147557732</v>
      </c>
      <c r="AR17" s="95">
        <f>[7]Dashboard!AA17</f>
        <v>9.7399431358639834</v>
      </c>
      <c r="AS17" s="95">
        <f>[7]Dashboard!AB17</f>
        <v>9.876947319141486</v>
      </c>
      <c r="AT17" s="95">
        <f>[7]Dashboard!AC17</f>
        <v>10.185245096733185</v>
      </c>
      <c r="AU17" s="95">
        <f>[7]Dashboard!AD17</f>
        <v>55.030226177071832</v>
      </c>
      <c r="AV17" s="95">
        <f>[7]Dashboard!AE17</f>
        <v>55.660141245089612</v>
      </c>
      <c r="AW17" s="95">
        <f>[7]Dashboard!AF17</f>
        <v>57.488274916482581</v>
      </c>
      <c r="AX17" s="94" t="s">
        <v>378</v>
      </c>
      <c r="AY17" s="94" t="s">
        <v>379</v>
      </c>
      <c r="AZ17" s="94" t="s">
        <v>380</v>
      </c>
      <c r="BA17" s="94" t="s">
        <v>381</v>
      </c>
      <c r="BB17" s="94" t="s">
        <v>382</v>
      </c>
      <c r="BC17" s="238" t="s">
        <v>512</v>
      </c>
      <c r="BD17" s="94" t="s">
        <v>520</v>
      </c>
      <c r="BE17" s="94" t="s">
        <v>528</v>
      </c>
      <c r="BF17" s="94" t="s">
        <v>536</v>
      </c>
      <c r="BG17" s="94" t="s">
        <v>544</v>
      </c>
      <c r="BH17" s="238" t="s">
        <v>754</v>
      </c>
      <c r="BI17" s="94" t="s">
        <v>761</v>
      </c>
      <c r="BJ17" s="94" t="s">
        <v>879</v>
      </c>
      <c r="BK17" s="94" t="s">
        <v>771</v>
      </c>
      <c r="BL17" s="94" t="s">
        <v>776</v>
      </c>
      <c r="BM17" s="98" t="s">
        <v>183</v>
      </c>
      <c r="BO17" s="94">
        <f>[7]Dashboard!AH17</f>
        <v>548</v>
      </c>
      <c r="BP17" s="94">
        <f>[7]Dashboard!AI17</f>
        <v>151</v>
      </c>
      <c r="BQ17" s="94">
        <f>[7]Dashboard!AJ17</f>
        <v>400</v>
      </c>
      <c r="BR17" s="94">
        <f>[7]Dashboard!AK17</f>
        <v>6274</v>
      </c>
      <c r="BS17" s="94">
        <f>[7]Dashboard!AL17</f>
        <v>3161</v>
      </c>
      <c r="BT17" s="94">
        <f>[7]Dashboard!AM17</f>
        <v>2657</v>
      </c>
      <c r="BU17" s="94">
        <f>[7]Dashboard!AN17</f>
        <v>1631</v>
      </c>
      <c r="BV17" s="94">
        <f>[7]Dashboard!AO17</f>
        <v>4</v>
      </c>
      <c r="BW17" s="94">
        <f>[7]Dashboard!AP17</f>
        <v>878</v>
      </c>
      <c r="BX17" s="94">
        <f>[7]Dashboard!AQ17</f>
        <v>32</v>
      </c>
      <c r="BY17" s="94">
        <f>[7]Dashboard!AR17</f>
        <v>41</v>
      </c>
      <c r="BZ17" s="94">
        <f>[7]Dashboard!AS17</f>
        <v>887</v>
      </c>
      <c r="CA17" s="94">
        <f>[7]Dashboard!AT17</f>
        <v>950</v>
      </c>
      <c r="CB17" s="94">
        <f>[7]Dashboard!AU17</f>
        <v>1415</v>
      </c>
      <c r="CC17" s="94">
        <f>[7]Dashboard!AV17</f>
        <v>924</v>
      </c>
      <c r="CD17" s="94">
        <f>[7]Dashboard!AW17</f>
        <v>0</v>
      </c>
      <c r="CE17" s="94">
        <f>[7]Dashboard!AX17</f>
        <v>73</v>
      </c>
      <c r="CF17" s="94">
        <f>[7]Dashboard!AY17</f>
        <v>14</v>
      </c>
      <c r="CG17" s="94">
        <f>[7]Dashboard!AZ17</f>
        <v>47</v>
      </c>
      <c r="CH17" s="94">
        <f>[7]Dashboard!BA17</f>
        <v>881</v>
      </c>
      <c r="CI17" s="94">
        <f>[7]Dashboard!BB17</f>
        <v>671</v>
      </c>
      <c r="CJ17" s="94">
        <f>[7]Dashboard!BC17</f>
        <v>834</v>
      </c>
      <c r="CK17" s="94">
        <f>[7]Dashboard!BD17</f>
        <v>518</v>
      </c>
      <c r="CL17" s="94">
        <f>[7]Dashboard!BE17</f>
        <v>0</v>
      </c>
      <c r="CM17" s="94" t="s">
        <v>431</v>
      </c>
      <c r="CO17" s="95">
        <f t="shared" si="8"/>
        <v>14826</v>
      </c>
      <c r="CP17" s="95">
        <f t="shared" si="9"/>
        <v>5127</v>
      </c>
      <c r="CQ17" s="95">
        <f t="shared" si="10"/>
        <v>3038</v>
      </c>
      <c r="CR17" s="95">
        <f t="shared" si="11"/>
        <v>22991</v>
      </c>
      <c r="CT17" s="94">
        <f t="shared" si="12"/>
        <v>4</v>
      </c>
      <c r="CU17" s="94" t="s">
        <v>503</v>
      </c>
    </row>
    <row r="18" spans="1:99" s="94" customFormat="1" x14ac:dyDescent="0.2">
      <c r="A18" s="94" t="s">
        <v>85</v>
      </c>
      <c r="B18" s="95">
        <f>[7]Dashboard!B18</f>
        <v>276.71623534818031</v>
      </c>
      <c r="C18" s="95">
        <f>[7]Dashboard!C18</f>
        <v>284.36483731275382</v>
      </c>
      <c r="D18" s="95">
        <f>[7]Dashboard!D18</f>
        <v>286.65307429187652</v>
      </c>
      <c r="E18" s="95">
        <f>[7]Dashboard!E18</f>
        <v>516.80856549739099</v>
      </c>
      <c r="F18" s="95">
        <f>[7]Dashboard!F18</f>
        <v>508.43541488392532</v>
      </c>
      <c r="G18" s="95">
        <f>[7]Dashboard!G18</f>
        <v>542.3344917071272</v>
      </c>
      <c r="H18" s="95">
        <f>[7]Dashboard!H18</f>
        <v>86.283841173974096</v>
      </c>
      <c r="I18" s="95">
        <f>[7]Dashboard!I18</f>
        <v>96.496196977701445</v>
      </c>
      <c r="J18" s="95">
        <f>[7]Dashboard!J18</f>
        <v>74.640483780885148</v>
      </c>
      <c r="K18" s="95">
        <f>[7]Dashboard!K18</f>
        <v>395.05877959564629</v>
      </c>
      <c r="L18" s="95">
        <f>[7]Dashboard!L18</f>
        <v>397.70461100503013</v>
      </c>
      <c r="M18" s="95">
        <f>[7]Dashboard!M18</f>
        <v>397.51884750838514</v>
      </c>
      <c r="N18" s="95">
        <f>[7]Dashboard!N18</f>
        <v>14057</v>
      </c>
      <c r="O18" s="95">
        <f>[7]Dashboard!O18</f>
        <v>13152</v>
      </c>
      <c r="P18" s="95">
        <f>[7]Dashboard!P18</f>
        <v>17803</v>
      </c>
      <c r="Q18" s="97" t="s">
        <v>136</v>
      </c>
      <c r="R18" s="97" t="s">
        <v>137</v>
      </c>
      <c r="S18" s="97" t="s">
        <v>138</v>
      </c>
      <c r="T18" s="97" t="s">
        <v>783</v>
      </c>
      <c r="U18" s="97" t="s">
        <v>139</v>
      </c>
      <c r="V18" s="98" t="s">
        <v>161</v>
      </c>
      <c r="W18" s="97" t="s">
        <v>162</v>
      </c>
      <c r="X18" s="97" t="s">
        <v>163</v>
      </c>
      <c r="Y18" s="97" t="s">
        <v>251</v>
      </c>
      <c r="Z18" s="97" t="s">
        <v>243</v>
      </c>
      <c r="AA18" s="98" t="s">
        <v>729</v>
      </c>
      <c r="AB18" s="97" t="s">
        <v>736</v>
      </c>
      <c r="AC18" s="97" t="s">
        <v>712</v>
      </c>
      <c r="AD18" s="97" t="s">
        <v>747</v>
      </c>
      <c r="AE18" s="97" t="s">
        <v>423</v>
      </c>
      <c r="AF18" s="98" t="s">
        <v>184</v>
      </c>
      <c r="AG18" s="94" t="s">
        <v>176</v>
      </c>
      <c r="AH18" s="97"/>
      <c r="AI18" s="95">
        <f>[7]Dashboard!R18</f>
        <v>126.77012904075985</v>
      </c>
      <c r="AJ18" s="95">
        <f>[7]Dashboard!S18</f>
        <v>124.58927999730399</v>
      </c>
      <c r="AK18" s="95">
        <f>[7]Dashboard!T18</f>
        <v>122.58075387129931</v>
      </c>
      <c r="AL18" s="95">
        <f>[7]Dashboard!U18</f>
        <v>164.23965804535246</v>
      </c>
      <c r="AM18" s="95">
        <f>[7]Dashboard!V18</f>
        <v>169.7631464580617</v>
      </c>
      <c r="AN18" s="95">
        <f>[7]Dashboard!W18</f>
        <v>181.82312038244243</v>
      </c>
      <c r="AO18" s="95">
        <f>[7]Dashboard!X18</f>
        <v>150.99644422393118</v>
      </c>
      <c r="AP18" s="95">
        <f>[7]Dashboard!Y18</f>
        <v>146.1483548575508</v>
      </c>
      <c r="AQ18" s="95">
        <f>[7]Dashboard!Z18</f>
        <v>139.29285718499816</v>
      </c>
      <c r="AR18" s="95">
        <f>[7]Dashboard!AA18</f>
        <v>14.106969687754475</v>
      </c>
      <c r="AS18" s="95">
        <f>[7]Dashboard!AB18</f>
        <v>14.106863025932229</v>
      </c>
      <c r="AT18" s="95">
        <f>[7]Dashboard!AC18</f>
        <v>16.152459265000758</v>
      </c>
      <c r="AU18" s="95">
        <f>[7]Dashboard!AD18</f>
        <v>74.730131130913563</v>
      </c>
      <c r="AV18" s="95">
        <f>[7]Dashboard!AE18</f>
        <v>75.003621613791111</v>
      </c>
      <c r="AW18" s="95">
        <f>[7]Dashboard!AF18</f>
        <v>85.488193539040992</v>
      </c>
      <c r="AX18" s="94" t="s">
        <v>383</v>
      </c>
      <c r="AY18" s="94" t="s">
        <v>384</v>
      </c>
      <c r="AZ18" s="94" t="s">
        <v>385</v>
      </c>
      <c r="BA18" s="94" t="s">
        <v>386</v>
      </c>
      <c r="BB18" s="94" t="s">
        <v>387</v>
      </c>
      <c r="BC18" s="238" t="s">
        <v>513</v>
      </c>
      <c r="BD18" s="94" t="s">
        <v>521</v>
      </c>
      <c r="BE18" s="94" t="s">
        <v>529</v>
      </c>
      <c r="BF18" s="94" t="s">
        <v>537</v>
      </c>
      <c r="BG18" s="94" t="s">
        <v>545</v>
      </c>
      <c r="BH18" s="238" t="s">
        <v>755</v>
      </c>
      <c r="BI18" s="94" t="s">
        <v>715</v>
      </c>
      <c r="BJ18" s="94" t="s">
        <v>718</v>
      </c>
      <c r="BK18" s="94" t="s">
        <v>720</v>
      </c>
      <c r="BL18" s="94" t="s">
        <v>723</v>
      </c>
      <c r="BM18" s="98" t="s">
        <v>184</v>
      </c>
      <c r="BO18" s="94">
        <f>[7]Dashboard!AH18</f>
        <v>724</v>
      </c>
      <c r="BP18" s="94">
        <f>[7]Dashboard!AI18</f>
        <v>185</v>
      </c>
      <c r="BQ18" s="94">
        <f>[7]Dashboard!AJ18</f>
        <v>390</v>
      </c>
      <c r="BR18" s="94">
        <f>[7]Dashboard!AK18</f>
        <v>5010</v>
      </c>
      <c r="BS18" s="94">
        <f>[7]Dashboard!AL18</f>
        <v>2062</v>
      </c>
      <c r="BT18" s="94">
        <f>[7]Dashboard!AM18</f>
        <v>1777</v>
      </c>
      <c r="BU18" s="94">
        <f>[7]Dashboard!AN18</f>
        <v>983</v>
      </c>
      <c r="BV18" s="94">
        <f>[7]Dashboard!AO18</f>
        <v>2</v>
      </c>
      <c r="BW18" s="94">
        <f>[7]Dashboard!AP18</f>
        <v>447</v>
      </c>
      <c r="BX18" s="94">
        <f>[7]Dashboard!AQ18</f>
        <v>41</v>
      </c>
      <c r="BY18" s="94">
        <f>[7]Dashboard!AR18</f>
        <v>64</v>
      </c>
      <c r="BZ18" s="94">
        <f>[7]Dashboard!AS18</f>
        <v>879</v>
      </c>
      <c r="CA18" s="94">
        <f>[7]Dashboard!AT18</f>
        <v>742</v>
      </c>
      <c r="CB18" s="94">
        <f>[7]Dashboard!AU18</f>
        <v>1015</v>
      </c>
      <c r="CC18" s="94">
        <f>[7]Dashboard!AV18</f>
        <v>567</v>
      </c>
      <c r="CD18" s="94">
        <f>[7]Dashboard!AW18</f>
        <v>1</v>
      </c>
      <c r="CE18" s="94">
        <f>[7]Dashboard!AX18</f>
        <v>133</v>
      </c>
      <c r="CF18" s="94">
        <f>[7]Dashboard!AY18</f>
        <v>36</v>
      </c>
      <c r="CG18" s="94">
        <f>[7]Dashboard!AZ18</f>
        <v>70</v>
      </c>
      <c r="CH18" s="94">
        <f>[7]Dashboard!BA18</f>
        <v>1022</v>
      </c>
      <c r="CI18" s="94">
        <f>[7]Dashboard!BB18</f>
        <v>599</v>
      </c>
      <c r="CJ18" s="94">
        <f>[7]Dashboard!BC18</f>
        <v>688</v>
      </c>
      <c r="CK18" s="94">
        <f>[7]Dashboard!BD18</f>
        <v>366</v>
      </c>
      <c r="CL18" s="94">
        <f>[7]Dashboard!BE18</f>
        <v>0</v>
      </c>
      <c r="CM18" s="94" t="s">
        <v>432</v>
      </c>
      <c r="CO18" s="95">
        <f t="shared" si="8"/>
        <v>11133</v>
      </c>
      <c r="CP18" s="95">
        <f t="shared" si="9"/>
        <v>3756</v>
      </c>
      <c r="CQ18" s="95">
        <f t="shared" si="10"/>
        <v>2914</v>
      </c>
      <c r="CR18" s="95">
        <f t="shared" si="11"/>
        <v>17803</v>
      </c>
      <c r="CT18" s="94">
        <f t="shared" si="12"/>
        <v>3</v>
      </c>
      <c r="CU18" s="94" t="s">
        <v>505</v>
      </c>
    </row>
    <row r="19" spans="1:99" s="94" customFormat="1" x14ac:dyDescent="0.2">
      <c r="A19" s="94" t="s">
        <v>86</v>
      </c>
      <c r="B19" s="95">
        <f>[7]Dashboard!B19</f>
        <v>254.15359380841866</v>
      </c>
      <c r="C19" s="95">
        <f>[7]Dashboard!C19</f>
        <v>259.33800742193483</v>
      </c>
      <c r="D19" s="95">
        <f>[7]Dashboard!D19</f>
        <v>261.01387272705404</v>
      </c>
      <c r="E19" s="95">
        <f>[7]Dashboard!E19</f>
        <v>484.16680274635246</v>
      </c>
      <c r="F19" s="95">
        <f>[7]Dashboard!F19</f>
        <v>510.38213543136493</v>
      </c>
      <c r="G19" s="95">
        <f>[7]Dashboard!G19</f>
        <v>507.90970101056411</v>
      </c>
      <c r="H19" s="95">
        <f>[7]Dashboard!H19</f>
        <v>78.190119169774107</v>
      </c>
      <c r="I19" s="95">
        <f>[7]Dashboard!I19</f>
        <v>70.232882453101709</v>
      </c>
      <c r="J19" s="95">
        <f>[7]Dashboard!J19</f>
        <v>72.210066494247414</v>
      </c>
      <c r="K19" s="95">
        <f>[7]Dashboard!K19</f>
        <v>313.97486166025226</v>
      </c>
      <c r="L19" s="95">
        <f>[7]Dashboard!L19</f>
        <v>340.33563692431045</v>
      </c>
      <c r="M19" s="95">
        <f>[7]Dashboard!M19</f>
        <v>344.6702885729286</v>
      </c>
      <c r="N19" s="95">
        <f>[7]Dashboard!N19</f>
        <v>26291</v>
      </c>
      <c r="O19" s="95">
        <f>[7]Dashboard!O19</f>
        <v>24943</v>
      </c>
      <c r="P19" s="95">
        <f>[7]Dashboard!P19</f>
        <v>30596</v>
      </c>
      <c r="Q19" s="97" t="s">
        <v>140</v>
      </c>
      <c r="R19" s="97" t="s">
        <v>141</v>
      </c>
      <c r="S19" s="97" t="s">
        <v>142</v>
      </c>
      <c r="T19" s="97" t="s">
        <v>784</v>
      </c>
      <c r="U19" s="97" t="s">
        <v>143</v>
      </c>
      <c r="V19" s="98" t="s">
        <v>164</v>
      </c>
      <c r="W19" s="97" t="s">
        <v>165</v>
      </c>
      <c r="X19" s="97" t="s">
        <v>166</v>
      </c>
      <c r="Y19" s="97" t="s">
        <v>252</v>
      </c>
      <c r="Z19" s="97" t="s">
        <v>244</v>
      </c>
      <c r="AA19" s="98" t="s">
        <v>730</v>
      </c>
      <c r="AB19" s="97" t="s">
        <v>737</v>
      </c>
      <c r="AC19" s="97" t="s">
        <v>713</v>
      </c>
      <c r="AD19" s="97" t="s">
        <v>748</v>
      </c>
      <c r="AE19" s="97" t="s">
        <v>424</v>
      </c>
      <c r="AF19" s="98" t="s">
        <v>185</v>
      </c>
      <c r="AG19" s="94" t="s">
        <v>177</v>
      </c>
      <c r="AH19" s="97"/>
      <c r="AI19" s="95">
        <f>[7]Dashboard!R19</f>
        <v>110.0980184389758</v>
      </c>
      <c r="AJ19" s="95">
        <f>[7]Dashboard!S19</f>
        <v>107.02505547543869</v>
      </c>
      <c r="AK19" s="95">
        <f>[7]Dashboard!T19</f>
        <v>106.57472038831948</v>
      </c>
      <c r="AL19" s="95">
        <f>[7]Dashboard!U19</f>
        <v>136.94746853560116</v>
      </c>
      <c r="AM19" s="95">
        <f>[7]Dashboard!V19</f>
        <v>141.1486785767016</v>
      </c>
      <c r="AN19" s="95">
        <f>[7]Dashboard!W19</f>
        <v>148.2725527831094</v>
      </c>
      <c r="AO19" s="95">
        <f>[7]Dashboard!X19</f>
        <v>133.39983842933731</v>
      </c>
      <c r="AP19" s="95">
        <f>[7]Dashboard!Y19</f>
        <v>127.33030428197713</v>
      </c>
      <c r="AQ19" s="95">
        <f>[7]Dashboard!Z19</f>
        <v>124.22782137775943</v>
      </c>
      <c r="AR19" s="95">
        <f>[7]Dashboard!AA19</f>
        <v>11.454149803325633</v>
      </c>
      <c r="AS19" s="95">
        <f>[7]Dashboard!AB19</f>
        <v>11.287597393556771</v>
      </c>
      <c r="AT19" s="95">
        <f>[7]Dashboard!AC19</f>
        <v>12.411716275144427</v>
      </c>
      <c r="AU19" s="95">
        <f>[7]Dashboard!AD19</f>
        <v>60.158637820068883</v>
      </c>
      <c r="AV19" s="95">
        <f>[7]Dashboard!AE19</f>
        <v>59.344086815296031</v>
      </c>
      <c r="AW19" s="95">
        <f>[7]Dashboard!AF19</f>
        <v>65.13915547024952</v>
      </c>
      <c r="AX19" s="94" t="s">
        <v>388</v>
      </c>
      <c r="AY19" s="94" t="s">
        <v>389</v>
      </c>
      <c r="AZ19" s="94" t="s">
        <v>390</v>
      </c>
      <c r="BA19" s="94" t="s">
        <v>391</v>
      </c>
      <c r="BB19" s="94" t="s">
        <v>392</v>
      </c>
      <c r="BC19" s="238" t="s">
        <v>514</v>
      </c>
      <c r="BD19" s="94" t="s">
        <v>522</v>
      </c>
      <c r="BE19" s="94" t="s">
        <v>530</v>
      </c>
      <c r="BF19" s="94" t="s">
        <v>538</v>
      </c>
      <c r="BG19" s="94" t="s">
        <v>546</v>
      </c>
      <c r="BH19" s="238" t="s">
        <v>756</v>
      </c>
      <c r="BI19" s="94" t="s">
        <v>716</v>
      </c>
      <c r="BJ19" s="94" t="s">
        <v>766</v>
      </c>
      <c r="BK19" s="94" t="s">
        <v>721</v>
      </c>
      <c r="BL19" s="94" t="s">
        <v>724</v>
      </c>
      <c r="BM19" s="98" t="s">
        <v>185</v>
      </c>
      <c r="BO19" s="94">
        <f>[7]Dashboard!AH19</f>
        <v>824</v>
      </c>
      <c r="BP19" s="94">
        <f>[7]Dashboard!AI19</f>
        <v>252</v>
      </c>
      <c r="BQ19" s="94">
        <f>[7]Dashboard!AJ19</f>
        <v>533</v>
      </c>
      <c r="BR19" s="94">
        <f>[7]Dashboard!AK19</f>
        <v>8332</v>
      </c>
      <c r="BS19" s="94">
        <f>[7]Dashboard!AL19</f>
        <v>3862</v>
      </c>
      <c r="BT19" s="94">
        <f>[7]Dashboard!AM19</f>
        <v>3329</v>
      </c>
      <c r="BU19" s="94">
        <f>[7]Dashboard!AN19</f>
        <v>1889</v>
      </c>
      <c r="BV19" s="94">
        <f>[7]Dashboard!AO19</f>
        <v>7</v>
      </c>
      <c r="BW19" s="94">
        <f>[7]Dashboard!AP19</f>
        <v>1043</v>
      </c>
      <c r="BX19" s="94">
        <f>[7]Dashboard!AQ19</f>
        <v>61</v>
      </c>
      <c r="BY19" s="94">
        <f>[7]Dashboard!AR19</f>
        <v>75</v>
      </c>
      <c r="BZ19" s="94">
        <f>[7]Dashboard!AS19</f>
        <v>1287</v>
      </c>
      <c r="CA19" s="94">
        <f>[7]Dashboard!AT19</f>
        <v>1386</v>
      </c>
      <c r="CB19" s="94">
        <f>[7]Dashboard!AU19</f>
        <v>1907</v>
      </c>
      <c r="CC19" s="94">
        <f>[7]Dashboard!AV19</f>
        <v>1262</v>
      </c>
      <c r="CD19" s="94">
        <f>[7]Dashboard!AW19</f>
        <v>0</v>
      </c>
      <c r="CE19" s="94">
        <f>[7]Dashboard!AX19</f>
        <v>127</v>
      </c>
      <c r="CF19" s="94">
        <f>[7]Dashboard!AY19</f>
        <v>34</v>
      </c>
      <c r="CG19" s="94">
        <f>[7]Dashboard!AZ19</f>
        <v>68</v>
      </c>
      <c r="CH19" s="94">
        <f>[7]Dashboard!BA19</f>
        <v>1327</v>
      </c>
      <c r="CI19" s="94">
        <f>[7]Dashboard!BB19</f>
        <v>922</v>
      </c>
      <c r="CJ19" s="94">
        <f>[7]Dashboard!BC19</f>
        <v>1232</v>
      </c>
      <c r="CK19" s="94">
        <f>[7]Dashboard!BD19</f>
        <v>836</v>
      </c>
      <c r="CL19" s="94">
        <f>[7]Dashboard!BE19</f>
        <v>1</v>
      </c>
      <c r="CM19" s="94" t="s">
        <v>433</v>
      </c>
      <c r="CO19" s="95">
        <f t="shared" si="8"/>
        <v>19028</v>
      </c>
      <c r="CP19" s="95">
        <f t="shared" si="9"/>
        <v>7021</v>
      </c>
      <c r="CQ19" s="95">
        <f t="shared" si="10"/>
        <v>4547</v>
      </c>
      <c r="CR19" s="95">
        <f t="shared" si="11"/>
        <v>30596</v>
      </c>
      <c r="CT19" s="94">
        <f t="shared" si="12"/>
        <v>8</v>
      </c>
      <c r="CU19" s="94" t="s">
        <v>506</v>
      </c>
    </row>
    <row r="20" spans="1:99" s="94" customFormat="1" x14ac:dyDescent="0.2">
      <c r="A20" s="94" t="s">
        <v>87</v>
      </c>
      <c r="B20" s="95">
        <f>[7]Dashboard!B20</f>
        <v>232.11592206299443</v>
      </c>
      <c r="C20" s="95">
        <f>[7]Dashboard!C20</f>
        <v>242.61065452024948</v>
      </c>
      <c r="D20" s="95">
        <f>[7]Dashboard!D20</f>
        <v>241.98765554345317</v>
      </c>
      <c r="E20" s="95">
        <f>[7]Dashboard!E20</f>
        <v>531.23491811331758</v>
      </c>
      <c r="F20" s="95">
        <f>[7]Dashboard!F20</f>
        <v>541.68846196441291</v>
      </c>
      <c r="G20" s="95">
        <f>[7]Dashboard!G20</f>
        <v>542.68055279785756</v>
      </c>
      <c r="H20" s="95">
        <f>[7]Dashboard!H20</f>
        <v>64.023706337803745</v>
      </c>
      <c r="I20" s="95">
        <f>[7]Dashboard!I20</f>
        <v>60.260556614156812</v>
      </c>
      <c r="J20" s="95">
        <f>[7]Dashboard!J20</f>
        <v>54.165876017008067</v>
      </c>
      <c r="K20" s="95">
        <f>[7]Dashboard!K20</f>
        <v>327.87759822817839</v>
      </c>
      <c r="L20" s="95">
        <f>[7]Dashboard!L20</f>
        <v>338.50475922727816</v>
      </c>
      <c r="M20" s="95">
        <f>[7]Dashboard!M20</f>
        <v>357.09516081661354</v>
      </c>
      <c r="N20" s="95">
        <f>[7]Dashboard!N20</f>
        <v>26128</v>
      </c>
      <c r="O20" s="95">
        <f>[7]Dashboard!O20</f>
        <v>24303</v>
      </c>
      <c r="P20" s="95">
        <f>[7]Dashboard!P20</f>
        <v>28670</v>
      </c>
      <c r="Q20" s="97" t="s">
        <v>144</v>
      </c>
      <c r="R20" s="97" t="s">
        <v>145</v>
      </c>
      <c r="S20" s="97" t="s">
        <v>146</v>
      </c>
      <c r="T20" s="97" t="s">
        <v>785</v>
      </c>
      <c r="U20" s="97" t="s">
        <v>147</v>
      </c>
      <c r="V20" s="98" t="s">
        <v>167</v>
      </c>
      <c r="W20" s="97" t="s">
        <v>168</v>
      </c>
      <c r="X20" s="97" t="s">
        <v>169</v>
      </c>
      <c r="Y20" s="97" t="s">
        <v>253</v>
      </c>
      <c r="Z20" s="97" t="s">
        <v>245</v>
      </c>
      <c r="AA20" s="98" t="s">
        <v>731</v>
      </c>
      <c r="AB20" s="97" t="s">
        <v>738</v>
      </c>
      <c r="AC20" s="97" t="s">
        <v>742</v>
      </c>
      <c r="AD20" s="97" t="s">
        <v>749</v>
      </c>
      <c r="AE20" s="97" t="s">
        <v>425</v>
      </c>
      <c r="AF20" s="98" t="s">
        <v>186</v>
      </c>
      <c r="AG20" s="94" t="s">
        <v>178</v>
      </c>
      <c r="AH20" s="97"/>
      <c r="AI20" s="95">
        <f>[7]Dashboard!R20</f>
        <v>98.747040846177939</v>
      </c>
      <c r="AJ20" s="95">
        <f>[7]Dashboard!S20</f>
        <v>98.691702148727586</v>
      </c>
      <c r="AK20" s="95">
        <f>[7]Dashboard!T20</f>
        <v>95.943905337162093</v>
      </c>
      <c r="AL20" s="95">
        <f>[7]Dashboard!U20</f>
        <v>139.40961484396962</v>
      </c>
      <c r="AM20" s="95">
        <f>[7]Dashboard!V20</f>
        <v>144.85610505727857</v>
      </c>
      <c r="AN20" s="95">
        <f>[7]Dashboard!W20</f>
        <v>153.20480581167925</v>
      </c>
      <c r="AO20" s="95">
        <f>[7]Dashboard!X20</f>
        <v>105.80397163891229</v>
      </c>
      <c r="AP20" s="95">
        <f>[7]Dashboard!Y20</f>
        <v>104.42147739159577</v>
      </c>
      <c r="AQ20" s="95">
        <f>[7]Dashboard!Z20</f>
        <v>97.221046787565299</v>
      </c>
      <c r="AR20" s="95">
        <f>[7]Dashboard!AA20</f>
        <v>12.068990557679898</v>
      </c>
      <c r="AS20" s="95">
        <f>[7]Dashboard!AB20</f>
        <v>13.054097765455325</v>
      </c>
      <c r="AT20" s="95">
        <f>[7]Dashboard!AC20</f>
        <v>14.099993398686339</v>
      </c>
      <c r="AU20" s="95">
        <f>[7]Dashboard!AD20</f>
        <v>64.683722237840868</v>
      </c>
      <c r="AV20" s="95">
        <f>[7]Dashboard!AE20</f>
        <v>70.310142497904451</v>
      </c>
      <c r="AW20" s="95">
        <f>[7]Dashboard!AF20</f>
        <v>75.618887957530035</v>
      </c>
      <c r="AX20" s="94" t="s">
        <v>393</v>
      </c>
      <c r="AY20" s="94" t="s">
        <v>394</v>
      </c>
      <c r="AZ20" s="94" t="s">
        <v>395</v>
      </c>
      <c r="BA20" s="94" t="s">
        <v>396</v>
      </c>
      <c r="BB20" s="94" t="s">
        <v>397</v>
      </c>
      <c r="BC20" s="238" t="s">
        <v>515</v>
      </c>
      <c r="BD20" s="94" t="s">
        <v>523</v>
      </c>
      <c r="BE20" s="94" t="s">
        <v>531</v>
      </c>
      <c r="BF20" s="94" t="s">
        <v>539</v>
      </c>
      <c r="BG20" s="94" t="s">
        <v>547</v>
      </c>
      <c r="BH20" s="238" t="s">
        <v>757</v>
      </c>
      <c r="BI20" s="94" t="s">
        <v>762</v>
      </c>
      <c r="BJ20" s="94" t="s">
        <v>767</v>
      </c>
      <c r="BK20" s="94" t="s">
        <v>772</v>
      </c>
      <c r="BL20" s="94" t="s">
        <v>777</v>
      </c>
      <c r="BM20" s="98" t="s">
        <v>186</v>
      </c>
      <c r="BO20" s="94">
        <f>[7]Dashboard!AH20</f>
        <v>940</v>
      </c>
      <c r="BP20" s="94">
        <f>[7]Dashboard!AI20</f>
        <v>284</v>
      </c>
      <c r="BQ20" s="94">
        <f>[7]Dashboard!AJ20</f>
        <v>599</v>
      </c>
      <c r="BR20" s="94">
        <f>[7]Dashboard!AK20</f>
        <v>9626</v>
      </c>
      <c r="BS20" s="94">
        <f>[7]Dashboard!AL20</f>
        <v>3303</v>
      </c>
      <c r="BT20" s="94">
        <f>[7]Dashboard!AM20</f>
        <v>2663</v>
      </c>
      <c r="BU20" s="94">
        <f>[7]Dashboard!AN20</f>
        <v>1879</v>
      </c>
      <c r="BV20" s="94">
        <f>[7]Dashboard!AO20</f>
        <v>0</v>
      </c>
      <c r="BW20" s="94">
        <f>[7]Dashboard!AP20</f>
        <v>736</v>
      </c>
      <c r="BX20" s="94">
        <f>[7]Dashboard!AQ20</f>
        <v>60</v>
      </c>
      <c r="BY20" s="94">
        <f>[7]Dashboard!AR20</f>
        <v>75</v>
      </c>
      <c r="BZ20" s="94">
        <f>[7]Dashboard!AS20</f>
        <v>1390</v>
      </c>
      <c r="CA20" s="94">
        <f>[7]Dashboard!AT20</f>
        <v>1222</v>
      </c>
      <c r="CB20" s="94">
        <f>[7]Dashboard!AU20</f>
        <v>1503</v>
      </c>
      <c r="CC20" s="94">
        <f>[7]Dashboard!AV20</f>
        <v>935</v>
      </c>
      <c r="CD20" s="94">
        <f>[7]Dashboard!AW20</f>
        <v>0</v>
      </c>
      <c r="CE20" s="94">
        <f>[7]Dashboard!AX20</f>
        <v>184</v>
      </c>
      <c r="CF20" s="94">
        <f>[7]Dashboard!AY20</f>
        <v>50</v>
      </c>
      <c r="CG20" s="94">
        <f>[7]Dashboard!AZ20</f>
        <v>81</v>
      </c>
      <c r="CH20" s="94">
        <f>[7]Dashboard!BA20</f>
        <v>1603</v>
      </c>
      <c r="CI20" s="94">
        <f>[7]Dashboard!BB20</f>
        <v>626</v>
      </c>
      <c r="CJ20" s="94">
        <f>[7]Dashboard!BC20</f>
        <v>528</v>
      </c>
      <c r="CK20" s="94">
        <f>[7]Dashboard!BD20</f>
        <v>382</v>
      </c>
      <c r="CL20" s="94">
        <f>[7]Dashboard!BE20</f>
        <v>1</v>
      </c>
      <c r="CM20" s="94" t="s">
        <v>434</v>
      </c>
      <c r="CO20" s="95">
        <f t="shared" si="8"/>
        <v>19294</v>
      </c>
      <c r="CP20" s="95">
        <f t="shared" si="9"/>
        <v>5921</v>
      </c>
      <c r="CQ20" s="95">
        <f t="shared" si="10"/>
        <v>3455</v>
      </c>
      <c r="CR20" s="95">
        <f t="shared" si="11"/>
        <v>28670</v>
      </c>
      <c r="CT20" s="94">
        <f t="shared" si="12"/>
        <v>1</v>
      </c>
      <c r="CU20" s="94" t="s">
        <v>504</v>
      </c>
    </row>
    <row r="21" spans="1:99" s="94" customFormat="1" x14ac:dyDescent="0.2">
      <c r="A21" s="94" t="s">
        <v>88</v>
      </c>
      <c r="B21" s="95">
        <f>[7]Dashboard!B21</f>
        <v>242.63753720849303</v>
      </c>
      <c r="C21" s="95">
        <f>[7]Dashboard!C21</f>
        <v>248.26029351879876</v>
      </c>
      <c r="D21" s="95">
        <f>[7]Dashboard!D21</f>
        <v>250.66326007087252</v>
      </c>
      <c r="E21" s="95">
        <f>[7]Dashboard!E21</f>
        <v>448.15196481876796</v>
      </c>
      <c r="F21" s="95">
        <f>[7]Dashboard!F21</f>
        <v>465.77695922801018</v>
      </c>
      <c r="G21" s="95">
        <f>[7]Dashboard!G21</f>
        <v>463.05475219415865</v>
      </c>
      <c r="H21" s="95">
        <f>[7]Dashboard!H21</f>
        <v>67.88738494003654</v>
      </c>
      <c r="I21" s="95">
        <f>[7]Dashboard!I21</f>
        <v>68.091111393601224</v>
      </c>
      <c r="J21" s="95">
        <f>[7]Dashboard!J21</f>
        <v>65.314051147069137</v>
      </c>
      <c r="K21" s="95">
        <f>[7]Dashboard!K21</f>
        <v>296.73986791049151</v>
      </c>
      <c r="L21" s="95">
        <f>[7]Dashboard!L21</f>
        <v>306.55581884706504</v>
      </c>
      <c r="M21" s="95">
        <f>[7]Dashboard!M21</f>
        <v>322.74920850270547</v>
      </c>
      <c r="N21" s="95">
        <f>[7]Dashboard!N21</f>
        <v>123697</v>
      </c>
      <c r="O21" s="95">
        <f>[7]Dashboard!O21</f>
        <v>121736</v>
      </c>
      <c r="P21" s="95">
        <f>[7]Dashboard!P21</f>
        <v>150324</v>
      </c>
      <c r="Q21" s="97" t="s">
        <v>71</v>
      </c>
      <c r="R21" s="97" t="s">
        <v>72</v>
      </c>
      <c r="S21" s="97" t="s">
        <v>14</v>
      </c>
      <c r="T21" s="97" t="s">
        <v>786</v>
      </c>
      <c r="U21" s="97" t="s">
        <v>148</v>
      </c>
      <c r="V21" s="98" t="s">
        <v>69</v>
      </c>
      <c r="W21" s="97" t="s">
        <v>70</v>
      </c>
      <c r="X21" s="97" t="s">
        <v>66</v>
      </c>
      <c r="Y21" s="97" t="s">
        <v>254</v>
      </c>
      <c r="Z21" s="97" t="s">
        <v>246</v>
      </c>
      <c r="AA21" s="98" t="s">
        <v>732</v>
      </c>
      <c r="AB21" s="97" t="s">
        <v>739</v>
      </c>
      <c r="AC21" s="97" t="s">
        <v>711</v>
      </c>
      <c r="AD21" s="97" t="s">
        <v>750</v>
      </c>
      <c r="AE21" s="97" t="s">
        <v>426</v>
      </c>
      <c r="AF21" s="98" t="s">
        <v>22</v>
      </c>
      <c r="AG21" s="94" t="s">
        <v>179</v>
      </c>
      <c r="AH21" s="97"/>
      <c r="AI21" s="95">
        <f>[7]Dashboard!R21</f>
        <v>95.919646472421405</v>
      </c>
      <c r="AJ21" s="95">
        <f>[7]Dashboard!S21</f>
        <v>94.149049106736626</v>
      </c>
      <c r="AK21" s="95">
        <f>[7]Dashboard!T21</f>
        <v>93.419479162566006</v>
      </c>
      <c r="AL21" s="95">
        <f>[7]Dashboard!U21</f>
        <v>128.01144832483541</v>
      </c>
      <c r="AM21" s="95">
        <f>[7]Dashboard!V21</f>
        <v>133.37379274575943</v>
      </c>
      <c r="AN21" s="95">
        <f>[7]Dashboard!W21</f>
        <v>141.84865898658174</v>
      </c>
      <c r="AO21" s="95">
        <f>[7]Dashboard!X21</f>
        <v>115.40277189372391</v>
      </c>
      <c r="AP21" s="95">
        <f>[7]Dashboard!Y21</f>
        <v>111.19357454175129</v>
      </c>
      <c r="AQ21" s="95">
        <f>[7]Dashboard!Z21</f>
        <v>107.24513321592386</v>
      </c>
      <c r="AR21" s="95">
        <f>[7]Dashboard!AA21</f>
        <v>10.086557853789541</v>
      </c>
      <c r="AS21" s="95">
        <f>[7]Dashboard!AB21</f>
        <v>10.13524632746558</v>
      </c>
      <c r="AT21" s="95">
        <f>[7]Dashboard!AC21</f>
        <v>10.983238283803676</v>
      </c>
      <c r="AU21" s="95">
        <f>[7]Dashboard!AD21</f>
        <v>55.383434173033351</v>
      </c>
      <c r="AV21" s="95">
        <f>[7]Dashboard!AE21</f>
        <v>55.835790012047781</v>
      </c>
      <c r="AW21" s="95">
        <f>[7]Dashboard!AF21</f>
        <v>60.3883743420093</v>
      </c>
      <c r="AX21" s="94" t="s">
        <v>361</v>
      </c>
      <c r="AY21" s="94" t="s">
        <v>360</v>
      </c>
      <c r="AZ21" s="94" t="s">
        <v>355</v>
      </c>
      <c r="BA21" s="94" t="s">
        <v>362</v>
      </c>
      <c r="BB21" s="94" t="s">
        <v>363</v>
      </c>
      <c r="BC21" s="238" t="s">
        <v>516</v>
      </c>
      <c r="BD21" s="94" t="s">
        <v>524</v>
      </c>
      <c r="BE21" s="94" t="s">
        <v>532</v>
      </c>
      <c r="BF21" s="94" t="s">
        <v>540</v>
      </c>
      <c r="BG21" s="94" t="s">
        <v>548</v>
      </c>
      <c r="BH21" s="238" t="s">
        <v>758</v>
      </c>
      <c r="BI21" s="94" t="s">
        <v>763</v>
      </c>
      <c r="BJ21" s="94" t="s">
        <v>768</v>
      </c>
      <c r="BK21" s="94" t="s">
        <v>773</v>
      </c>
      <c r="BL21" s="94" t="s">
        <v>778</v>
      </c>
      <c r="BM21" s="98" t="s">
        <v>22</v>
      </c>
      <c r="BO21" s="94">
        <f>[7]Dashboard!AH21</f>
        <v>3898</v>
      </c>
      <c r="BP21" s="94">
        <f>[7]Dashboard!AI21</f>
        <v>1184</v>
      </c>
      <c r="BQ21" s="94">
        <f>[7]Dashboard!AJ21</f>
        <v>2534</v>
      </c>
      <c r="BR21" s="94">
        <f>[7]Dashboard!AK21</f>
        <v>40424</v>
      </c>
      <c r="BS21" s="94">
        <f>[7]Dashboard!AL21</f>
        <v>19226</v>
      </c>
      <c r="BT21" s="94">
        <f>[7]Dashboard!AM21</f>
        <v>16396</v>
      </c>
      <c r="BU21" s="94">
        <f>[7]Dashboard!AN21</f>
        <v>9888</v>
      </c>
      <c r="BV21" s="94">
        <f>[7]Dashboard!AO21</f>
        <v>16</v>
      </c>
      <c r="BW21" s="94">
        <f>[7]Dashboard!AP21</f>
        <v>4539</v>
      </c>
      <c r="BX21" s="94">
        <f>[7]Dashboard!AQ21</f>
        <v>312</v>
      </c>
      <c r="BY21" s="94">
        <f>[7]Dashboard!AR21</f>
        <v>424</v>
      </c>
      <c r="BZ21" s="94">
        <f>[7]Dashboard!AS21</f>
        <v>7281</v>
      </c>
      <c r="CA21" s="94">
        <f>[7]Dashboard!AT21</f>
        <v>7644</v>
      </c>
      <c r="CB21" s="94">
        <f>[7]Dashboard!AU21</f>
        <v>10459</v>
      </c>
      <c r="CC21" s="94">
        <f>[7]Dashboard!AV21</f>
        <v>6786</v>
      </c>
      <c r="CD21" s="94">
        <f>[7]Dashboard!AW21</f>
        <v>3</v>
      </c>
      <c r="CE21" s="94">
        <f>[7]Dashboard!AX21</f>
        <v>634</v>
      </c>
      <c r="CF21" s="94">
        <f>[7]Dashboard!AY21</f>
        <v>176</v>
      </c>
      <c r="CG21" s="94">
        <f>[7]Dashboard!AZ21</f>
        <v>348</v>
      </c>
      <c r="CH21" s="94">
        <f>[7]Dashboard!BA21</f>
        <v>6484</v>
      </c>
      <c r="CI21" s="94">
        <f>[7]Dashboard!BB21</f>
        <v>4118</v>
      </c>
      <c r="CJ21" s="94">
        <f>[7]Dashboard!BC21</f>
        <v>4583</v>
      </c>
      <c r="CK21" s="94">
        <f>[7]Dashboard!BD21</f>
        <v>2965</v>
      </c>
      <c r="CL21" s="94">
        <f>[7]Dashboard!BE21</f>
        <v>2</v>
      </c>
      <c r="CM21" s="94" t="s">
        <v>435</v>
      </c>
      <c r="CO21" s="95">
        <f t="shared" si="8"/>
        <v>93566</v>
      </c>
      <c r="CP21" s="95">
        <f t="shared" si="9"/>
        <v>37448</v>
      </c>
      <c r="CQ21" s="95">
        <f t="shared" si="10"/>
        <v>19310</v>
      </c>
      <c r="CR21" s="95">
        <f t="shared" si="11"/>
        <v>150324</v>
      </c>
      <c r="CT21" s="94">
        <f t="shared" si="12"/>
        <v>21</v>
      </c>
      <c r="CU21" s="94" t="s">
        <v>507</v>
      </c>
    </row>
    <row r="22" spans="1:99" s="36" customFormat="1" x14ac:dyDescent="0.2">
      <c r="G22" s="64"/>
    </row>
    <row r="23" spans="1:99" s="110" customFormat="1" ht="36" customHeight="1" x14ac:dyDescent="0.2">
      <c r="A23" s="109" t="s">
        <v>20</v>
      </c>
      <c r="B23" s="488" t="s">
        <v>42</v>
      </c>
      <c r="C23" s="488"/>
      <c r="D23" s="488"/>
      <c r="E23" s="488" t="s">
        <v>51</v>
      </c>
      <c r="F23" s="488"/>
      <c r="G23" s="488"/>
      <c r="H23" s="488" t="s">
        <v>43</v>
      </c>
      <c r="I23" s="488"/>
      <c r="J23" s="488"/>
      <c r="K23" s="488" t="s">
        <v>52</v>
      </c>
      <c r="L23" s="488"/>
      <c r="M23" s="488"/>
    </row>
    <row r="24" spans="1:99" s="110" customFormat="1" x14ac:dyDescent="0.2">
      <c r="B24" s="111" t="s">
        <v>4</v>
      </c>
      <c r="C24" s="111" t="s">
        <v>3</v>
      </c>
      <c r="D24" s="111" t="s">
        <v>81</v>
      </c>
      <c r="E24" s="111" t="s">
        <v>4</v>
      </c>
      <c r="F24" s="111" t="s">
        <v>3</v>
      </c>
      <c r="G24" s="111" t="s">
        <v>81</v>
      </c>
      <c r="H24" s="111" t="s">
        <v>4</v>
      </c>
      <c r="I24" s="111" t="s">
        <v>3</v>
      </c>
      <c r="J24" s="111" t="s">
        <v>81</v>
      </c>
      <c r="K24" s="111" t="s">
        <v>4</v>
      </c>
      <c r="L24" s="111" t="s">
        <v>3</v>
      </c>
      <c r="M24" s="111" t="s">
        <v>81</v>
      </c>
    </row>
    <row r="25" spans="1:99" s="110" customFormat="1" x14ac:dyDescent="0.2">
      <c r="A25" s="110" t="s">
        <v>82</v>
      </c>
      <c r="B25" s="112">
        <f>[7]Dashboard!B25</f>
        <v>0.81707317073170727</v>
      </c>
      <c r="C25" s="112">
        <f>[7]Dashboard!C25</f>
        <v>0.9</v>
      </c>
      <c r="D25" s="112">
        <f>[7]Dashboard!D25</f>
        <v>0.92592592592592593</v>
      </c>
      <c r="E25" s="112">
        <f>[7]Dashboard!E25</f>
        <v>0.18292682926829273</v>
      </c>
      <c r="F25" s="112">
        <f>[7]Dashboard!F25</f>
        <v>9.9999999999999978E-2</v>
      </c>
      <c r="G25" s="112">
        <f>[7]Dashboard!G25</f>
        <v>7.407407407407407E-2</v>
      </c>
      <c r="H25" s="112">
        <f>[7]Dashboard!H25</f>
        <v>0.42682926829268292</v>
      </c>
      <c r="I25" s="112">
        <f>[7]Dashboard!I25</f>
        <v>0.48749999999999999</v>
      </c>
      <c r="J25" s="112">
        <f>[7]Dashboard!J25</f>
        <v>0.50617283950617287</v>
      </c>
      <c r="K25" s="112">
        <f>[7]Dashboard!K25</f>
        <v>0.57317073170731714</v>
      </c>
      <c r="L25" s="112">
        <f>[7]Dashboard!L25</f>
        <v>0.51249999999999996</v>
      </c>
      <c r="M25" s="112">
        <f>[7]Dashboard!M25</f>
        <v>0.49382716049382713</v>
      </c>
      <c r="N25" s="110" t="s">
        <v>845</v>
      </c>
      <c r="O25" s="110" t="s">
        <v>820</v>
      </c>
    </row>
    <row r="26" spans="1:99" s="110" customFormat="1" x14ac:dyDescent="0.2">
      <c r="A26" s="110" t="s">
        <v>83</v>
      </c>
      <c r="B26" s="112">
        <f>[7]Dashboard!B26</f>
        <v>0.65</v>
      </c>
      <c r="C26" s="112">
        <f>[7]Dashboard!C26</f>
        <v>0.84210526315789469</v>
      </c>
      <c r="D26" s="112">
        <f>[7]Dashboard!D26</f>
        <v>0.94736842105263153</v>
      </c>
      <c r="E26" s="112">
        <f>[7]Dashboard!E26</f>
        <v>0.35</v>
      </c>
      <c r="F26" s="112">
        <f>[7]Dashboard!F26</f>
        <v>0.15789473684210531</v>
      </c>
      <c r="G26" s="112">
        <f>[7]Dashboard!G26</f>
        <v>5.2631578947368474E-2</v>
      </c>
      <c r="H26" s="112">
        <f>[7]Dashboard!H26</f>
        <v>0.8</v>
      </c>
      <c r="I26" s="112">
        <f>[7]Dashboard!I26</f>
        <v>0.84210526315789469</v>
      </c>
      <c r="J26" s="112">
        <f>[7]Dashboard!J26</f>
        <v>0.78947368421052633</v>
      </c>
      <c r="K26" s="112">
        <f>[7]Dashboard!K26</f>
        <v>0.19999999999999996</v>
      </c>
      <c r="L26" s="112">
        <f>[7]Dashboard!L26</f>
        <v>0.15789473684210531</v>
      </c>
      <c r="M26" s="112">
        <f>[7]Dashboard!M26</f>
        <v>0.21052631578947367</v>
      </c>
      <c r="N26" s="110" t="s">
        <v>846</v>
      </c>
      <c r="O26" s="110" t="s">
        <v>821</v>
      </c>
    </row>
    <row r="27" spans="1:99" s="110" customFormat="1" x14ac:dyDescent="0.2">
      <c r="A27" s="110" t="s">
        <v>84</v>
      </c>
      <c r="B27" s="112">
        <f>[7]Dashboard!B27</f>
        <v>0.73333333333333328</v>
      </c>
      <c r="C27" s="112">
        <f>[7]Dashboard!C27</f>
        <v>0.80851063829787229</v>
      </c>
      <c r="D27" s="112">
        <f>[7]Dashboard!D27</f>
        <v>0.93478260869565222</v>
      </c>
      <c r="E27" s="112">
        <f>[7]Dashboard!E27</f>
        <v>0.26666666666666672</v>
      </c>
      <c r="F27" s="112">
        <f>[7]Dashboard!F27</f>
        <v>0.19148936170212771</v>
      </c>
      <c r="G27" s="112">
        <f>[7]Dashboard!G27</f>
        <v>6.5217391304347783E-2</v>
      </c>
      <c r="H27" s="112">
        <f>[7]Dashboard!H27</f>
        <v>0.66666666666666663</v>
      </c>
      <c r="I27" s="112">
        <f>[7]Dashboard!I27</f>
        <v>0.65957446808510634</v>
      </c>
      <c r="J27" s="112">
        <f>[7]Dashboard!J27</f>
        <v>0.69565217391304346</v>
      </c>
      <c r="K27" s="112">
        <f>[7]Dashboard!K27</f>
        <v>0.33333333333333337</v>
      </c>
      <c r="L27" s="112">
        <f>[7]Dashboard!L27</f>
        <v>0.34042553191489366</v>
      </c>
      <c r="M27" s="112">
        <f>[7]Dashboard!M27</f>
        <v>0.30434782608695654</v>
      </c>
      <c r="N27" s="110" t="s">
        <v>847</v>
      </c>
      <c r="O27" s="110" t="s">
        <v>822</v>
      </c>
    </row>
    <row r="28" spans="1:99" s="110" customFormat="1" x14ac:dyDescent="0.2">
      <c r="A28" s="110" t="s">
        <v>103</v>
      </c>
      <c r="B28" s="112">
        <f>[7]Dashboard!B28</f>
        <v>0.660377358490566</v>
      </c>
      <c r="C28" s="112">
        <f>[7]Dashboard!C28</f>
        <v>0.7407407407407407</v>
      </c>
      <c r="D28" s="112">
        <f>[7]Dashboard!D28</f>
        <v>0.85185185185185186</v>
      </c>
      <c r="E28" s="112">
        <f>[7]Dashboard!E28</f>
        <v>0.339622641509434</v>
      </c>
      <c r="F28" s="112">
        <f>[7]Dashboard!F28</f>
        <v>0.2592592592592593</v>
      </c>
      <c r="G28" s="112">
        <f>[7]Dashboard!G28</f>
        <v>0.14814814814814814</v>
      </c>
      <c r="H28" s="112">
        <f>[7]Dashboard!H28</f>
        <v>0.43396226415094341</v>
      </c>
      <c r="I28" s="112">
        <f>[7]Dashboard!I28</f>
        <v>0.42592592592592593</v>
      </c>
      <c r="J28" s="112">
        <f>[7]Dashboard!J28</f>
        <v>0.46296296296296297</v>
      </c>
      <c r="K28" s="112">
        <f>[7]Dashboard!K28</f>
        <v>0.56603773584905659</v>
      </c>
      <c r="L28" s="112">
        <f>[7]Dashboard!L28</f>
        <v>0.57407407407407407</v>
      </c>
      <c r="M28" s="112">
        <f>[7]Dashboard!M28</f>
        <v>0.53703703703703698</v>
      </c>
      <c r="N28" s="110" t="s">
        <v>848</v>
      </c>
      <c r="O28" s="110" t="s">
        <v>823</v>
      </c>
    </row>
    <row r="29" spans="1:99" s="110" customFormat="1" x14ac:dyDescent="0.2">
      <c r="A29" s="110" t="s">
        <v>85</v>
      </c>
      <c r="B29" s="112">
        <f>[7]Dashboard!B29</f>
        <v>1</v>
      </c>
      <c r="C29" s="112">
        <f>[7]Dashboard!C29</f>
        <v>0.9642857142857143</v>
      </c>
      <c r="D29" s="112">
        <f>[7]Dashboard!D29</f>
        <v>0.9642857142857143</v>
      </c>
      <c r="E29" s="112">
        <f>[7]Dashboard!E29</f>
        <v>0</v>
      </c>
      <c r="F29" s="112">
        <f>[7]Dashboard!F29</f>
        <v>3.5714285714285698E-2</v>
      </c>
      <c r="G29" s="112">
        <f>[7]Dashboard!G29</f>
        <v>3.5714285714285698E-2</v>
      </c>
      <c r="H29" s="112">
        <f>[7]Dashboard!H29</f>
        <v>0.6428571428571429</v>
      </c>
      <c r="I29" s="112">
        <f>[7]Dashboard!I29</f>
        <v>0.6428571428571429</v>
      </c>
      <c r="J29" s="112">
        <f>[7]Dashboard!J29</f>
        <v>0.6428571428571429</v>
      </c>
      <c r="K29" s="112">
        <f>[7]Dashboard!K29</f>
        <v>0.3571428571428571</v>
      </c>
      <c r="L29" s="112">
        <f>[7]Dashboard!L29</f>
        <v>0.3571428571428571</v>
      </c>
      <c r="M29" s="112">
        <f>[7]Dashboard!M29</f>
        <v>0.3571428571428571</v>
      </c>
      <c r="N29" s="110" t="s">
        <v>849</v>
      </c>
      <c r="O29" s="110" t="s">
        <v>824</v>
      </c>
    </row>
    <row r="30" spans="1:99" s="110" customFormat="1" x14ac:dyDescent="0.2">
      <c r="A30" s="110" t="s">
        <v>86</v>
      </c>
      <c r="B30" s="112">
        <f>[7]Dashboard!B30</f>
        <v>0.85507246376811596</v>
      </c>
      <c r="C30" s="112">
        <f>[7]Dashboard!C30</f>
        <v>0.87878787878787878</v>
      </c>
      <c r="D30" s="112">
        <f>[7]Dashboard!D30</f>
        <v>0.94117647058823528</v>
      </c>
      <c r="E30" s="112">
        <f>[7]Dashboard!E30</f>
        <v>0.14492753623188404</v>
      </c>
      <c r="F30" s="112">
        <f>[7]Dashboard!F30</f>
        <v>0.12121212121212122</v>
      </c>
      <c r="G30" s="112">
        <f>[7]Dashboard!G30</f>
        <v>5.8823529411764719E-2</v>
      </c>
      <c r="H30" s="112">
        <f>[7]Dashboard!H30</f>
        <v>0.57971014492753625</v>
      </c>
      <c r="I30" s="112">
        <f>[7]Dashboard!I30</f>
        <v>0.59090909090909094</v>
      </c>
      <c r="J30" s="112">
        <f>[7]Dashboard!J30</f>
        <v>0.63235294117647056</v>
      </c>
      <c r="K30" s="112">
        <f>[7]Dashboard!K30</f>
        <v>0.42028985507246375</v>
      </c>
      <c r="L30" s="112">
        <f>[7]Dashboard!L30</f>
        <v>0.40909090909090906</v>
      </c>
      <c r="M30" s="112">
        <f>[7]Dashboard!M30</f>
        <v>0.36764705882352944</v>
      </c>
      <c r="N30" s="110" t="s">
        <v>850</v>
      </c>
      <c r="O30" s="110" t="s">
        <v>825</v>
      </c>
    </row>
    <row r="31" spans="1:99" s="110" customFormat="1" x14ac:dyDescent="0.2">
      <c r="A31" s="110" t="s">
        <v>87</v>
      </c>
      <c r="B31" s="112">
        <f>[7]Dashboard!B31</f>
        <v>0.89393939393939392</v>
      </c>
      <c r="C31" s="112">
        <f>[7]Dashboard!C31</f>
        <v>0.96969696969696972</v>
      </c>
      <c r="D31" s="112">
        <f>[7]Dashboard!D31</f>
        <v>0.94202898550724634</v>
      </c>
      <c r="E31" s="112">
        <f>[7]Dashboard!E31</f>
        <v>0.10606060606060608</v>
      </c>
      <c r="F31" s="112">
        <f>[7]Dashboard!F31</f>
        <v>3.0303030303030276E-2</v>
      </c>
      <c r="G31" s="112">
        <f>[7]Dashboard!G31</f>
        <v>5.7971014492753659E-2</v>
      </c>
      <c r="H31" s="112">
        <f>[7]Dashboard!H31</f>
        <v>0.56060606060606055</v>
      </c>
      <c r="I31" s="112">
        <f>[7]Dashboard!I31</f>
        <v>0.54545454545454541</v>
      </c>
      <c r="J31" s="112">
        <f>[7]Dashboard!J31</f>
        <v>0.52173913043478259</v>
      </c>
      <c r="K31" s="112">
        <f>[7]Dashboard!K31</f>
        <v>0.43939393939393945</v>
      </c>
      <c r="L31" s="112">
        <f>[7]Dashboard!L31</f>
        <v>0.45454545454545459</v>
      </c>
      <c r="M31" s="112">
        <f>[7]Dashboard!M31</f>
        <v>0.47826086956521741</v>
      </c>
      <c r="N31" s="110" t="s">
        <v>851</v>
      </c>
      <c r="O31" s="110" t="s">
        <v>826</v>
      </c>
    </row>
    <row r="32" spans="1:99" s="110" customFormat="1" x14ac:dyDescent="0.2">
      <c r="A32" s="110" t="s">
        <v>88</v>
      </c>
      <c r="B32" s="112">
        <f>[7]Dashboard!B32</f>
        <v>0.80991735537190079</v>
      </c>
      <c r="C32" s="112">
        <f>[7]Dashboard!C32</f>
        <v>0.875</v>
      </c>
      <c r="D32" s="112">
        <f>[7]Dashboard!D32</f>
        <v>0.92602739726027394</v>
      </c>
      <c r="E32" s="112">
        <f>[7]Dashboard!E32</f>
        <v>0.19008264462809921</v>
      </c>
      <c r="F32" s="112">
        <f>[7]Dashboard!F32</f>
        <v>0.125</v>
      </c>
      <c r="G32" s="112">
        <f>[7]Dashboard!G32</f>
        <v>7.3972602739726057E-2</v>
      </c>
      <c r="H32" s="112">
        <f>[7]Dashboard!H32</f>
        <v>0.54820936639118456</v>
      </c>
      <c r="I32" s="112">
        <f>[7]Dashboard!I32</f>
        <v>0.56111111111111112</v>
      </c>
      <c r="J32" s="112">
        <f>[7]Dashboard!J32</f>
        <v>0.57534246575342463</v>
      </c>
      <c r="K32" s="112">
        <f>[7]Dashboard!K32</f>
        <v>0.45179063360881544</v>
      </c>
      <c r="L32" s="112">
        <f>[7]Dashboard!L32</f>
        <v>0.43888888888888888</v>
      </c>
      <c r="M32" s="112">
        <f>[7]Dashboard!M32</f>
        <v>0.42465753424657537</v>
      </c>
      <c r="N32" s="110" t="s">
        <v>844</v>
      </c>
      <c r="O32" s="110" t="s">
        <v>827</v>
      </c>
    </row>
    <row r="33" spans="1:19" s="36" customFormat="1" x14ac:dyDescent="0.2"/>
    <row r="34" spans="1:19" s="117" customFormat="1" ht="24" customHeight="1" x14ac:dyDescent="0.2">
      <c r="A34" s="116" t="s">
        <v>117</v>
      </c>
      <c r="B34" s="489" t="s">
        <v>19</v>
      </c>
      <c r="C34" s="489"/>
      <c r="D34" s="489"/>
      <c r="E34" s="489"/>
      <c r="F34" s="489" t="s">
        <v>18</v>
      </c>
      <c r="G34" s="489"/>
      <c r="H34" s="489"/>
      <c r="I34" s="489"/>
    </row>
    <row r="35" spans="1:19" s="117" customFormat="1" x14ac:dyDescent="0.2">
      <c r="B35" s="118" t="s">
        <v>5</v>
      </c>
      <c r="C35" s="118" t="s">
        <v>4</v>
      </c>
      <c r="D35" s="118" t="s">
        <v>3</v>
      </c>
      <c r="E35" s="118" t="s">
        <v>81</v>
      </c>
      <c r="F35" s="118" t="s">
        <v>5</v>
      </c>
      <c r="G35" s="118" t="s">
        <v>4</v>
      </c>
      <c r="H35" s="118" t="s">
        <v>3</v>
      </c>
      <c r="I35" s="118" t="s">
        <v>81</v>
      </c>
    </row>
    <row r="36" spans="1:19" s="117" customFormat="1" x14ac:dyDescent="0.2">
      <c r="A36" s="117" t="s">
        <v>82</v>
      </c>
      <c r="B36" s="117">
        <f>[7]Dashboard!B36</f>
        <v>17525</v>
      </c>
      <c r="C36" s="117">
        <f>[7]Dashboard!C36</f>
        <v>20025</v>
      </c>
      <c r="D36" s="117">
        <f>[7]Dashboard!D36</f>
        <v>23112</v>
      </c>
      <c r="E36" s="117">
        <f>[7]Dashboard!E36</f>
        <v>13733</v>
      </c>
      <c r="F36" s="117">
        <f>[7]Dashboard!F36</f>
        <v>14547</v>
      </c>
      <c r="G36" s="117">
        <f>[7]Dashboard!G36</f>
        <v>13745</v>
      </c>
      <c r="H36" s="117">
        <f>[7]Dashboard!H36</f>
        <v>8901</v>
      </c>
      <c r="I36" s="117">
        <f>[7]Dashboard!I36</f>
        <v>5039</v>
      </c>
      <c r="J36" s="119" t="s">
        <v>906</v>
      </c>
      <c r="K36" s="119" t="s">
        <v>912</v>
      </c>
      <c r="L36" s="117">
        <f>E36-D36</f>
        <v>-9379</v>
      </c>
      <c r="M36" s="117">
        <f t="shared" ref="M36:M42" si="13">I36-H36</f>
        <v>-3862</v>
      </c>
    </row>
    <row r="37" spans="1:19" s="117" customFormat="1" x14ac:dyDescent="0.2">
      <c r="A37" s="117" t="s">
        <v>83</v>
      </c>
      <c r="B37" s="117">
        <f>[7]Dashboard!B37</f>
        <v>2909</v>
      </c>
      <c r="C37" s="117">
        <f>[7]Dashboard!C37</f>
        <v>3281</v>
      </c>
      <c r="D37" s="117">
        <f>[7]Dashboard!D37</f>
        <v>3371</v>
      </c>
      <c r="E37" s="117">
        <f>[7]Dashboard!E37</f>
        <v>3231</v>
      </c>
      <c r="F37" s="117">
        <f>[7]Dashboard!F37</f>
        <v>2214</v>
      </c>
      <c r="G37" s="117">
        <f>[7]Dashboard!G37</f>
        <v>2461</v>
      </c>
      <c r="H37" s="117">
        <f>[7]Dashboard!H37</f>
        <v>2565</v>
      </c>
      <c r="I37" s="117">
        <f>[7]Dashboard!I37</f>
        <v>1879</v>
      </c>
      <c r="J37" s="119" t="s">
        <v>880</v>
      </c>
      <c r="K37" s="119" t="s">
        <v>882</v>
      </c>
      <c r="L37" s="117">
        <f t="shared" ref="L37:L43" si="14">E37-D37</f>
        <v>-140</v>
      </c>
      <c r="M37" s="117">
        <f t="shared" si="13"/>
        <v>-686</v>
      </c>
      <c r="N37" s="117" t="str">
        <f>""</f>
        <v/>
      </c>
    </row>
    <row r="38" spans="1:19" s="117" customFormat="1" x14ac:dyDescent="0.2">
      <c r="A38" s="117" t="s">
        <v>84</v>
      </c>
      <c r="B38" s="117">
        <f>[7]Dashboard!B38</f>
        <v>15447</v>
      </c>
      <c r="C38" s="117">
        <f>[7]Dashboard!C38</f>
        <v>15908</v>
      </c>
      <c r="D38" s="117">
        <f>[7]Dashboard!D38</f>
        <v>16378</v>
      </c>
      <c r="E38" s="117">
        <f>[7]Dashboard!E38</f>
        <v>17983</v>
      </c>
      <c r="F38" s="117">
        <f>[7]Dashboard!F38</f>
        <v>8017</v>
      </c>
      <c r="G38" s="117">
        <f>[7]Dashboard!G38</f>
        <v>6792</v>
      </c>
      <c r="H38" s="117">
        <f>[7]Dashboard!H38</f>
        <v>6070</v>
      </c>
      <c r="I38" s="117">
        <f>[7]Dashboard!I38</f>
        <v>6940</v>
      </c>
      <c r="J38" s="119" t="s">
        <v>907</v>
      </c>
      <c r="K38" s="119" t="s">
        <v>814</v>
      </c>
      <c r="L38" s="117">
        <f t="shared" si="14"/>
        <v>1605</v>
      </c>
      <c r="M38" s="117">
        <f t="shared" si="13"/>
        <v>870</v>
      </c>
      <c r="N38" s="117" t="str">
        <f>""</f>
        <v/>
      </c>
    </row>
    <row r="39" spans="1:19" s="117" customFormat="1" x14ac:dyDescent="0.2">
      <c r="A39" s="117" t="s">
        <v>103</v>
      </c>
      <c r="B39" s="117">
        <f>[7]Dashboard!B39</f>
        <v>11383</v>
      </c>
      <c r="C39" s="117">
        <f>[7]Dashboard!C39</f>
        <v>10390</v>
      </c>
      <c r="D39" s="117">
        <f>[7]Dashboard!D39</f>
        <v>13510</v>
      </c>
      <c r="E39" s="117">
        <f>[7]Dashboard!E39</f>
        <v>17332</v>
      </c>
      <c r="F39" s="117">
        <f>[7]Dashboard!F39</f>
        <v>8904</v>
      </c>
      <c r="G39" s="117">
        <f>[7]Dashboard!G39</f>
        <v>8751</v>
      </c>
      <c r="H39" s="117">
        <f>[7]Dashboard!H39</f>
        <v>5987</v>
      </c>
      <c r="I39" s="117">
        <f>[7]Dashboard!I39</f>
        <v>5841</v>
      </c>
      <c r="J39" s="119" t="s">
        <v>908</v>
      </c>
      <c r="K39" s="119" t="s">
        <v>883</v>
      </c>
      <c r="L39" s="117">
        <f t="shared" si="14"/>
        <v>3822</v>
      </c>
      <c r="M39" s="117">
        <f t="shared" si="13"/>
        <v>-146</v>
      </c>
      <c r="N39" s="117" t="str">
        <f>""</f>
        <v/>
      </c>
    </row>
    <row r="40" spans="1:19" s="117" customFormat="1" x14ac:dyDescent="0.2">
      <c r="A40" s="117" t="s">
        <v>85</v>
      </c>
      <c r="B40" s="117">
        <f>[7]Dashboard!B40</f>
        <v>7532</v>
      </c>
      <c r="C40" s="117">
        <f>[7]Dashboard!C40</f>
        <v>9411</v>
      </c>
      <c r="D40" s="117">
        <f>[7]Dashboard!D40</f>
        <v>12307</v>
      </c>
      <c r="E40" s="117">
        <f>[7]Dashboard!E40</f>
        <v>7366</v>
      </c>
      <c r="F40" s="117">
        <f>[7]Dashboard!F40</f>
        <v>4180</v>
      </c>
      <c r="G40" s="117">
        <f>[7]Dashboard!G40</f>
        <v>5320</v>
      </c>
      <c r="H40" s="117">
        <f>[7]Dashboard!H40</f>
        <v>5853</v>
      </c>
      <c r="I40" s="117">
        <f>[7]Dashboard!I40</f>
        <v>1935</v>
      </c>
      <c r="J40" s="119" t="s">
        <v>881</v>
      </c>
      <c r="K40" s="119" t="s">
        <v>811</v>
      </c>
      <c r="L40" s="117">
        <f t="shared" si="14"/>
        <v>-4941</v>
      </c>
      <c r="M40" s="117">
        <f t="shared" si="13"/>
        <v>-3918</v>
      </c>
      <c r="N40" s="117" t="str">
        <f>""</f>
        <v/>
      </c>
    </row>
    <row r="41" spans="1:19" s="117" customFormat="1" x14ac:dyDescent="0.2">
      <c r="A41" s="117" t="s">
        <v>86</v>
      </c>
      <c r="B41" s="117">
        <f>[7]Dashboard!B41</f>
        <v>7957</v>
      </c>
      <c r="C41" s="117">
        <f>[7]Dashboard!C41</f>
        <v>11513</v>
      </c>
      <c r="D41" s="117">
        <f>[7]Dashboard!D41</f>
        <v>16417</v>
      </c>
      <c r="E41" s="117">
        <f>[7]Dashboard!E41</f>
        <v>17781</v>
      </c>
      <c r="F41" s="117">
        <f>[7]Dashboard!F41</f>
        <v>7317</v>
      </c>
      <c r="G41" s="117">
        <f>[7]Dashboard!G41</f>
        <v>6149</v>
      </c>
      <c r="H41" s="117">
        <f>[7]Dashboard!H41</f>
        <v>6786</v>
      </c>
      <c r="I41" s="117">
        <f>[7]Dashboard!I41</f>
        <v>6556</v>
      </c>
      <c r="J41" s="119" t="s">
        <v>909</v>
      </c>
      <c r="K41" s="119" t="s">
        <v>812</v>
      </c>
      <c r="L41" s="117">
        <f t="shared" si="14"/>
        <v>1364</v>
      </c>
      <c r="M41" s="117">
        <f t="shared" si="13"/>
        <v>-230</v>
      </c>
      <c r="N41" s="117" t="str">
        <f>""</f>
        <v/>
      </c>
    </row>
    <row r="42" spans="1:19" s="117" customFormat="1" x14ac:dyDescent="0.2">
      <c r="A42" s="117" t="s">
        <v>87</v>
      </c>
      <c r="B42" s="117">
        <f>[7]Dashboard!B42</f>
        <v>8195</v>
      </c>
      <c r="C42" s="117">
        <f>[7]Dashboard!C42</f>
        <v>11077</v>
      </c>
      <c r="D42" s="117">
        <f>[7]Dashboard!D42</f>
        <v>13188</v>
      </c>
      <c r="E42" s="117">
        <f>[7]Dashboard!E42</f>
        <v>14420</v>
      </c>
      <c r="F42" s="117">
        <f>[7]Dashboard!F42</f>
        <v>4308</v>
      </c>
      <c r="G42" s="117">
        <f>[7]Dashboard!G42</f>
        <v>3950</v>
      </c>
      <c r="H42" s="117">
        <f>[7]Dashboard!H42</f>
        <v>3103</v>
      </c>
      <c r="I42" s="117">
        <f>[7]Dashboard!I42</f>
        <v>3634</v>
      </c>
      <c r="J42" s="119" t="s">
        <v>910</v>
      </c>
      <c r="K42" s="119" t="s">
        <v>813</v>
      </c>
      <c r="L42" s="117">
        <f t="shared" si="14"/>
        <v>1232</v>
      </c>
      <c r="M42" s="117">
        <f t="shared" si="13"/>
        <v>531</v>
      </c>
      <c r="N42" s="117" t="str">
        <f>""</f>
        <v/>
      </c>
    </row>
    <row r="43" spans="1:19" s="117" customFormat="1" x14ac:dyDescent="0.2">
      <c r="A43" s="117" t="s">
        <v>88</v>
      </c>
      <c r="B43" s="117">
        <f>[7]Dashboard!B43</f>
        <v>70948</v>
      </c>
      <c r="C43" s="117">
        <f>[7]Dashboard!C43</f>
        <v>81605</v>
      </c>
      <c r="D43" s="117">
        <f>[7]Dashboard!D43</f>
        <v>98283</v>
      </c>
      <c r="E43" s="117">
        <f>[7]Dashboard!E43</f>
        <v>91846</v>
      </c>
      <c r="F43" s="117">
        <f>[7]Dashboard!F43</f>
        <v>49487</v>
      </c>
      <c r="G43" s="117">
        <f>[7]Dashboard!G43</f>
        <v>47168</v>
      </c>
      <c r="H43" s="117">
        <f>[7]Dashboard!H43</f>
        <v>39265</v>
      </c>
      <c r="I43" s="117">
        <f>[7]Dashboard!I43</f>
        <v>31824</v>
      </c>
      <c r="J43" s="119" t="s">
        <v>911</v>
      </c>
      <c r="K43" s="119" t="s">
        <v>884</v>
      </c>
      <c r="L43" s="117">
        <f t="shared" si="14"/>
        <v>-6437</v>
      </c>
      <c r="M43" s="117">
        <f>I43-H43</f>
        <v>-7441</v>
      </c>
    </row>
    <row r="44" spans="1:19" s="36" customFormat="1" x14ac:dyDescent="0.2"/>
    <row r="45" spans="1:19" s="128" customFormat="1" ht="25.5" customHeight="1" x14ac:dyDescent="0.2">
      <c r="A45" s="127" t="s">
        <v>118</v>
      </c>
      <c r="B45" s="487" t="s">
        <v>15</v>
      </c>
      <c r="C45" s="487"/>
      <c r="D45" s="487"/>
      <c r="E45" s="487"/>
      <c r="F45" s="487"/>
      <c r="G45" s="487" t="s">
        <v>16</v>
      </c>
      <c r="H45" s="487"/>
      <c r="I45" s="487"/>
      <c r="J45" s="487"/>
      <c r="K45" s="487"/>
      <c r="L45" s="487" t="s">
        <v>17</v>
      </c>
      <c r="M45" s="487"/>
      <c r="N45" s="487"/>
      <c r="O45" s="487"/>
      <c r="P45" s="487"/>
    </row>
    <row r="46" spans="1:19" s="128" customFormat="1" x14ac:dyDescent="0.2">
      <c r="B46" s="129" t="s">
        <v>6</v>
      </c>
      <c r="C46" s="129" t="s">
        <v>5</v>
      </c>
      <c r="D46" s="129" t="s">
        <v>4</v>
      </c>
      <c r="E46" s="129" t="s">
        <v>3</v>
      </c>
      <c r="F46" s="129" t="s">
        <v>81</v>
      </c>
      <c r="G46" s="129" t="s">
        <v>6</v>
      </c>
      <c r="H46" s="129" t="s">
        <v>5</v>
      </c>
      <c r="I46" s="129" t="s">
        <v>4</v>
      </c>
      <c r="J46" s="129" t="s">
        <v>3</v>
      </c>
      <c r="K46" s="129" t="s">
        <v>81</v>
      </c>
      <c r="L46" s="129" t="s">
        <v>6</v>
      </c>
      <c r="M46" s="129" t="s">
        <v>5</v>
      </c>
      <c r="N46" s="129" t="s">
        <v>4</v>
      </c>
      <c r="O46" s="129" t="s">
        <v>3</v>
      </c>
      <c r="P46" s="129" t="s">
        <v>81</v>
      </c>
      <c r="Q46" s="130"/>
      <c r="R46" s="130"/>
      <c r="S46" s="130"/>
    </row>
    <row r="47" spans="1:19" s="128" customFormat="1" x14ac:dyDescent="0.2">
      <c r="A47" s="128" t="s">
        <v>82</v>
      </c>
      <c r="B47" s="131">
        <f>[7]Dashboard!B47</f>
        <v>1112</v>
      </c>
      <c r="C47" s="131">
        <f>[7]Dashboard!C47</f>
        <v>1244</v>
      </c>
      <c r="D47" s="131">
        <f>[7]Dashboard!D47</f>
        <v>1437</v>
      </c>
      <c r="E47" s="131">
        <f>[7]Dashboard!E47</f>
        <v>1423</v>
      </c>
      <c r="F47" s="131">
        <f>[7]Dashboard!F47</f>
        <v>1781</v>
      </c>
      <c r="G47" s="131">
        <f>[7]Dashboard!G47</f>
        <v>16.105811706839464</v>
      </c>
      <c r="H47" s="131">
        <f>[7]Dashboard!H47</f>
        <v>17.977242314150864</v>
      </c>
      <c r="I47" s="131">
        <f>[7]Dashboard!I47</f>
        <v>20.704918174509174</v>
      </c>
      <c r="J47" s="131">
        <f>[7]Dashboard!J47</f>
        <v>20.503200112962112</v>
      </c>
      <c r="K47" s="131">
        <f>[7]Dashboard!K47</f>
        <v>25.645345463394545</v>
      </c>
      <c r="L47" s="131">
        <f>[7]Dashboard!L47</f>
        <v>53.279757866722328</v>
      </c>
      <c r="M47" s="131">
        <f>[7]Dashboard!M47</f>
        <v>60.15386998502607</v>
      </c>
      <c r="N47" s="131">
        <f>[7]Dashboard!N47</f>
        <v>68.062187560451648</v>
      </c>
      <c r="O47" s="131">
        <f>[7]Dashboard!O47</f>
        <v>66.484081491361138</v>
      </c>
      <c r="P47" s="131">
        <f>[7]Dashboard!P47</f>
        <v>83.042289399598687</v>
      </c>
      <c r="Q47" s="132" t="s">
        <v>885</v>
      </c>
      <c r="R47" s="132" t="s">
        <v>554</v>
      </c>
      <c r="S47" s="132" t="s">
        <v>562</v>
      </c>
    </row>
    <row r="48" spans="1:19" s="128" customFormat="1" x14ac:dyDescent="0.2">
      <c r="A48" s="128" t="s">
        <v>83</v>
      </c>
      <c r="B48" s="131">
        <f>[7]Dashboard!B48</f>
        <v>243</v>
      </c>
      <c r="C48" s="131">
        <f>[7]Dashboard!C48</f>
        <v>255</v>
      </c>
      <c r="D48" s="131">
        <f>[7]Dashboard!D48</f>
        <v>307</v>
      </c>
      <c r="E48" s="131">
        <f>[7]Dashboard!E48</f>
        <v>316</v>
      </c>
      <c r="F48" s="131">
        <f>[7]Dashboard!F48</f>
        <v>315</v>
      </c>
      <c r="G48" s="131">
        <f>[7]Dashboard!G48</f>
        <v>18.277273000782237</v>
      </c>
      <c r="H48" s="131">
        <f>[7]Dashboard!H48</f>
        <v>19.215553294902225</v>
      </c>
      <c r="I48" s="131">
        <f>[7]Dashboard!I48</f>
        <v>23.139250047107591</v>
      </c>
      <c r="J48" s="131">
        <f>[7]Dashboard!J48</f>
        <v>23.8175993970228</v>
      </c>
      <c r="K48" s="131">
        <f>[7]Dashboard!K48</f>
        <v>23.748134075179806</v>
      </c>
      <c r="L48" s="131">
        <f>[7]Dashboard!L48</f>
        <v>52.063522251806774</v>
      </c>
      <c r="M48" s="131">
        <f>[7]Dashboard!M48</f>
        <v>55.024819705909898</v>
      </c>
      <c r="N48" s="131">
        <f>[7]Dashboard!N48</f>
        <v>64.458205759801103</v>
      </c>
      <c r="O48" s="131">
        <f>[7]Dashboard!O48</f>
        <v>65.379037270655402</v>
      </c>
      <c r="P48" s="131">
        <f>[7]Dashboard!P48</f>
        <v>66.575467396260834</v>
      </c>
      <c r="Q48" s="132" t="s">
        <v>549</v>
      </c>
      <c r="R48" s="132" t="s">
        <v>555</v>
      </c>
      <c r="S48" s="132" t="s">
        <v>563</v>
      </c>
    </row>
    <row r="49" spans="1:19" s="128" customFormat="1" x14ac:dyDescent="0.2">
      <c r="A49" s="128" t="s">
        <v>84</v>
      </c>
      <c r="B49" s="131">
        <f>[7]Dashboard!B49</f>
        <v>1057</v>
      </c>
      <c r="C49" s="131">
        <f>[7]Dashboard!C49</f>
        <v>1103</v>
      </c>
      <c r="D49" s="131">
        <f>[7]Dashboard!D49</f>
        <v>1202</v>
      </c>
      <c r="E49" s="131">
        <f>[7]Dashboard!E49</f>
        <v>1322</v>
      </c>
      <c r="F49" s="131">
        <f>[7]Dashboard!F49</f>
        <v>1442</v>
      </c>
      <c r="G49" s="131">
        <f>[7]Dashboard!G49</f>
        <v>27.569262228806618</v>
      </c>
      <c r="H49" s="131">
        <f>[7]Dashboard!H49</f>
        <v>28.730991440613067</v>
      </c>
      <c r="I49" s="131">
        <f>[7]Dashboard!I49</f>
        <v>31.3029800332822</v>
      </c>
      <c r="J49" s="131">
        <f>[7]Dashboard!J49</f>
        <v>34.428069554075769</v>
      </c>
      <c r="K49" s="131">
        <f>[7]Dashboard!K49</f>
        <v>37.627632564341425</v>
      </c>
      <c r="L49" s="131">
        <f>[7]Dashboard!L49</f>
        <v>87.70269417628873</v>
      </c>
      <c r="M49" s="131">
        <f>[7]Dashboard!M49</f>
        <v>89.633809837466401</v>
      </c>
      <c r="N49" s="131">
        <f>[7]Dashboard!N49</f>
        <v>98.140586390003691</v>
      </c>
      <c r="O49" s="131">
        <f>[7]Dashboard!O49</f>
        <v>106.99076426981651</v>
      </c>
      <c r="P49" s="131">
        <f>[7]Dashboard!P49</f>
        <v>116.64761508884962</v>
      </c>
      <c r="Q49" s="132" t="s">
        <v>550</v>
      </c>
      <c r="R49" s="132" t="s">
        <v>556</v>
      </c>
      <c r="S49" s="132" t="s">
        <v>564</v>
      </c>
    </row>
    <row r="50" spans="1:19" s="128" customFormat="1" x14ac:dyDescent="0.2">
      <c r="A50" s="128" t="s">
        <v>103</v>
      </c>
      <c r="B50" s="131">
        <f>[7]Dashboard!B50</f>
        <v>1447</v>
      </c>
      <c r="C50" s="131">
        <f>[7]Dashboard!C50</f>
        <v>1426</v>
      </c>
      <c r="D50" s="131">
        <f>[7]Dashboard!D50</f>
        <v>1535</v>
      </c>
      <c r="E50" s="131">
        <f>[7]Dashboard!E50</f>
        <v>1440</v>
      </c>
      <c r="F50" s="131">
        <f>[7]Dashboard!F50</f>
        <v>1462</v>
      </c>
      <c r="G50" s="131">
        <f>[7]Dashboard!G50</f>
        <v>27.854724234380082</v>
      </c>
      <c r="H50" s="131">
        <f>[7]Dashboard!H50</f>
        <v>27.38568493019147</v>
      </c>
      <c r="I50" s="131">
        <f>[7]Dashboard!I50</f>
        <v>29.3498482794488</v>
      </c>
      <c r="J50" s="131">
        <f>[7]Dashboard!J50</f>
        <v>27.533408157919393</v>
      </c>
      <c r="K50" s="131">
        <f>[7]Dashboard!K50</f>
        <v>27.822922891300294</v>
      </c>
      <c r="L50" s="131">
        <f>[7]Dashboard!L50</f>
        <v>102.54667881577119</v>
      </c>
      <c r="M50" s="131">
        <f>[7]Dashboard!M50</f>
        <v>99.429975504971495</v>
      </c>
      <c r="N50" s="131">
        <f>[7]Dashboard!N50</f>
        <v>105.51728287355975</v>
      </c>
      <c r="O50" s="131">
        <f>[7]Dashboard!O50</f>
        <v>99.575825035347918</v>
      </c>
      <c r="P50" s="131">
        <f>[7]Dashboard!P50</f>
        <v>99.453861764354784</v>
      </c>
      <c r="Q50" s="132" t="s">
        <v>551</v>
      </c>
      <c r="R50" s="132" t="s">
        <v>557</v>
      </c>
      <c r="S50" s="132" t="s">
        <v>565</v>
      </c>
    </row>
    <row r="51" spans="1:19" s="128" customFormat="1" x14ac:dyDescent="0.2">
      <c r="A51" s="128" t="s">
        <v>85</v>
      </c>
      <c r="B51" s="131">
        <f>[7]Dashboard!B51</f>
        <v>655</v>
      </c>
      <c r="C51" s="131">
        <f>[7]Dashboard!C51</f>
        <v>617</v>
      </c>
      <c r="D51" s="131">
        <f>[7]Dashboard!D51</f>
        <v>653</v>
      </c>
      <c r="E51" s="131">
        <f>[7]Dashboard!E51</f>
        <v>671</v>
      </c>
      <c r="F51" s="131">
        <f>[7]Dashboard!F51</f>
        <v>631</v>
      </c>
      <c r="G51" s="131">
        <f>[7]Dashboard!G51</f>
        <v>22.241313154293593</v>
      </c>
      <c r="H51" s="131">
        <f>[7]Dashboard!H51</f>
        <v>20.905687227878765</v>
      </c>
      <c r="I51" s="131">
        <f>[7]Dashboard!I51</f>
        <v>22.064314266116579</v>
      </c>
      <c r="J51" s="131">
        <f>[7]Dashboard!J51</f>
        <v>22.672518947265274</v>
      </c>
      <c r="K51" s="131">
        <f>[7]Dashboard!K51</f>
        <v>21.264764857532818</v>
      </c>
      <c r="L51" s="131">
        <f>[7]Dashboard!L51</f>
        <v>84.755420073502179</v>
      </c>
      <c r="M51" s="131">
        <f>[7]Dashboard!M51</f>
        <v>79.304603053650553</v>
      </c>
      <c r="N51" s="131">
        <f>[7]Dashboard!N51</f>
        <v>82.168003471493165</v>
      </c>
      <c r="O51" s="131">
        <f>[7]Dashboard!O51</f>
        <v>84.687635605201635</v>
      </c>
      <c r="P51" s="131">
        <f>[7]Dashboard!P51</f>
        <v>79.153474420929854</v>
      </c>
      <c r="Q51" s="132" t="s">
        <v>886</v>
      </c>
      <c r="R51" s="132" t="s">
        <v>558</v>
      </c>
      <c r="S51" s="132" t="s">
        <v>566</v>
      </c>
    </row>
    <row r="52" spans="1:19" s="128" customFormat="1" x14ac:dyDescent="0.2">
      <c r="A52" s="128" t="s">
        <v>86</v>
      </c>
      <c r="B52" s="131">
        <f>[7]Dashboard!B52</f>
        <v>1249</v>
      </c>
      <c r="C52" s="131">
        <f>[7]Dashboard!C52</f>
        <v>1321</v>
      </c>
      <c r="D52" s="131">
        <f>[7]Dashboard!D52</f>
        <v>1317</v>
      </c>
      <c r="E52" s="131">
        <f>[7]Dashboard!E52</f>
        <v>1571</v>
      </c>
      <c r="F52" s="131">
        <f>[7]Dashboard!F52</f>
        <v>1761</v>
      </c>
      <c r="G52" s="131">
        <f>[7]Dashboard!G52</f>
        <v>21.609706893479199</v>
      </c>
      <c r="H52" s="131">
        <f>[7]Dashboard!H52</f>
        <v>22.811219459127162</v>
      </c>
      <c r="I52" s="131">
        <f>[7]Dashboard!I52</f>
        <v>22.691208319765128</v>
      </c>
      <c r="J52" s="131">
        <f>[7]Dashboard!J52</f>
        <v>27.067492991914214</v>
      </c>
      <c r="K52" s="131">
        <f>[7]Dashboard!K52</f>
        <v>30.268705664768497</v>
      </c>
      <c r="L52" s="131">
        <f>[7]Dashboard!L52</f>
        <v>80.701580818181171</v>
      </c>
      <c r="M52" s="131">
        <f>[7]Dashboard!M52</f>
        <v>83.826395534847322</v>
      </c>
      <c r="N52" s="131">
        <f>[7]Dashboard!N52</f>
        <v>82.1680246641709</v>
      </c>
      <c r="O52" s="131">
        <f>[7]Dashboard!O52</f>
        <v>96.894957057916756</v>
      </c>
      <c r="P52" s="131">
        <f>[7]Dashboard!P52</f>
        <v>107.99121334916022</v>
      </c>
      <c r="Q52" s="132" t="s">
        <v>887</v>
      </c>
      <c r="R52" s="132" t="s">
        <v>559</v>
      </c>
      <c r="S52" s="132" t="s">
        <v>567</v>
      </c>
    </row>
    <row r="53" spans="1:19" s="128" customFormat="1" x14ac:dyDescent="0.2">
      <c r="A53" s="128" t="s">
        <v>87</v>
      </c>
      <c r="B53" s="131">
        <f>[7]Dashboard!B53</f>
        <v>1088</v>
      </c>
      <c r="C53" s="131">
        <f>[7]Dashboard!C53</f>
        <v>1271</v>
      </c>
      <c r="D53" s="131">
        <f>[7]Dashboard!D53</f>
        <v>1339</v>
      </c>
      <c r="E53" s="131">
        <f>[7]Dashboard!E53</f>
        <v>1306</v>
      </c>
      <c r="F53" s="131">
        <f>[7]Dashboard!F53</f>
        <v>1400</v>
      </c>
      <c r="G53" s="131">
        <f>[7]Dashboard!G53</f>
        <v>22.889650007153016</v>
      </c>
      <c r="H53" s="131">
        <f>[7]Dashboard!H53</f>
        <v>26.541705560393343</v>
      </c>
      <c r="I53" s="131">
        <f>[7]Dashboard!I53</f>
        <v>27.781293375852478</v>
      </c>
      <c r="J53" s="131">
        <f>[7]Dashboard!J53</f>
        <v>27.096616242616381</v>
      </c>
      <c r="K53" s="131">
        <f>[7]Dashboard!K53</f>
        <v>28.880747268706479</v>
      </c>
      <c r="L53" s="131">
        <f>[7]Dashboard!L53</f>
        <v>102.63069705093834</v>
      </c>
      <c r="M53" s="131">
        <f>[7]Dashboard!M53</f>
        <v>115.67314339961409</v>
      </c>
      <c r="N53" s="131">
        <f>[7]Dashboard!N53</f>
        <v>122.05019986607958</v>
      </c>
      <c r="O53" s="131">
        <f>[7]Dashboard!O53</f>
        <v>119.91964774871659</v>
      </c>
      <c r="P53" s="131">
        <f>[7]Dashboard!P53</f>
        <v>125.85354132041091</v>
      </c>
      <c r="Q53" s="132" t="s">
        <v>552</v>
      </c>
      <c r="R53" s="132" t="s">
        <v>560</v>
      </c>
      <c r="S53" s="132" t="s">
        <v>568</v>
      </c>
    </row>
    <row r="54" spans="1:19" s="128" customFormat="1" x14ac:dyDescent="0.2">
      <c r="A54" s="128" t="s">
        <v>88</v>
      </c>
      <c r="B54" s="131">
        <f>[7]Dashboard!B54</f>
        <v>6851</v>
      </c>
      <c r="C54" s="131">
        <f>[7]Dashboard!C54</f>
        <v>7237</v>
      </c>
      <c r="D54" s="131">
        <f>[7]Dashboard!D54</f>
        <v>7790</v>
      </c>
      <c r="E54" s="131">
        <f>[7]Dashboard!E54</f>
        <v>8049</v>
      </c>
      <c r="F54" s="131">
        <f>[7]Dashboard!F54</f>
        <v>8792</v>
      </c>
      <c r="G54" s="131">
        <f>[7]Dashboard!G54</f>
        <v>22.286436827824506</v>
      </c>
      <c r="H54" s="131">
        <f>[7]Dashboard!H54</f>
        <v>23.478366941213569</v>
      </c>
      <c r="I54" s="131">
        <f>[7]Dashboard!I54</f>
        <v>25.193755829492282</v>
      </c>
      <c r="J54" s="131">
        <f>[7]Dashboard!J54</f>
        <v>26.031391613810449</v>
      </c>
      <c r="K54" s="131">
        <f>[7]Dashboard!K54</f>
        <v>28.369654794994396</v>
      </c>
      <c r="L54" s="131">
        <f>[7]Dashboard!L54</f>
        <v>80.093378281870329</v>
      </c>
      <c r="M54" s="131">
        <f>[7]Dashboard!M54</f>
        <v>83.381708129874625</v>
      </c>
      <c r="N54" s="131">
        <f>[7]Dashboard!N54</f>
        <v>88.796928753053805</v>
      </c>
      <c r="O54" s="131">
        <f>[7]Dashboard!O54</f>
        <v>91.364610859051709</v>
      </c>
      <c r="P54" s="131">
        <f>[7]Dashboard!P54</f>
        <v>99.11139379642951</v>
      </c>
      <c r="Q54" s="132" t="s">
        <v>553</v>
      </c>
      <c r="R54" s="132" t="s">
        <v>561</v>
      </c>
      <c r="S54" s="132" t="s">
        <v>569</v>
      </c>
    </row>
    <row r="55" spans="1:19" s="36" customFormat="1" ht="15" customHeight="1" x14ac:dyDescent="0.2">
      <c r="C55" s="59"/>
      <c r="D55" s="59"/>
      <c r="F55" s="186"/>
      <c r="Q55" s="186"/>
    </row>
    <row r="56" spans="1:19" s="141" customFormat="1" ht="34.5" customHeight="1" x14ac:dyDescent="0.2">
      <c r="A56" s="140" t="s">
        <v>119</v>
      </c>
      <c r="B56" s="481" t="s">
        <v>50</v>
      </c>
      <c r="C56" s="481"/>
      <c r="D56" s="481"/>
      <c r="E56" s="481" t="s">
        <v>48</v>
      </c>
      <c r="F56" s="481"/>
      <c r="G56" s="481"/>
      <c r="H56" s="481" t="s">
        <v>49</v>
      </c>
      <c r="I56" s="481"/>
      <c r="J56" s="481"/>
      <c r="K56" s="482" t="s">
        <v>62</v>
      </c>
      <c r="L56" s="482"/>
      <c r="M56" s="482"/>
    </row>
    <row r="57" spans="1:19" s="141" customFormat="1" x14ac:dyDescent="0.2">
      <c r="B57" s="142" t="s">
        <v>4</v>
      </c>
      <c r="C57" s="142" t="s">
        <v>3</v>
      </c>
      <c r="D57" s="142" t="s">
        <v>81</v>
      </c>
      <c r="E57" s="142" t="s">
        <v>4</v>
      </c>
      <c r="F57" s="142" t="s">
        <v>3</v>
      </c>
      <c r="G57" s="142" t="s">
        <v>81</v>
      </c>
      <c r="H57" s="142" t="s">
        <v>4</v>
      </c>
      <c r="I57" s="142" t="s">
        <v>3</v>
      </c>
      <c r="J57" s="142" t="s">
        <v>81</v>
      </c>
      <c r="K57" s="142" t="s">
        <v>4</v>
      </c>
      <c r="L57" s="142" t="s">
        <v>3</v>
      </c>
      <c r="M57" s="142" t="s">
        <v>81</v>
      </c>
    </row>
    <row r="58" spans="1:19" s="141" customFormat="1" x14ac:dyDescent="0.2">
      <c r="A58" s="141" t="s">
        <v>82</v>
      </c>
      <c r="B58" s="143">
        <f>[7]Dashboard!B58</f>
        <v>33423</v>
      </c>
      <c r="C58" s="143">
        <f>[7]Dashboard!C58</f>
        <v>35119</v>
      </c>
      <c r="D58" s="143">
        <f>[7]Dashboard!D58</f>
        <v>36329</v>
      </c>
      <c r="E58" s="143">
        <f>[7]Dashboard!E58</f>
        <v>29909</v>
      </c>
      <c r="F58" s="143">
        <f>[7]Dashboard!F58</f>
        <v>33812</v>
      </c>
      <c r="G58" s="143">
        <f>[7]Dashboard!G58</f>
        <v>33706</v>
      </c>
      <c r="H58" s="143">
        <f>[7]Dashboard!H58</f>
        <v>24245</v>
      </c>
      <c r="I58" s="143">
        <f>[7]Dashboard!I58</f>
        <v>27389</v>
      </c>
      <c r="J58" s="143">
        <f>[7]Dashboard!J58</f>
        <v>28639</v>
      </c>
      <c r="K58" s="144">
        <f>[7]Dashboard!K58</f>
        <v>0.81062556421144139</v>
      </c>
      <c r="L58" s="144">
        <f>[7]Dashboard!L58</f>
        <v>0.81003785638234949</v>
      </c>
      <c r="M58" s="144">
        <f>[7]Dashboard!M58</f>
        <v>0.84967068177772498</v>
      </c>
      <c r="N58" s="145" t="s">
        <v>218</v>
      </c>
    </row>
    <row r="59" spans="1:19" s="141" customFormat="1" ht="10.15" x14ac:dyDescent="0.2">
      <c r="A59" s="141" t="s">
        <v>83</v>
      </c>
      <c r="B59" s="143">
        <f>[7]Dashboard!B59</f>
        <v>7176</v>
      </c>
      <c r="C59" s="143">
        <f>[7]Dashboard!C59</f>
        <v>7494</v>
      </c>
      <c r="D59" s="143">
        <f>[7]Dashboard!D59</f>
        <v>7736</v>
      </c>
      <c r="E59" s="143">
        <f>[7]Dashboard!E59</f>
        <v>4576</v>
      </c>
      <c r="F59" s="143">
        <f>[7]Dashboard!F59</f>
        <v>5593</v>
      </c>
      <c r="G59" s="143">
        <f>[7]Dashboard!G59</f>
        <v>7229</v>
      </c>
      <c r="H59" s="143">
        <f>[7]Dashboard!H59</f>
        <v>4893</v>
      </c>
      <c r="I59" s="143">
        <f>[7]Dashboard!I59</f>
        <v>5940</v>
      </c>
      <c r="J59" s="143">
        <f>[7]Dashboard!J59</f>
        <v>6612</v>
      </c>
      <c r="K59" s="144">
        <f>[7]Dashboard!K59</f>
        <v>1.0692744755244756</v>
      </c>
      <c r="L59" s="144">
        <f>[7]Dashboard!L59</f>
        <v>1.0620418380118004</v>
      </c>
      <c r="M59" s="144">
        <f>[7]Dashboard!M59</f>
        <v>0.91464932909116059</v>
      </c>
      <c r="N59" s="145" t="s">
        <v>219</v>
      </c>
    </row>
    <row r="60" spans="1:19" s="141" customFormat="1" ht="10.15" x14ac:dyDescent="0.2">
      <c r="A60" s="141" t="s">
        <v>84</v>
      </c>
      <c r="B60" s="143">
        <f>[7]Dashboard!B60</f>
        <v>20009</v>
      </c>
      <c r="C60" s="143">
        <f>[7]Dashboard!C60</f>
        <v>21153</v>
      </c>
      <c r="D60" s="143">
        <f>[7]Dashboard!D60</f>
        <v>21717</v>
      </c>
      <c r="E60" s="143">
        <f>[7]Dashboard!E60</f>
        <v>17860</v>
      </c>
      <c r="F60" s="143">
        <f>[7]Dashboard!F60</f>
        <v>19248</v>
      </c>
      <c r="G60" s="143">
        <f>[7]Dashboard!G60</f>
        <v>21960</v>
      </c>
      <c r="H60" s="143">
        <f>[7]Dashboard!H60</f>
        <v>14736</v>
      </c>
      <c r="I60" s="143">
        <f>[7]Dashboard!I60</f>
        <v>15959</v>
      </c>
      <c r="J60" s="143">
        <f>[7]Dashboard!J60</f>
        <v>18543</v>
      </c>
      <c r="K60" s="144">
        <f>[7]Dashboard!K60</f>
        <v>0.8250839865621501</v>
      </c>
      <c r="L60" s="144">
        <f>[7]Dashboard!L60</f>
        <v>0.82912510390689942</v>
      </c>
      <c r="M60" s="144">
        <f>[7]Dashboard!M60</f>
        <v>0.84439890710382515</v>
      </c>
      <c r="N60" s="145" t="s">
        <v>220</v>
      </c>
    </row>
    <row r="61" spans="1:19" s="141" customFormat="1" ht="10.15" x14ac:dyDescent="0.2">
      <c r="A61" s="141" t="s">
        <v>103</v>
      </c>
      <c r="B61" s="143">
        <f>[7]Dashboard!B61</f>
        <v>28753</v>
      </c>
      <c r="C61" s="143">
        <f>[7]Dashboard!C61</f>
        <v>30724</v>
      </c>
      <c r="D61" s="143">
        <f>[7]Dashboard!D61</f>
        <v>31302</v>
      </c>
      <c r="E61" s="143">
        <f>[7]Dashboard!E61</f>
        <v>28428</v>
      </c>
      <c r="F61" s="143">
        <f>[7]Dashboard!F61</f>
        <v>29193</v>
      </c>
      <c r="G61" s="143">
        <f>[7]Dashboard!G61</f>
        <v>28517</v>
      </c>
      <c r="H61" s="143">
        <f>[7]Dashboard!H61</f>
        <v>21548</v>
      </c>
      <c r="I61" s="143">
        <f>[7]Dashboard!I61</f>
        <v>23681</v>
      </c>
      <c r="J61" s="143">
        <f>[7]Dashboard!J61</f>
        <v>25316</v>
      </c>
      <c r="K61" s="144">
        <f>[7]Dashboard!K61</f>
        <v>0.7579850851273392</v>
      </c>
      <c r="L61" s="144">
        <f>[7]Dashboard!L61</f>
        <v>0.81118761346898227</v>
      </c>
      <c r="M61" s="144">
        <f>[7]Dashboard!M61</f>
        <v>0.88775116597117509</v>
      </c>
      <c r="N61" s="145" t="s">
        <v>221</v>
      </c>
    </row>
    <row r="62" spans="1:19" s="141" customFormat="1" ht="10.15" x14ac:dyDescent="0.2">
      <c r="A62" s="141" t="s">
        <v>85</v>
      </c>
      <c r="B62" s="143">
        <f>[7]Dashboard!B62</f>
        <v>15607</v>
      </c>
      <c r="C62" s="143">
        <f>[7]Dashboard!C62</f>
        <v>16658</v>
      </c>
      <c r="D62" s="143">
        <f>[7]Dashboard!D62</f>
        <v>17119</v>
      </c>
      <c r="E62" s="143">
        <f>[7]Dashboard!E62</f>
        <v>15923</v>
      </c>
      <c r="F62" s="143">
        <f>[7]Dashboard!F62</f>
        <v>15806</v>
      </c>
      <c r="G62" s="143">
        <f>[7]Dashboard!G62</f>
        <v>16882</v>
      </c>
      <c r="H62" s="143">
        <f>[7]Dashboard!H62</f>
        <v>12715</v>
      </c>
      <c r="I62" s="143">
        <f>[7]Dashboard!I62</f>
        <v>13066</v>
      </c>
      <c r="J62" s="143">
        <f>[7]Dashboard!J62</f>
        <v>14281</v>
      </c>
      <c r="K62" s="144">
        <f>[7]Dashboard!K62</f>
        <v>0.79853042768322557</v>
      </c>
      <c r="L62" s="144">
        <f>[7]Dashboard!L62</f>
        <v>0.82664810831329871</v>
      </c>
      <c r="M62" s="144">
        <f>[7]Dashboard!M62</f>
        <v>0.84593057694585949</v>
      </c>
      <c r="N62" s="145" t="s">
        <v>222</v>
      </c>
    </row>
    <row r="63" spans="1:19" s="141" customFormat="1" ht="10.15" x14ac:dyDescent="0.2">
      <c r="A63" s="141" t="s">
        <v>86</v>
      </c>
      <c r="B63" s="143">
        <f>[7]Dashboard!B63</f>
        <v>33410</v>
      </c>
      <c r="C63" s="143">
        <f>[7]Dashboard!C63</f>
        <v>35003</v>
      </c>
      <c r="D63" s="143">
        <f>[7]Dashboard!D63</f>
        <v>35647</v>
      </c>
      <c r="E63" s="143">
        <f>[7]Dashboard!E63</f>
        <v>32399</v>
      </c>
      <c r="F63" s="143">
        <f>[7]Dashboard!F63</f>
        <v>30866</v>
      </c>
      <c r="G63" s="143">
        <f>[7]Dashboard!G63</f>
        <v>33965</v>
      </c>
      <c r="H63" s="143">
        <f>[7]Dashboard!H63</f>
        <v>25133</v>
      </c>
      <c r="I63" s="143">
        <f>[7]Dashboard!I63</f>
        <v>25112</v>
      </c>
      <c r="J63" s="143">
        <f>[7]Dashboard!J63</f>
        <v>27994</v>
      </c>
      <c r="K63" s="144">
        <f>[7]Dashboard!K63</f>
        <v>0.77573381894502913</v>
      </c>
      <c r="L63" s="144">
        <f>[7]Dashboard!L63</f>
        <v>0.81358128685284781</v>
      </c>
      <c r="M63" s="144">
        <f>[7]Dashboard!M63</f>
        <v>0.82420138377741792</v>
      </c>
      <c r="N63" s="145" t="s">
        <v>223</v>
      </c>
    </row>
    <row r="64" spans="1:19" s="141" customFormat="1" ht="10.15" x14ac:dyDescent="0.2">
      <c r="A64" s="141" t="s">
        <v>87</v>
      </c>
      <c r="B64" s="143">
        <f>[7]Dashboard!B64</f>
        <v>20227</v>
      </c>
      <c r="C64" s="143">
        <f>[7]Dashboard!C64</f>
        <v>21517</v>
      </c>
      <c r="D64" s="143">
        <f>[7]Dashboard!D64</f>
        <v>22249</v>
      </c>
      <c r="E64" s="143">
        <f>[7]Dashboard!E64</f>
        <v>21048</v>
      </c>
      <c r="F64" s="143">
        <f>[7]Dashboard!F64</f>
        <v>20470</v>
      </c>
      <c r="G64" s="143">
        <f>[7]Dashboard!G64</f>
        <v>22045</v>
      </c>
      <c r="H64" s="143">
        <f>[7]Dashboard!H64</f>
        <v>16159</v>
      </c>
      <c r="I64" s="143">
        <f>[7]Dashboard!I64</f>
        <v>15366</v>
      </c>
      <c r="J64" s="143">
        <f>[7]Dashboard!J64</f>
        <v>17879</v>
      </c>
      <c r="K64" s="144">
        <f>[7]Dashboard!K64</f>
        <v>0.76772139870771572</v>
      </c>
      <c r="L64" s="144">
        <f>[7]Dashboard!L64</f>
        <v>0.75065950170981921</v>
      </c>
      <c r="M64" s="144">
        <f>[7]Dashboard!M64</f>
        <v>0.81102290768881835</v>
      </c>
      <c r="N64" s="145" t="s">
        <v>224</v>
      </c>
    </row>
    <row r="65" spans="1:41" s="141" customFormat="1" ht="10.15" x14ac:dyDescent="0.2">
      <c r="A65" s="141" t="s">
        <v>88</v>
      </c>
      <c r="B65" s="143">
        <f>[7]Dashboard!B65</f>
        <v>158952</v>
      </c>
      <c r="C65" s="143">
        <f>[7]Dashboard!C65</f>
        <v>167668</v>
      </c>
      <c r="D65" s="143">
        <f>[7]Dashboard!D65</f>
        <v>172101</v>
      </c>
      <c r="E65" s="143">
        <f>[7]Dashboard!E65</f>
        <v>150393</v>
      </c>
      <c r="F65" s="143">
        <f>[7]Dashboard!F65</f>
        <v>154988</v>
      </c>
      <c r="G65" s="143">
        <f>[7]Dashboard!G65</f>
        <v>164304</v>
      </c>
      <c r="H65" s="143">
        <f>[7]Dashboard!H65</f>
        <v>119623</v>
      </c>
      <c r="I65" s="143">
        <f>[7]Dashboard!I65</f>
        <v>126513</v>
      </c>
      <c r="J65" s="143">
        <f>[7]Dashboard!J65</f>
        <v>139264</v>
      </c>
      <c r="K65" s="144">
        <f>[7]Dashboard!K65</f>
        <v>0.7954027115623733</v>
      </c>
      <c r="L65" s="144">
        <f>[7]Dashboard!L65</f>
        <v>0.81627609879474539</v>
      </c>
      <c r="M65" s="144">
        <f>[7]Dashboard!M65</f>
        <v>0.84759957152595189</v>
      </c>
      <c r="N65" s="145" t="s">
        <v>217</v>
      </c>
    </row>
    <row r="66" spans="1:41" s="36" customFormat="1" ht="15" customHeight="1" x14ac:dyDescent="0.2"/>
    <row r="67" spans="1:41" s="154" customFormat="1" ht="25.5" customHeight="1" x14ac:dyDescent="0.25">
      <c r="A67" s="153" t="s">
        <v>191</v>
      </c>
      <c r="B67" s="474" t="s">
        <v>192</v>
      </c>
      <c r="C67" s="474"/>
      <c r="D67" s="474"/>
      <c r="E67" s="474"/>
      <c r="F67" s="474"/>
      <c r="G67" s="474" t="s">
        <v>193</v>
      </c>
      <c r="H67" s="474"/>
      <c r="I67" s="474"/>
      <c r="J67" s="474"/>
      <c r="K67" s="474"/>
      <c r="L67" s="474" t="s">
        <v>194</v>
      </c>
      <c r="M67" s="474"/>
      <c r="N67" s="474"/>
      <c r="O67" s="474"/>
      <c r="P67" s="474"/>
      <c r="Q67" s="474" t="s">
        <v>195</v>
      </c>
      <c r="R67" s="474"/>
      <c r="S67" s="474"/>
      <c r="T67" s="474"/>
      <c r="U67" s="474"/>
      <c r="V67" s="474" t="s">
        <v>297</v>
      </c>
      <c r="W67" s="474"/>
      <c r="X67" s="474"/>
      <c r="Y67" s="474"/>
      <c r="Z67" s="474"/>
      <c r="AA67" s="474" t="s">
        <v>298</v>
      </c>
      <c r="AB67" s="474"/>
      <c r="AC67" s="474"/>
      <c r="AD67" s="474"/>
      <c r="AE67" s="474"/>
      <c r="AF67" s="474" t="s">
        <v>299</v>
      </c>
      <c r="AG67" s="474"/>
      <c r="AH67" s="474"/>
      <c r="AI67" s="474"/>
      <c r="AJ67" s="474"/>
    </row>
    <row r="68" spans="1:41" s="154" customFormat="1" ht="10.15" x14ac:dyDescent="0.2">
      <c r="B68" s="155">
        <v>2012</v>
      </c>
      <c r="C68" s="155">
        <v>2013</v>
      </c>
      <c r="D68" s="155">
        <v>2014</v>
      </c>
      <c r="E68" s="155">
        <v>2015</v>
      </c>
      <c r="F68" s="155">
        <v>2016</v>
      </c>
      <c r="G68" s="155">
        <v>2012</v>
      </c>
      <c r="H68" s="155">
        <v>2013</v>
      </c>
      <c r="I68" s="155">
        <v>2014</v>
      </c>
      <c r="J68" s="155">
        <v>2015</v>
      </c>
      <c r="K68" s="155">
        <v>2016</v>
      </c>
      <c r="L68" s="155">
        <v>2012</v>
      </c>
      <c r="M68" s="155">
        <v>2013</v>
      </c>
      <c r="N68" s="155">
        <v>2014</v>
      </c>
      <c r="O68" s="155">
        <v>2015</v>
      </c>
      <c r="P68" s="155">
        <v>2016</v>
      </c>
      <c r="Q68" s="155">
        <v>2012</v>
      </c>
      <c r="R68" s="155">
        <v>2013</v>
      </c>
      <c r="S68" s="155">
        <v>2014</v>
      </c>
      <c r="T68" s="155">
        <v>2015</v>
      </c>
      <c r="U68" s="155">
        <v>2016</v>
      </c>
      <c r="V68" s="155">
        <v>2012</v>
      </c>
      <c r="W68" s="155">
        <v>2013</v>
      </c>
      <c r="X68" s="155">
        <v>2014</v>
      </c>
      <c r="Y68" s="155">
        <v>2015</v>
      </c>
      <c r="Z68" s="155">
        <v>2016</v>
      </c>
      <c r="AA68" s="155">
        <v>2012</v>
      </c>
      <c r="AB68" s="155">
        <v>2013</v>
      </c>
      <c r="AC68" s="155">
        <v>2014</v>
      </c>
      <c r="AD68" s="155">
        <v>2015</v>
      </c>
      <c r="AE68" s="155">
        <v>2016</v>
      </c>
      <c r="AF68" s="155">
        <v>2012</v>
      </c>
      <c r="AG68" s="155">
        <v>2013</v>
      </c>
      <c r="AH68" s="155">
        <v>2014</v>
      </c>
      <c r="AI68" s="155">
        <v>2015</v>
      </c>
      <c r="AJ68" s="155">
        <v>2016</v>
      </c>
      <c r="AK68" s="154" t="s">
        <v>311</v>
      </c>
      <c r="AL68" s="154" t="s">
        <v>312</v>
      </c>
      <c r="AM68" s="154" t="s">
        <v>313</v>
      </c>
      <c r="AN68" s="154" t="s">
        <v>314</v>
      </c>
      <c r="AO68" s="154" t="s">
        <v>315</v>
      </c>
    </row>
    <row r="69" spans="1:41" s="154" customFormat="1" ht="10.15" x14ac:dyDescent="0.2">
      <c r="A69" s="154" t="s">
        <v>82</v>
      </c>
      <c r="B69" s="154">
        <f>[7]Dashboard!B69</f>
        <v>135</v>
      </c>
      <c r="C69" s="154">
        <f>[7]Dashboard!C69</f>
        <v>116</v>
      </c>
      <c r="D69" s="154">
        <f>[7]Dashboard!D69</f>
        <v>100</v>
      </c>
      <c r="E69" s="154">
        <f>[7]Dashboard!E69</f>
        <v>106</v>
      </c>
      <c r="F69" s="154">
        <f>[7]Dashboard!F69</f>
        <v>102</v>
      </c>
      <c r="G69" s="154">
        <f>[7]Dashboard!G69</f>
        <v>95</v>
      </c>
      <c r="H69" s="154">
        <f>[7]Dashboard!H69</f>
        <v>87</v>
      </c>
      <c r="I69" s="154">
        <f>[7]Dashboard!I69</f>
        <v>73</v>
      </c>
      <c r="J69" s="154">
        <f>[7]Dashboard!J69</f>
        <v>79</v>
      </c>
      <c r="K69" s="154">
        <f>[7]Dashboard!K69</f>
        <v>80</v>
      </c>
      <c r="L69" s="154">
        <f>[7]Dashboard!L69</f>
        <v>222</v>
      </c>
      <c r="M69" s="154">
        <f>[7]Dashboard!M69</f>
        <v>201</v>
      </c>
      <c r="N69" s="154">
        <f>[7]Dashboard!N69</f>
        <v>172</v>
      </c>
      <c r="O69" s="154">
        <f>[7]Dashboard!O69</f>
        <v>183</v>
      </c>
      <c r="P69" s="154">
        <f>[7]Dashboard!P69</f>
        <v>180</v>
      </c>
      <c r="Q69" s="154">
        <f>[7]Dashboard!Q69</f>
        <v>8</v>
      </c>
      <c r="R69" s="154">
        <f>[7]Dashboard!R69</f>
        <v>2</v>
      </c>
      <c r="S69" s="154">
        <f>[7]Dashboard!S69</f>
        <v>1</v>
      </c>
      <c r="T69" s="154">
        <f>[7]Dashboard!T69</f>
        <v>2</v>
      </c>
      <c r="U69" s="154">
        <f>[7]Dashboard!U69</f>
        <v>2</v>
      </c>
      <c r="V69" s="208">
        <f>[7]Dashboard!V69</f>
        <v>33.390909999999998</v>
      </c>
      <c r="W69" s="208">
        <f>[7]Dashboard!W69</f>
        <v>32.99091</v>
      </c>
      <c r="X69" s="208">
        <f>[7]Dashboard!X69</f>
        <v>34.040909999999997</v>
      </c>
      <c r="Y69" s="208">
        <f>[7]Dashboard!Y69</f>
        <v>30.190909999999999</v>
      </c>
      <c r="Z69" s="208">
        <f>[7]Dashboard!Z69</f>
        <v>33.190910000000002</v>
      </c>
      <c r="AA69" s="208">
        <f>[7]Dashboard!AA69</f>
        <v>1.3</v>
      </c>
      <c r="AB69" s="208">
        <f>[7]Dashboard!AB69</f>
        <v>0.3</v>
      </c>
      <c r="AC69" s="208">
        <f>[7]Dashboard!AC69</f>
        <v>0.3</v>
      </c>
      <c r="AD69" s="208">
        <f>[7]Dashboard!AD69</f>
        <v>1.7</v>
      </c>
      <c r="AE69" s="208">
        <f>[7]Dashboard!AE69</f>
        <v>1.9</v>
      </c>
      <c r="AF69" s="208">
        <f>[7]Dashboard!AF69</f>
        <v>26.090910000000001</v>
      </c>
      <c r="AG69" s="208">
        <f>[7]Dashboard!AG69</f>
        <v>26.090910000000001</v>
      </c>
      <c r="AH69" s="208">
        <f>[7]Dashboard!AH69</f>
        <v>26</v>
      </c>
      <c r="AI69" s="208">
        <f>[7]Dashboard!AI69</f>
        <v>30.2</v>
      </c>
      <c r="AJ69" s="208">
        <f>[7]Dashboard!AJ69</f>
        <v>28.7</v>
      </c>
      <c r="AK69" s="154" t="s">
        <v>316</v>
      </c>
      <c r="AL69" s="154" t="s">
        <v>320</v>
      </c>
      <c r="AM69" s="154" t="s">
        <v>640</v>
      </c>
      <c r="AN69" s="154" t="s">
        <v>580</v>
      </c>
      <c r="AO69" s="154" t="s">
        <v>588</v>
      </c>
    </row>
    <row r="70" spans="1:41" s="154" customFormat="1" ht="10.15" x14ac:dyDescent="0.2">
      <c r="A70" s="154" t="s">
        <v>83</v>
      </c>
      <c r="B70" s="154">
        <f>[7]Dashboard!B70</f>
        <v>24</v>
      </c>
      <c r="C70" s="154">
        <f>[7]Dashboard!C70</f>
        <v>17</v>
      </c>
      <c r="D70" s="154">
        <f>[7]Dashboard!D70</f>
        <v>18</v>
      </c>
      <c r="E70" s="154">
        <f>[7]Dashboard!E70</f>
        <v>19</v>
      </c>
      <c r="F70" s="154">
        <f>[7]Dashboard!F70</f>
        <v>20</v>
      </c>
      <c r="G70" s="154">
        <f>[7]Dashboard!G70</f>
        <v>13</v>
      </c>
      <c r="H70" s="154">
        <f>[7]Dashboard!H70</f>
        <v>10</v>
      </c>
      <c r="I70" s="154">
        <f>[7]Dashboard!I70</f>
        <v>12</v>
      </c>
      <c r="J70" s="154">
        <f>[7]Dashboard!J70</f>
        <v>15</v>
      </c>
      <c r="K70" s="154">
        <f>[7]Dashboard!K70</f>
        <v>14</v>
      </c>
      <c r="L70" s="154">
        <f>[7]Dashboard!L70</f>
        <v>37</v>
      </c>
      <c r="M70" s="154">
        <f>[7]Dashboard!M70</f>
        <v>27</v>
      </c>
      <c r="N70" s="154">
        <f>[7]Dashboard!N70</f>
        <v>30</v>
      </c>
      <c r="O70" s="154">
        <f>[7]Dashboard!O70</f>
        <v>34</v>
      </c>
      <c r="P70" s="154">
        <f>[7]Dashboard!P70</f>
        <v>34</v>
      </c>
      <c r="Q70" s="154">
        <f>[7]Dashboard!Q70</f>
        <v>0</v>
      </c>
      <c r="R70" s="154">
        <f>[7]Dashboard!R70</f>
        <v>0</v>
      </c>
      <c r="S70" s="154">
        <f>[7]Dashboard!S70</f>
        <v>0</v>
      </c>
      <c r="T70" s="154">
        <f>[7]Dashboard!T70</f>
        <v>0</v>
      </c>
      <c r="U70" s="154">
        <f>[7]Dashboard!U70</f>
        <v>0</v>
      </c>
      <c r="V70" s="208" t="str">
        <f>[7]Dashboard!V70</f>
        <v>.</v>
      </c>
      <c r="W70" s="208" t="str">
        <f>[7]Dashboard!W70</f>
        <v>.</v>
      </c>
      <c r="X70" s="208" t="str">
        <f>[7]Dashboard!X70</f>
        <v>.</v>
      </c>
      <c r="Y70" s="208" t="str">
        <f>[7]Dashboard!Y70</f>
        <v>.</v>
      </c>
      <c r="Z70" s="208" t="str">
        <f>[7]Dashboard!Z70</f>
        <v>.</v>
      </c>
      <c r="AA70" s="208" t="str">
        <f>[7]Dashboard!AA70</f>
        <v>.</v>
      </c>
      <c r="AB70" s="208" t="str">
        <f>[7]Dashboard!AB70</f>
        <v>.</v>
      </c>
      <c r="AC70" s="208" t="str">
        <f>[7]Dashboard!AC70</f>
        <v>.</v>
      </c>
      <c r="AD70" s="208" t="str">
        <f>[7]Dashboard!AD70</f>
        <v>.</v>
      </c>
      <c r="AE70" s="208" t="str">
        <f>[7]Dashboard!AE70</f>
        <v>.</v>
      </c>
      <c r="AF70" s="208" t="str">
        <f>[7]Dashboard!AF70</f>
        <v>.</v>
      </c>
      <c r="AG70" s="208" t="str">
        <f>[7]Dashboard!AG70</f>
        <v>.</v>
      </c>
      <c r="AH70" s="208" t="str">
        <f>[7]Dashboard!AH70</f>
        <v>.</v>
      </c>
      <c r="AI70" s="208" t="str">
        <f>[7]Dashboard!AI70</f>
        <v>.</v>
      </c>
      <c r="AJ70" s="208" t="str">
        <f>[7]Dashboard!AJ70</f>
        <v>.</v>
      </c>
      <c r="AK70" s="154" t="s">
        <v>897</v>
      </c>
      <c r="AL70" s="154" t="s">
        <v>901</v>
      </c>
      <c r="AM70" s="154" t="s">
        <v>573</v>
      </c>
      <c r="AN70" s="154" t="s">
        <v>581</v>
      </c>
      <c r="AO70" s="154" t="s">
        <v>589</v>
      </c>
    </row>
    <row r="71" spans="1:41" s="154" customFormat="1" ht="10.15" x14ac:dyDescent="0.2">
      <c r="A71" s="154" t="s">
        <v>84</v>
      </c>
      <c r="B71" s="154">
        <f>[7]Dashboard!B71</f>
        <v>40</v>
      </c>
      <c r="C71" s="154">
        <f>[7]Dashboard!C71</f>
        <v>35</v>
      </c>
      <c r="D71" s="154">
        <f>[7]Dashboard!D71</f>
        <v>35</v>
      </c>
      <c r="E71" s="154">
        <f>[7]Dashboard!E71</f>
        <v>40</v>
      </c>
      <c r="F71" s="154">
        <f>[7]Dashboard!F71</f>
        <v>38</v>
      </c>
      <c r="G71" s="154">
        <f>[7]Dashboard!G71</f>
        <v>35</v>
      </c>
      <c r="H71" s="154">
        <f>[7]Dashboard!H71</f>
        <v>34</v>
      </c>
      <c r="I71" s="154">
        <f>[7]Dashboard!I71</f>
        <v>40</v>
      </c>
      <c r="J71" s="154">
        <f>[7]Dashboard!J71</f>
        <v>43</v>
      </c>
      <c r="K71" s="154">
        <f>[7]Dashboard!K71</f>
        <v>47</v>
      </c>
      <c r="L71" s="154">
        <f>[7]Dashboard!L71</f>
        <v>73</v>
      </c>
      <c r="M71" s="154">
        <f>[7]Dashboard!M71</f>
        <v>67</v>
      </c>
      <c r="N71" s="154">
        <f>[7]Dashboard!N71</f>
        <v>73</v>
      </c>
      <c r="O71" s="154">
        <f>[7]Dashboard!O71</f>
        <v>81</v>
      </c>
      <c r="P71" s="154">
        <f>[7]Dashboard!P71</f>
        <v>83</v>
      </c>
      <c r="Q71" s="154">
        <f>[7]Dashboard!Q71</f>
        <v>2</v>
      </c>
      <c r="R71" s="154">
        <f>[7]Dashboard!R71</f>
        <v>2</v>
      </c>
      <c r="S71" s="154">
        <f>[7]Dashboard!S71</f>
        <v>2</v>
      </c>
      <c r="T71" s="154">
        <f>[7]Dashboard!T71</f>
        <v>2</v>
      </c>
      <c r="U71" s="154">
        <f>[7]Dashboard!U71</f>
        <v>2</v>
      </c>
      <c r="V71" s="208">
        <f>[7]Dashboard!V71</f>
        <v>20.9</v>
      </c>
      <c r="W71" s="208">
        <f>[7]Dashboard!W71</f>
        <v>20.9</v>
      </c>
      <c r="X71" s="208">
        <f>[7]Dashboard!X71</f>
        <v>18.899999999999999</v>
      </c>
      <c r="Y71" s="208">
        <f>[7]Dashboard!Y71</f>
        <v>17.899999999999999</v>
      </c>
      <c r="Z71" s="208">
        <f>[7]Dashboard!Z71</f>
        <v>15.9</v>
      </c>
      <c r="AA71" s="208" t="str">
        <f>[7]Dashboard!AA71</f>
        <v>.</v>
      </c>
      <c r="AB71" s="208" t="str">
        <f>[7]Dashboard!AB71</f>
        <v>.</v>
      </c>
      <c r="AC71" s="208" t="str">
        <f>[7]Dashboard!AC71</f>
        <v>.</v>
      </c>
      <c r="AD71" s="208" t="str">
        <f>[7]Dashboard!AD71</f>
        <v>.</v>
      </c>
      <c r="AE71" s="208" t="str">
        <f>[7]Dashboard!AE71</f>
        <v>.</v>
      </c>
      <c r="AF71" s="208">
        <f>[7]Dashboard!AF71</f>
        <v>7</v>
      </c>
      <c r="AG71" s="208">
        <f>[7]Dashboard!AG71</f>
        <v>8</v>
      </c>
      <c r="AH71" s="208">
        <f>[7]Dashboard!AH71</f>
        <v>9</v>
      </c>
      <c r="AI71" s="208">
        <f>[7]Dashboard!AI71</f>
        <v>15.7</v>
      </c>
      <c r="AJ71" s="208">
        <f>[7]Dashboard!AJ71</f>
        <v>16.2</v>
      </c>
      <c r="AK71" s="154" t="s">
        <v>898</v>
      </c>
      <c r="AL71" s="154" t="s">
        <v>902</v>
      </c>
      <c r="AM71" s="154" t="s">
        <v>574</v>
      </c>
      <c r="AN71" s="154" t="s">
        <v>582</v>
      </c>
      <c r="AO71" s="154" t="s">
        <v>590</v>
      </c>
    </row>
    <row r="72" spans="1:41" s="154" customFormat="1" ht="10.15" x14ac:dyDescent="0.2">
      <c r="A72" s="154" t="s">
        <v>103</v>
      </c>
      <c r="B72" s="154">
        <f>[7]Dashboard!B72</f>
        <v>44</v>
      </c>
      <c r="C72" s="154">
        <f>[7]Dashboard!C72</f>
        <v>46</v>
      </c>
      <c r="D72" s="154">
        <f>[7]Dashboard!D72</f>
        <v>42</v>
      </c>
      <c r="E72" s="154">
        <f>[7]Dashboard!E72</f>
        <v>46</v>
      </c>
      <c r="F72" s="154">
        <f>[7]Dashboard!F72</f>
        <v>45</v>
      </c>
      <c r="G72" s="154">
        <f>[7]Dashboard!G72</f>
        <v>67</v>
      </c>
      <c r="H72" s="154">
        <f>[7]Dashboard!H72</f>
        <v>71</v>
      </c>
      <c r="I72" s="154">
        <f>[7]Dashboard!I72</f>
        <v>74</v>
      </c>
      <c r="J72" s="154">
        <f>[7]Dashboard!J72</f>
        <v>77</v>
      </c>
      <c r="K72" s="154">
        <f>[7]Dashboard!K72</f>
        <v>72</v>
      </c>
      <c r="L72" s="154">
        <f>[7]Dashboard!L72</f>
        <v>108</v>
      </c>
      <c r="M72" s="154">
        <f>[7]Dashboard!M72</f>
        <v>114</v>
      </c>
      <c r="N72" s="154">
        <f>[7]Dashboard!N72</f>
        <v>113</v>
      </c>
      <c r="O72" s="154">
        <f>[7]Dashboard!O72</f>
        <v>121</v>
      </c>
      <c r="P72" s="154">
        <f>[7]Dashboard!P72</f>
        <v>116</v>
      </c>
      <c r="Q72" s="154">
        <f>[7]Dashboard!Q72</f>
        <v>3</v>
      </c>
      <c r="R72" s="154">
        <f>[7]Dashboard!R72</f>
        <v>3</v>
      </c>
      <c r="S72" s="154">
        <f>[7]Dashboard!S72</f>
        <v>3</v>
      </c>
      <c r="T72" s="154">
        <f>[7]Dashboard!T72</f>
        <v>2</v>
      </c>
      <c r="U72" s="154">
        <f>[7]Dashboard!U72</f>
        <v>1</v>
      </c>
      <c r="V72" s="208">
        <f>[7]Dashboard!V72</f>
        <v>31.090910000000001</v>
      </c>
      <c r="W72" s="208">
        <f>[7]Dashboard!W72</f>
        <v>32</v>
      </c>
      <c r="X72" s="208">
        <f>[7]Dashboard!X72</f>
        <v>30.9375</v>
      </c>
      <c r="Y72" s="208">
        <f>[7]Dashboard!Y72</f>
        <v>28</v>
      </c>
      <c r="Z72" s="208">
        <f>[7]Dashboard!Z72</f>
        <v>27.8</v>
      </c>
      <c r="AA72" s="208" t="str">
        <f>[7]Dashboard!AA72</f>
        <v>.</v>
      </c>
      <c r="AB72" s="208" t="str">
        <f>[7]Dashboard!AB72</f>
        <v>.</v>
      </c>
      <c r="AC72" s="208" t="str">
        <f>[7]Dashboard!AC72</f>
        <v>.</v>
      </c>
      <c r="AD72" s="208" t="str">
        <f>[7]Dashboard!AD72</f>
        <v>.</v>
      </c>
      <c r="AE72" s="208" t="str">
        <f>[7]Dashboard!AE72</f>
        <v>.</v>
      </c>
      <c r="AF72" s="208">
        <f>[7]Dashboard!AF72</f>
        <v>26.9</v>
      </c>
      <c r="AG72" s="208">
        <f>[7]Dashboard!AG72</f>
        <v>27.9</v>
      </c>
      <c r="AH72" s="208">
        <f>[7]Dashboard!AH72</f>
        <v>30.9</v>
      </c>
      <c r="AI72" s="208">
        <f>[7]Dashboard!AI72</f>
        <v>23.637</v>
      </c>
      <c r="AJ72" s="208">
        <f>[7]Dashboard!AJ72</f>
        <v>25.75</v>
      </c>
      <c r="AK72" s="154" t="s">
        <v>899</v>
      </c>
      <c r="AL72" s="154" t="s">
        <v>903</v>
      </c>
      <c r="AM72" s="154" t="s">
        <v>575</v>
      </c>
      <c r="AN72" s="154" t="s">
        <v>583</v>
      </c>
      <c r="AO72" s="154" t="s">
        <v>591</v>
      </c>
    </row>
    <row r="73" spans="1:41" s="154" customFormat="1" ht="10.15" x14ac:dyDescent="0.2">
      <c r="A73" s="154" t="s">
        <v>85</v>
      </c>
      <c r="B73" s="154">
        <f>[7]Dashboard!B73</f>
        <v>38</v>
      </c>
      <c r="C73" s="154">
        <f>[7]Dashboard!C73</f>
        <v>33</v>
      </c>
      <c r="D73" s="154">
        <f>[7]Dashboard!D73</f>
        <v>37</v>
      </c>
      <c r="E73" s="154">
        <f>[7]Dashboard!E73</f>
        <v>40</v>
      </c>
      <c r="F73" s="154">
        <f>[7]Dashboard!F73</f>
        <v>42</v>
      </c>
      <c r="G73" s="154">
        <f>[7]Dashboard!G73</f>
        <v>30</v>
      </c>
      <c r="H73" s="154">
        <f>[7]Dashboard!H73</f>
        <v>33</v>
      </c>
      <c r="I73" s="154">
        <f>[7]Dashboard!I73</f>
        <v>34</v>
      </c>
      <c r="J73" s="154">
        <f>[7]Dashboard!J73</f>
        <v>38</v>
      </c>
      <c r="K73" s="154">
        <f>[7]Dashboard!K73</f>
        <v>35</v>
      </c>
      <c r="L73" s="154">
        <f>[7]Dashboard!L73</f>
        <v>67</v>
      </c>
      <c r="M73" s="154">
        <f>[7]Dashboard!M73</f>
        <v>65</v>
      </c>
      <c r="N73" s="154">
        <f>[7]Dashboard!N73</f>
        <v>70</v>
      </c>
      <c r="O73" s="154">
        <f>[7]Dashboard!O73</f>
        <v>77</v>
      </c>
      <c r="P73" s="154">
        <f>[7]Dashboard!P73</f>
        <v>76</v>
      </c>
      <c r="Q73" s="154">
        <f>[7]Dashboard!Q73</f>
        <v>1</v>
      </c>
      <c r="R73" s="154">
        <f>[7]Dashboard!R73</f>
        <v>1</v>
      </c>
      <c r="S73" s="154">
        <f>[7]Dashboard!S73</f>
        <v>1</v>
      </c>
      <c r="T73" s="154">
        <f>[7]Dashboard!T73</f>
        <v>1</v>
      </c>
      <c r="U73" s="154">
        <f>[7]Dashboard!U73</f>
        <v>1</v>
      </c>
      <c r="V73" s="208">
        <f>[7]Dashboard!V73</f>
        <v>15.981820000000001</v>
      </c>
      <c r="W73" s="208">
        <f>[7]Dashboard!W73</f>
        <v>14.381819999999999</v>
      </c>
      <c r="X73" s="208">
        <f>[7]Dashboard!X73</f>
        <v>17</v>
      </c>
      <c r="Y73" s="208">
        <f>[7]Dashboard!Y73</f>
        <v>15.5</v>
      </c>
      <c r="Z73" s="208">
        <f>[7]Dashboard!Z73</f>
        <v>18</v>
      </c>
      <c r="AA73" s="208" t="str">
        <f>[7]Dashboard!AA73</f>
        <v>.</v>
      </c>
      <c r="AB73" s="208" t="str">
        <f>[7]Dashboard!AB73</f>
        <v>.</v>
      </c>
      <c r="AC73" s="208" t="str">
        <f>[7]Dashboard!AC73</f>
        <v>.</v>
      </c>
      <c r="AD73" s="208" t="str">
        <f>[7]Dashboard!AD73</f>
        <v>.</v>
      </c>
      <c r="AE73" s="208" t="str">
        <f>[7]Dashboard!AE73</f>
        <v>.</v>
      </c>
      <c r="AF73" s="208">
        <f>[7]Dashboard!AF73</f>
        <v>17.8</v>
      </c>
      <c r="AG73" s="208">
        <f>[7]Dashboard!AG73</f>
        <v>18.8</v>
      </c>
      <c r="AH73" s="208">
        <f>[7]Dashboard!AH73</f>
        <v>19.899999999999999</v>
      </c>
      <c r="AI73" s="208">
        <f>[7]Dashboard!AI73</f>
        <v>14.9</v>
      </c>
      <c r="AJ73" s="208">
        <f>[7]Dashboard!AJ73</f>
        <v>17.8</v>
      </c>
      <c r="AK73" s="154" t="s">
        <v>317</v>
      </c>
      <c r="AL73" s="154" t="s">
        <v>321</v>
      </c>
      <c r="AM73" s="154" t="s">
        <v>576</v>
      </c>
      <c r="AN73" s="154" t="s">
        <v>584</v>
      </c>
      <c r="AO73" s="154" t="s">
        <v>592</v>
      </c>
    </row>
    <row r="74" spans="1:41" s="154" customFormat="1" ht="12" customHeight="1" x14ac:dyDescent="0.2">
      <c r="A74" s="154" t="s">
        <v>86</v>
      </c>
      <c r="B74" s="154">
        <f>[7]Dashboard!B74</f>
        <v>76</v>
      </c>
      <c r="C74" s="154">
        <f>[7]Dashboard!C74</f>
        <v>76</v>
      </c>
      <c r="D74" s="154">
        <f>[7]Dashboard!D74</f>
        <v>74</v>
      </c>
      <c r="E74" s="154">
        <f>[7]Dashboard!E74</f>
        <v>73</v>
      </c>
      <c r="F74" s="154">
        <f>[7]Dashboard!F74</f>
        <v>73</v>
      </c>
      <c r="G74" s="154">
        <f>[7]Dashboard!G74</f>
        <v>73</v>
      </c>
      <c r="H74" s="154">
        <f>[7]Dashboard!H74</f>
        <v>73</v>
      </c>
      <c r="I74" s="154">
        <f>[7]Dashboard!I74</f>
        <v>83</v>
      </c>
      <c r="J74" s="154">
        <f>[7]Dashboard!J74</f>
        <v>84</v>
      </c>
      <c r="K74" s="154">
        <f>[7]Dashboard!K74</f>
        <v>86</v>
      </c>
      <c r="L74" s="154">
        <f>[7]Dashboard!L74</f>
        <v>149</v>
      </c>
      <c r="M74" s="154">
        <f>[7]Dashboard!M74</f>
        <v>149</v>
      </c>
      <c r="N74" s="154">
        <f>[7]Dashboard!N74</f>
        <v>157</v>
      </c>
      <c r="O74" s="154">
        <f>[7]Dashboard!O74</f>
        <v>157</v>
      </c>
      <c r="P74" s="154">
        <f>[7]Dashboard!P74</f>
        <v>159</v>
      </c>
      <c r="Q74" s="154">
        <f>[7]Dashboard!Q74</f>
        <v>0</v>
      </c>
      <c r="R74" s="154">
        <f>[7]Dashboard!R74</f>
        <v>0</v>
      </c>
      <c r="S74" s="154">
        <f>[7]Dashboard!S74</f>
        <v>0</v>
      </c>
      <c r="T74" s="154">
        <f>[7]Dashboard!T74</f>
        <v>0</v>
      </c>
      <c r="U74" s="154">
        <f>[7]Dashboard!U74</f>
        <v>0</v>
      </c>
      <c r="V74" s="208">
        <f>[7]Dashboard!V74</f>
        <v>16.75</v>
      </c>
      <c r="W74" s="208">
        <f>[7]Dashboard!W74</f>
        <v>17.75</v>
      </c>
      <c r="X74" s="208">
        <f>[7]Dashboard!X74</f>
        <v>17.75</v>
      </c>
      <c r="Y74" s="208">
        <f>[7]Dashboard!Y74</f>
        <v>18.75</v>
      </c>
      <c r="Z74" s="208">
        <f>[7]Dashboard!Z74</f>
        <v>17.100000000000001</v>
      </c>
      <c r="AA74" s="208" t="str">
        <f>[7]Dashboard!AA74</f>
        <v>.</v>
      </c>
      <c r="AB74" s="208" t="str">
        <f>[7]Dashboard!AB74</f>
        <v>.</v>
      </c>
      <c r="AC74" s="208" t="str">
        <f>[7]Dashboard!AC74</f>
        <v>.</v>
      </c>
      <c r="AD74" s="208" t="str">
        <f>[7]Dashboard!AD74</f>
        <v>.</v>
      </c>
      <c r="AE74" s="208" t="str">
        <f>[7]Dashboard!AE74</f>
        <v>.</v>
      </c>
      <c r="AF74" s="208">
        <f>[7]Dashboard!AF74</f>
        <v>13</v>
      </c>
      <c r="AG74" s="208">
        <f>[7]Dashboard!AG74</f>
        <v>16</v>
      </c>
      <c r="AH74" s="208">
        <f>[7]Dashboard!AH74</f>
        <v>16</v>
      </c>
      <c r="AI74" s="208">
        <f>[7]Dashboard!AI74</f>
        <v>16.899999999999999</v>
      </c>
      <c r="AJ74" s="208">
        <f>[7]Dashboard!AJ74</f>
        <v>16.7</v>
      </c>
      <c r="AK74" s="154" t="s">
        <v>319</v>
      </c>
      <c r="AL74" s="154" t="s">
        <v>322</v>
      </c>
      <c r="AM74" s="154" t="s">
        <v>577</v>
      </c>
      <c r="AN74" s="154" t="s">
        <v>585</v>
      </c>
      <c r="AO74" s="154" t="s">
        <v>593</v>
      </c>
    </row>
    <row r="75" spans="1:41" s="154" customFormat="1" x14ac:dyDescent="0.2">
      <c r="A75" s="154" t="s">
        <v>87</v>
      </c>
      <c r="B75" s="154">
        <f>[7]Dashboard!B75</f>
        <v>79</v>
      </c>
      <c r="C75" s="154">
        <f>[7]Dashboard!C75</f>
        <v>76</v>
      </c>
      <c r="D75" s="154">
        <f>[7]Dashboard!D75</f>
        <v>76</v>
      </c>
      <c r="E75" s="154">
        <f>[7]Dashboard!E75</f>
        <v>74</v>
      </c>
      <c r="F75" s="154">
        <f>[7]Dashboard!F75</f>
        <v>71</v>
      </c>
      <c r="G75" s="154">
        <f>[7]Dashboard!G75</f>
        <v>91</v>
      </c>
      <c r="H75" s="154">
        <f>[7]Dashboard!H75</f>
        <v>94</v>
      </c>
      <c r="I75" s="154">
        <f>[7]Dashboard!I75</f>
        <v>98</v>
      </c>
      <c r="J75" s="154">
        <f>[7]Dashboard!J75</f>
        <v>104</v>
      </c>
      <c r="K75" s="154">
        <f>[7]Dashboard!K75</f>
        <v>114</v>
      </c>
      <c r="L75" s="154">
        <f>[7]Dashboard!L75</f>
        <v>170</v>
      </c>
      <c r="M75" s="154">
        <f>[7]Dashboard!M75</f>
        <v>170</v>
      </c>
      <c r="N75" s="154">
        <f>[7]Dashboard!N75</f>
        <v>174</v>
      </c>
      <c r="O75" s="154">
        <f>[7]Dashboard!O75</f>
        <v>178</v>
      </c>
      <c r="P75" s="154">
        <f>[7]Dashboard!P75</f>
        <v>185</v>
      </c>
      <c r="Q75" s="154">
        <f>[7]Dashboard!Q75</f>
        <v>0</v>
      </c>
      <c r="R75" s="154">
        <f>[7]Dashboard!R75</f>
        <v>0</v>
      </c>
      <c r="S75" s="154">
        <f>[7]Dashboard!S75</f>
        <v>0</v>
      </c>
      <c r="T75" s="154">
        <f>[7]Dashboard!T75</f>
        <v>0</v>
      </c>
      <c r="U75" s="154">
        <f>[7]Dashboard!U75</f>
        <v>0</v>
      </c>
      <c r="V75" s="208">
        <f>[7]Dashboard!V75</f>
        <v>25.5</v>
      </c>
      <c r="W75" s="208">
        <f>[7]Dashboard!W75</f>
        <v>25.6</v>
      </c>
      <c r="X75" s="208">
        <f>[7]Dashboard!X75</f>
        <v>24.4</v>
      </c>
      <c r="Y75" s="208">
        <f>[7]Dashboard!Y75</f>
        <v>22.3</v>
      </c>
      <c r="Z75" s="208">
        <f>[7]Dashboard!Z75</f>
        <v>24.1</v>
      </c>
      <c r="AA75" s="208" t="str">
        <f>[7]Dashboard!AA75</f>
        <v>.</v>
      </c>
      <c r="AB75" s="208" t="str">
        <f>[7]Dashboard!AB75</f>
        <v>.</v>
      </c>
      <c r="AC75" s="208" t="str">
        <f>[7]Dashboard!AC75</f>
        <v>.</v>
      </c>
      <c r="AD75" s="208" t="str">
        <f>[7]Dashboard!AD75</f>
        <v>.</v>
      </c>
      <c r="AE75" s="208" t="str">
        <f>[7]Dashboard!AE75</f>
        <v>.</v>
      </c>
      <c r="AF75" s="208">
        <f>[7]Dashboard!AF75</f>
        <v>19.100000000000001</v>
      </c>
      <c r="AG75" s="208">
        <f>[7]Dashboard!AG75</f>
        <v>20.8</v>
      </c>
      <c r="AH75" s="208">
        <f>[7]Dashboard!AH75</f>
        <v>21</v>
      </c>
      <c r="AI75" s="208">
        <f>[7]Dashboard!AI75</f>
        <v>19.899999999999999</v>
      </c>
      <c r="AJ75" s="208">
        <f>[7]Dashboard!AJ75</f>
        <v>21.9</v>
      </c>
      <c r="AK75" s="154" t="s">
        <v>900</v>
      </c>
      <c r="AL75" s="154" t="s">
        <v>904</v>
      </c>
      <c r="AM75" s="154" t="s">
        <v>578</v>
      </c>
      <c r="AN75" s="154" t="s">
        <v>586</v>
      </c>
      <c r="AO75" s="154" t="s">
        <v>594</v>
      </c>
    </row>
    <row r="76" spans="1:41" s="154" customFormat="1" x14ac:dyDescent="0.2">
      <c r="A76" s="154" t="s">
        <v>88</v>
      </c>
      <c r="B76" s="154">
        <f>[7]Dashboard!B76</f>
        <v>414</v>
      </c>
      <c r="C76" s="154">
        <f>[7]Dashboard!C76</f>
        <v>386</v>
      </c>
      <c r="D76" s="154">
        <f>[7]Dashboard!D76</f>
        <v>369</v>
      </c>
      <c r="E76" s="154">
        <f>[7]Dashboard!E76</f>
        <v>385</v>
      </c>
      <c r="F76" s="154">
        <f>[7]Dashboard!F76</f>
        <v>378</v>
      </c>
      <c r="G76" s="154">
        <f>[7]Dashboard!G76</f>
        <v>395</v>
      </c>
      <c r="H76" s="154">
        <f>[7]Dashboard!H76</f>
        <v>395</v>
      </c>
      <c r="I76" s="154">
        <f>[7]Dashboard!I76</f>
        <v>407</v>
      </c>
      <c r="J76" s="154">
        <f>[7]Dashboard!J76</f>
        <v>433</v>
      </c>
      <c r="K76" s="154">
        <f>[7]Dashboard!K76</f>
        <v>441</v>
      </c>
      <c r="L76" s="154">
        <f>[7]Dashboard!L76</f>
        <v>795</v>
      </c>
      <c r="M76" s="154">
        <f>[7]Dashboard!M76</f>
        <v>773</v>
      </c>
      <c r="N76" s="154">
        <f>[7]Dashboard!N76</f>
        <v>769</v>
      </c>
      <c r="O76" s="154">
        <f>[7]Dashboard!O76</f>
        <v>811</v>
      </c>
      <c r="P76" s="154">
        <f>[7]Dashboard!P76</f>
        <v>813</v>
      </c>
      <c r="Q76" s="154">
        <f>[7]Dashboard!Q76</f>
        <v>14</v>
      </c>
      <c r="R76" s="154">
        <f>[7]Dashboard!R76</f>
        <v>8</v>
      </c>
      <c r="S76" s="154">
        <f>[7]Dashboard!S76</f>
        <v>7</v>
      </c>
      <c r="T76" s="154">
        <f>[7]Dashboard!T76</f>
        <v>7</v>
      </c>
      <c r="U76" s="154">
        <f>[7]Dashboard!U76</f>
        <v>6</v>
      </c>
      <c r="V76" s="208">
        <f>[7]Dashboard!V76</f>
        <v>143.61364</v>
      </c>
      <c r="W76" s="208">
        <f>[7]Dashboard!W76</f>
        <v>143.62272999999999</v>
      </c>
      <c r="X76" s="208">
        <f>[7]Dashboard!X76</f>
        <v>143.02841000000001</v>
      </c>
      <c r="Y76" s="208">
        <f>[7]Dashboard!Y76</f>
        <v>134.14090999999999</v>
      </c>
      <c r="Z76" s="208">
        <f>[7]Dashboard!Z76</f>
        <v>137.69091</v>
      </c>
      <c r="AA76" s="208">
        <f>[7]Dashboard!AA76</f>
        <v>1.3</v>
      </c>
      <c r="AB76" s="208">
        <f>[7]Dashboard!AB76</f>
        <v>0.3</v>
      </c>
      <c r="AC76" s="208">
        <f>[7]Dashboard!AC76</f>
        <v>0.3</v>
      </c>
      <c r="AD76" s="208">
        <f>[7]Dashboard!AD76</f>
        <v>1.7</v>
      </c>
      <c r="AE76" s="208">
        <f>[7]Dashboard!AE76</f>
        <v>1.9</v>
      </c>
      <c r="AF76" s="208">
        <f>[7]Dashboard!AF76</f>
        <v>109.89091000000001</v>
      </c>
      <c r="AG76" s="208">
        <f>[7]Dashboard!AG76</f>
        <v>117.59090999999999</v>
      </c>
      <c r="AH76" s="208">
        <f>[7]Dashboard!AH76</f>
        <v>122.8</v>
      </c>
      <c r="AI76" s="208">
        <f>[7]Dashboard!AI76</f>
        <v>127.437</v>
      </c>
      <c r="AJ76" s="208">
        <f>[7]Dashboard!AJ76</f>
        <v>133.55000000000001</v>
      </c>
      <c r="AK76" s="154" t="s">
        <v>318</v>
      </c>
      <c r="AL76" s="154" t="s">
        <v>323</v>
      </c>
      <c r="AM76" s="154" t="s">
        <v>579</v>
      </c>
      <c r="AN76" s="154" t="s">
        <v>587</v>
      </c>
      <c r="AO76" s="154" t="s">
        <v>905</v>
      </c>
    </row>
    <row r="77" spans="1:41" s="36" customFormat="1" x14ac:dyDescent="0.2">
      <c r="AJ77" s="64"/>
    </row>
    <row r="78" spans="1:41" s="176" customFormat="1" ht="23.25" customHeight="1" x14ac:dyDescent="0.2">
      <c r="A78" s="177" t="s">
        <v>197</v>
      </c>
      <c r="B78" s="473" t="s">
        <v>198</v>
      </c>
      <c r="C78" s="473"/>
      <c r="D78" s="473"/>
      <c r="E78" s="473" t="s">
        <v>199</v>
      </c>
      <c r="F78" s="473"/>
      <c r="G78" s="473"/>
      <c r="H78" s="473" t="s">
        <v>203</v>
      </c>
      <c r="I78" s="473"/>
      <c r="J78" s="473"/>
      <c r="K78" s="473" t="s">
        <v>266</v>
      </c>
      <c r="L78" s="473"/>
      <c r="M78" s="473"/>
      <c r="N78" s="473" t="s">
        <v>276</v>
      </c>
      <c r="O78" s="473"/>
      <c r="P78" s="473"/>
      <c r="Q78" s="473" t="s">
        <v>277</v>
      </c>
      <c r="R78" s="473"/>
      <c r="S78" s="473"/>
      <c r="T78" s="473" t="s">
        <v>278</v>
      </c>
      <c r="U78" s="473"/>
      <c r="V78" s="473"/>
      <c r="W78" s="473" t="s">
        <v>279</v>
      </c>
      <c r="X78" s="473"/>
      <c r="Y78" s="473"/>
      <c r="Z78" s="473" t="s">
        <v>280</v>
      </c>
      <c r="AA78" s="473"/>
      <c r="AB78" s="473"/>
      <c r="AC78" s="473" t="s">
        <v>281</v>
      </c>
      <c r="AD78" s="473"/>
      <c r="AE78" s="473"/>
    </row>
    <row r="79" spans="1:41" s="176" customFormat="1" x14ac:dyDescent="0.2">
      <c r="B79" s="178" t="s">
        <v>200</v>
      </c>
      <c r="C79" s="178" t="s">
        <v>201</v>
      </c>
      <c r="D79" s="178" t="s">
        <v>202</v>
      </c>
      <c r="E79" s="178" t="s">
        <v>200</v>
      </c>
      <c r="F79" s="178" t="s">
        <v>201</v>
      </c>
      <c r="G79" s="178" t="s">
        <v>202</v>
      </c>
      <c r="H79" s="178" t="s">
        <v>200</v>
      </c>
      <c r="I79" s="178" t="s">
        <v>201</v>
      </c>
      <c r="J79" s="178" t="s">
        <v>202</v>
      </c>
      <c r="K79" s="178" t="s">
        <v>200</v>
      </c>
      <c r="L79" s="178" t="s">
        <v>201</v>
      </c>
      <c r="M79" s="178" t="s">
        <v>202</v>
      </c>
      <c r="N79" s="178" t="s">
        <v>200</v>
      </c>
      <c r="O79" s="178" t="s">
        <v>201</v>
      </c>
      <c r="P79" s="178" t="s">
        <v>202</v>
      </c>
      <c r="Q79" s="178" t="s">
        <v>200</v>
      </c>
      <c r="R79" s="178" t="s">
        <v>201</v>
      </c>
      <c r="S79" s="178" t="s">
        <v>202</v>
      </c>
      <c r="T79" s="178" t="s">
        <v>200</v>
      </c>
      <c r="U79" s="178" t="s">
        <v>201</v>
      </c>
      <c r="V79" s="178" t="s">
        <v>202</v>
      </c>
      <c r="W79" s="178" t="s">
        <v>200</v>
      </c>
      <c r="X79" s="178" t="s">
        <v>201</v>
      </c>
      <c r="Y79" s="178" t="s">
        <v>202</v>
      </c>
      <c r="Z79" s="178" t="s">
        <v>200</v>
      </c>
      <c r="AA79" s="178" t="s">
        <v>201</v>
      </c>
      <c r="AB79" s="178" t="s">
        <v>202</v>
      </c>
      <c r="AC79" s="178" t="s">
        <v>200</v>
      </c>
      <c r="AD79" s="178" t="s">
        <v>201</v>
      </c>
      <c r="AE79" s="178" t="s">
        <v>202</v>
      </c>
    </row>
    <row r="80" spans="1:41" s="176" customFormat="1" x14ac:dyDescent="0.2">
      <c r="A80" s="176" t="s">
        <v>82</v>
      </c>
      <c r="B80" s="176">
        <f>[7]Dashboard!B80</f>
        <v>81</v>
      </c>
      <c r="C80" s="176">
        <f>[7]Dashboard!C80</f>
        <v>690</v>
      </c>
      <c r="D80" s="176">
        <f>[7]Dashboard!D80</f>
        <v>2074</v>
      </c>
      <c r="E80" s="176">
        <f>[7]Dashboard!E80</f>
        <v>27</v>
      </c>
      <c r="F80" s="176">
        <f>[7]Dashboard!F80</f>
        <v>372</v>
      </c>
      <c r="G80" s="176">
        <f>[7]Dashboard!G80</f>
        <v>1272</v>
      </c>
      <c r="H80" s="176">
        <f>[7]Dashboard!H80</f>
        <v>9</v>
      </c>
      <c r="I80" s="176">
        <f>[7]Dashboard!I80</f>
        <v>37</v>
      </c>
      <c r="J80" s="176">
        <f>[7]Dashboard!J80</f>
        <v>275</v>
      </c>
      <c r="K80" s="176">
        <f>[7]Dashboard!K80</f>
        <v>8</v>
      </c>
      <c r="L80" s="176">
        <f>[7]Dashboard!L80</f>
        <v>35</v>
      </c>
      <c r="M80" s="176">
        <f>[7]Dashboard!M80</f>
        <v>184</v>
      </c>
      <c r="N80" s="176">
        <f>[7]Dashboard!N80</f>
        <v>25</v>
      </c>
      <c r="O80" s="176">
        <f>[7]Dashboard!O80</f>
        <v>367</v>
      </c>
      <c r="P80" s="176">
        <f>[7]Dashboard!P80</f>
        <v>993</v>
      </c>
      <c r="Q80" s="176">
        <f>[7]Dashboard!Q80</f>
        <v>0</v>
      </c>
      <c r="R80" s="176">
        <f>[7]Dashboard!R80</f>
        <v>0</v>
      </c>
      <c r="S80" s="176">
        <f>[7]Dashboard!S80</f>
        <v>3</v>
      </c>
      <c r="T80" s="176">
        <f>[7]Dashboard!T80</f>
        <v>1</v>
      </c>
      <c r="U80" s="176">
        <f>[7]Dashboard!U80</f>
        <v>2</v>
      </c>
      <c r="V80" s="176">
        <f>[7]Dashboard!V80</f>
        <v>88</v>
      </c>
      <c r="W80" s="176">
        <f>[7]Dashboard!W80</f>
        <v>56</v>
      </c>
      <c r="X80" s="176">
        <f>[7]Dashboard!X80</f>
        <v>323</v>
      </c>
      <c r="Y80" s="176">
        <f>[7]Dashboard!Y80</f>
        <v>1081</v>
      </c>
      <c r="Z80" s="176">
        <f>[7]Dashboard!Z80</f>
        <v>0</v>
      </c>
      <c r="AA80" s="176">
        <f>[7]Dashboard!AA80</f>
        <v>120</v>
      </c>
      <c r="AB80" s="176">
        <f>[7]Dashboard!AB80</f>
        <v>80</v>
      </c>
      <c r="AC80" s="176">
        <f>[7]Dashboard!AC80</f>
        <v>27</v>
      </c>
      <c r="AD80" s="176">
        <f>[7]Dashboard!AD80</f>
        <v>252</v>
      </c>
      <c r="AE80" s="176">
        <f>[7]Dashboard!AE80</f>
        <v>1192</v>
      </c>
      <c r="AF80" s="176" t="s">
        <v>231</v>
      </c>
      <c r="AG80" s="176">
        <f>SUM(B80:J80)</f>
        <v>4837</v>
      </c>
    </row>
    <row r="81" spans="1:66" s="176" customFormat="1" x14ac:dyDescent="0.2">
      <c r="A81" s="176" t="s">
        <v>83</v>
      </c>
      <c r="B81" s="176">
        <f>[7]Dashboard!B81</f>
        <v>4</v>
      </c>
      <c r="C81" s="176">
        <f>[7]Dashboard!C81</f>
        <v>144</v>
      </c>
      <c r="D81" s="176">
        <f>[7]Dashboard!D81</f>
        <v>504</v>
      </c>
      <c r="E81" s="176">
        <f>[7]Dashboard!E81</f>
        <v>0</v>
      </c>
      <c r="F81" s="176">
        <f>[7]Dashboard!F81</f>
        <v>197</v>
      </c>
      <c r="G81" s="176">
        <f>[7]Dashboard!G81</f>
        <v>1202</v>
      </c>
      <c r="H81" s="176">
        <f>[7]Dashboard!H81</f>
        <v>0</v>
      </c>
      <c r="I81" s="176">
        <f>[7]Dashboard!I81</f>
        <v>5</v>
      </c>
      <c r="J81" s="176">
        <f>[7]Dashboard!J81</f>
        <v>75</v>
      </c>
      <c r="K81" s="176">
        <f>[7]Dashboard!K81</f>
        <v>0</v>
      </c>
      <c r="L81" s="176">
        <f>[7]Dashboard!L81</f>
        <v>4</v>
      </c>
      <c r="M81" s="176">
        <f>[7]Dashboard!M81</f>
        <v>64</v>
      </c>
      <c r="N81" s="176">
        <f>[7]Dashboard!N81</f>
        <v>1</v>
      </c>
      <c r="O81" s="176">
        <f>[7]Dashboard!O81</f>
        <v>81</v>
      </c>
      <c r="P81" s="176">
        <f>[7]Dashboard!P81</f>
        <v>305</v>
      </c>
      <c r="Q81" s="176">
        <f>[7]Dashboard!Q81</f>
        <v>0</v>
      </c>
      <c r="R81" s="176">
        <f>[7]Dashboard!R81</f>
        <v>0</v>
      </c>
      <c r="S81" s="176">
        <f>[7]Dashboard!S81</f>
        <v>2</v>
      </c>
      <c r="T81" s="176">
        <f>[7]Dashboard!T81</f>
        <v>0</v>
      </c>
      <c r="U81" s="176">
        <f>[7]Dashboard!U81</f>
        <v>1</v>
      </c>
      <c r="V81" s="176">
        <f>[7]Dashboard!V81</f>
        <v>9</v>
      </c>
      <c r="W81" s="176">
        <f>[7]Dashboard!W81</f>
        <v>3</v>
      </c>
      <c r="X81" s="176">
        <f>[7]Dashboard!X81</f>
        <v>63</v>
      </c>
      <c r="Y81" s="176">
        <f>[7]Dashboard!Y81</f>
        <v>199</v>
      </c>
      <c r="Z81" s="176">
        <f>[7]Dashboard!Z81</f>
        <v>0</v>
      </c>
      <c r="AA81" s="176">
        <f>[7]Dashboard!AA81</f>
        <v>59</v>
      </c>
      <c r="AB81" s="176">
        <f>[7]Dashboard!AB81</f>
        <v>39</v>
      </c>
      <c r="AC81" s="176">
        <f>[7]Dashboard!AC81</f>
        <v>0</v>
      </c>
      <c r="AD81" s="176">
        <f>[7]Dashboard!AD81</f>
        <v>138</v>
      </c>
      <c r="AE81" s="176">
        <f>[7]Dashboard!AE81</f>
        <v>1163</v>
      </c>
      <c r="AF81" s="176" t="s">
        <v>232</v>
      </c>
      <c r="AG81" s="176">
        <f t="shared" ref="AG81:AG86" si="15">SUM(B81:J81)</f>
        <v>2131</v>
      </c>
    </row>
    <row r="82" spans="1:66" s="176" customFormat="1" x14ac:dyDescent="0.2">
      <c r="A82" s="176" t="s">
        <v>84</v>
      </c>
      <c r="B82" s="176">
        <f>[7]Dashboard!B82</f>
        <v>49</v>
      </c>
      <c r="C82" s="176">
        <f>[7]Dashboard!C82</f>
        <v>468</v>
      </c>
      <c r="D82" s="176">
        <f>[7]Dashboard!D82</f>
        <v>1237</v>
      </c>
      <c r="E82" s="176">
        <f>[7]Dashboard!E82</f>
        <v>29</v>
      </c>
      <c r="F82" s="176">
        <f>[7]Dashboard!F82</f>
        <v>455</v>
      </c>
      <c r="G82" s="176">
        <f>[7]Dashboard!G82</f>
        <v>1892</v>
      </c>
      <c r="H82" s="176">
        <f>[7]Dashboard!H82</f>
        <v>1</v>
      </c>
      <c r="I82" s="176">
        <f>[7]Dashboard!I82</f>
        <v>26</v>
      </c>
      <c r="J82" s="176">
        <f>[7]Dashboard!J82</f>
        <v>191</v>
      </c>
      <c r="K82" s="176">
        <f>[7]Dashboard!K82</f>
        <v>0</v>
      </c>
      <c r="L82" s="176">
        <f>[7]Dashboard!L82</f>
        <v>12</v>
      </c>
      <c r="M82" s="176">
        <f>[7]Dashboard!M82</f>
        <v>71</v>
      </c>
      <c r="N82" s="176">
        <f>[7]Dashboard!N82</f>
        <v>22</v>
      </c>
      <c r="O82" s="176">
        <f>[7]Dashboard!O82</f>
        <v>229</v>
      </c>
      <c r="P82" s="176">
        <f>[7]Dashboard!P82</f>
        <v>541</v>
      </c>
      <c r="Q82" s="176">
        <f>[7]Dashboard!Q82</f>
        <v>0</v>
      </c>
      <c r="R82" s="176">
        <f>[7]Dashboard!R82</f>
        <v>2</v>
      </c>
      <c r="S82" s="176">
        <f>[7]Dashboard!S82</f>
        <v>2</v>
      </c>
      <c r="T82" s="176">
        <f>[7]Dashboard!T82</f>
        <v>1</v>
      </c>
      <c r="U82" s="176">
        <f>[7]Dashboard!U82</f>
        <v>12</v>
      </c>
      <c r="V82" s="176">
        <f>[7]Dashboard!V82</f>
        <v>118</v>
      </c>
      <c r="W82" s="176">
        <f>[7]Dashboard!W82</f>
        <v>27</v>
      </c>
      <c r="X82" s="176">
        <f>[7]Dashboard!X82</f>
        <v>239</v>
      </c>
      <c r="Y82" s="176">
        <f>[7]Dashboard!Y82</f>
        <v>696</v>
      </c>
      <c r="Z82" s="176">
        <f>[7]Dashboard!Z82</f>
        <v>11</v>
      </c>
      <c r="AA82" s="176">
        <f>[7]Dashboard!AA82</f>
        <v>144</v>
      </c>
      <c r="AB82" s="176">
        <f>[7]Dashboard!AB82</f>
        <v>100</v>
      </c>
      <c r="AC82" s="176">
        <f>[7]Dashboard!AC82</f>
        <v>18</v>
      </c>
      <c r="AD82" s="176">
        <f>[7]Dashboard!AD82</f>
        <v>311</v>
      </c>
      <c r="AE82" s="176">
        <f>[7]Dashboard!AE82</f>
        <v>1792</v>
      </c>
      <c r="AF82" s="176" t="s">
        <v>233</v>
      </c>
      <c r="AG82" s="176">
        <f t="shared" si="15"/>
        <v>4348</v>
      </c>
    </row>
    <row r="83" spans="1:66" s="176" customFormat="1" x14ac:dyDescent="0.2">
      <c r="A83" s="176" t="s">
        <v>103</v>
      </c>
      <c r="B83" s="176">
        <f>[7]Dashboard!B83</f>
        <v>104</v>
      </c>
      <c r="C83" s="176">
        <f>[7]Dashboard!C83</f>
        <v>794</v>
      </c>
      <c r="D83" s="176">
        <f>[7]Dashboard!D83</f>
        <v>2075</v>
      </c>
      <c r="E83" s="176">
        <f>[7]Dashboard!E83</f>
        <v>32</v>
      </c>
      <c r="F83" s="176">
        <f>[7]Dashboard!F83</f>
        <v>634</v>
      </c>
      <c r="G83" s="176">
        <f>[7]Dashboard!G83</f>
        <v>2430</v>
      </c>
      <c r="H83" s="176">
        <f>[7]Dashboard!H83</f>
        <v>0</v>
      </c>
      <c r="I83" s="176">
        <f>[7]Dashboard!I83</f>
        <v>48</v>
      </c>
      <c r="J83" s="176">
        <f>[7]Dashboard!J83</f>
        <v>439</v>
      </c>
      <c r="K83" s="176">
        <f>[7]Dashboard!K83</f>
        <v>0</v>
      </c>
      <c r="L83" s="176">
        <f>[7]Dashboard!L83</f>
        <v>32</v>
      </c>
      <c r="M83" s="176">
        <f>[7]Dashboard!M83</f>
        <v>201</v>
      </c>
      <c r="N83" s="176">
        <f>[7]Dashboard!N83</f>
        <v>39</v>
      </c>
      <c r="O83" s="176">
        <f>[7]Dashboard!O83</f>
        <v>391</v>
      </c>
      <c r="P83" s="176">
        <f>[7]Dashboard!P83</f>
        <v>1047</v>
      </c>
      <c r="Q83" s="176">
        <f>[7]Dashboard!Q83</f>
        <v>0</v>
      </c>
      <c r="R83" s="176">
        <f>[7]Dashboard!R83</f>
        <v>4</v>
      </c>
      <c r="S83" s="176">
        <f>[7]Dashboard!S83</f>
        <v>28</v>
      </c>
      <c r="T83" s="176">
        <f>[7]Dashboard!T83</f>
        <v>0</v>
      </c>
      <c r="U83" s="176">
        <f>[7]Dashboard!U83</f>
        <v>12</v>
      </c>
      <c r="V83" s="176">
        <f>[7]Dashboard!V83</f>
        <v>210</v>
      </c>
      <c r="W83" s="176">
        <f>[7]Dashboard!W83</f>
        <v>65</v>
      </c>
      <c r="X83" s="176">
        <f>[7]Dashboard!X83</f>
        <v>403</v>
      </c>
      <c r="Y83" s="176">
        <f>[7]Dashboard!Y83</f>
        <v>1028</v>
      </c>
      <c r="Z83" s="176">
        <f>[7]Dashboard!Z83</f>
        <v>15</v>
      </c>
      <c r="AA83" s="176">
        <f>[7]Dashboard!AA83</f>
        <v>268</v>
      </c>
      <c r="AB83" s="176">
        <f>[7]Dashboard!AB83</f>
        <v>458</v>
      </c>
      <c r="AC83" s="176">
        <f>[7]Dashboard!AC83</f>
        <v>17</v>
      </c>
      <c r="AD83" s="176">
        <f>[7]Dashboard!AD83</f>
        <v>366</v>
      </c>
      <c r="AE83" s="176">
        <f>[7]Dashboard!AE83</f>
        <v>1972</v>
      </c>
      <c r="AF83" s="176" t="s">
        <v>626</v>
      </c>
      <c r="AG83" s="176">
        <f t="shared" si="15"/>
        <v>6556</v>
      </c>
    </row>
    <row r="84" spans="1:66" s="176" customFormat="1" x14ac:dyDescent="0.2">
      <c r="A84" s="176" t="s">
        <v>85</v>
      </c>
      <c r="B84" s="176">
        <f>[7]Dashboard!B84</f>
        <v>49</v>
      </c>
      <c r="C84" s="176">
        <f>[7]Dashboard!C84</f>
        <v>645</v>
      </c>
      <c r="D84" s="176">
        <f>[7]Dashboard!D84</f>
        <v>1472</v>
      </c>
      <c r="E84" s="176">
        <f>[7]Dashboard!E84</f>
        <v>45</v>
      </c>
      <c r="F84" s="176">
        <f>[7]Dashboard!F84</f>
        <v>485</v>
      </c>
      <c r="G84" s="176">
        <f>[7]Dashboard!G84</f>
        <v>1303</v>
      </c>
      <c r="H84" s="176">
        <f>[7]Dashboard!H84</f>
        <v>1</v>
      </c>
      <c r="I84" s="176">
        <f>[7]Dashboard!I84</f>
        <v>33</v>
      </c>
      <c r="J84" s="176">
        <f>[7]Dashboard!J84</f>
        <v>125</v>
      </c>
      <c r="K84" s="176">
        <f>[7]Dashboard!K84</f>
        <v>0</v>
      </c>
      <c r="L84" s="176">
        <f>[7]Dashboard!L84</f>
        <v>21</v>
      </c>
      <c r="M84" s="176">
        <f>[7]Dashboard!M84</f>
        <v>68</v>
      </c>
      <c r="N84" s="176">
        <f>[7]Dashboard!N84</f>
        <v>21</v>
      </c>
      <c r="O84" s="176">
        <f>[7]Dashboard!O84</f>
        <v>334</v>
      </c>
      <c r="P84" s="176">
        <f>[7]Dashboard!P84</f>
        <v>762</v>
      </c>
      <c r="Q84" s="176">
        <f>[7]Dashboard!Q84</f>
        <v>0</v>
      </c>
      <c r="R84" s="176">
        <f>[7]Dashboard!R84</f>
        <v>3</v>
      </c>
      <c r="S84" s="176">
        <f>[7]Dashboard!S84</f>
        <v>1</v>
      </c>
      <c r="T84" s="176">
        <f>[7]Dashboard!T84</f>
        <v>1</v>
      </c>
      <c r="U84" s="176">
        <f>[7]Dashboard!U84</f>
        <v>9</v>
      </c>
      <c r="V84" s="176">
        <f>[7]Dashboard!V84</f>
        <v>56</v>
      </c>
      <c r="W84" s="176">
        <f>[7]Dashboard!W84</f>
        <v>28</v>
      </c>
      <c r="X84" s="176">
        <f>[7]Dashboard!X84</f>
        <v>311</v>
      </c>
      <c r="Y84" s="176">
        <f>[7]Dashboard!Y84</f>
        <v>710</v>
      </c>
      <c r="Z84" s="176">
        <f>[7]Dashboard!Z84</f>
        <v>34</v>
      </c>
      <c r="AA84" s="176">
        <f>[7]Dashboard!AA84</f>
        <v>205</v>
      </c>
      <c r="AB84" s="176">
        <f>[7]Dashboard!AB84</f>
        <v>85</v>
      </c>
      <c r="AC84" s="176">
        <f>[7]Dashboard!AC84</f>
        <v>11</v>
      </c>
      <c r="AD84" s="176">
        <f>[7]Dashboard!AD84</f>
        <v>280</v>
      </c>
      <c r="AE84" s="176">
        <f>[7]Dashboard!AE84</f>
        <v>1218</v>
      </c>
      <c r="AF84" s="176" t="s">
        <v>234</v>
      </c>
      <c r="AG84" s="176">
        <f t="shared" si="15"/>
        <v>4158</v>
      </c>
    </row>
    <row r="85" spans="1:66" s="176" customFormat="1" x14ac:dyDescent="0.2">
      <c r="A85" s="176" t="s">
        <v>86</v>
      </c>
      <c r="B85" s="176">
        <f>[7]Dashboard!B85</f>
        <v>89</v>
      </c>
      <c r="C85" s="176">
        <f>[7]Dashboard!C85</f>
        <v>922</v>
      </c>
      <c r="D85" s="176">
        <f>[7]Dashboard!D85</f>
        <v>1977</v>
      </c>
      <c r="E85" s="176">
        <f>[7]Dashboard!E85</f>
        <v>15</v>
      </c>
      <c r="F85" s="176">
        <f>[7]Dashboard!F85</f>
        <v>627</v>
      </c>
      <c r="G85" s="176">
        <f>[7]Dashboard!G85</f>
        <v>1236</v>
      </c>
      <c r="H85" s="176">
        <f>[7]Dashboard!H85</f>
        <v>1</v>
      </c>
      <c r="I85" s="176">
        <f>[7]Dashboard!I85</f>
        <v>26</v>
      </c>
      <c r="J85" s="176">
        <f>[7]Dashboard!J85</f>
        <v>120</v>
      </c>
      <c r="K85" s="176">
        <f>[7]Dashboard!K85</f>
        <v>0</v>
      </c>
      <c r="L85" s="176">
        <f>[7]Dashboard!L85</f>
        <v>15</v>
      </c>
      <c r="M85" s="176">
        <f>[7]Dashboard!M85</f>
        <v>69</v>
      </c>
      <c r="N85" s="176">
        <f>[7]Dashboard!N85</f>
        <v>34</v>
      </c>
      <c r="O85" s="176">
        <f>[7]Dashboard!O85</f>
        <v>422</v>
      </c>
      <c r="P85" s="176">
        <f>[7]Dashboard!P85</f>
        <v>842</v>
      </c>
      <c r="Q85" s="176">
        <f>[7]Dashboard!Q85</f>
        <v>0</v>
      </c>
      <c r="R85" s="176">
        <f>[7]Dashboard!R85</f>
        <v>4</v>
      </c>
      <c r="S85" s="176">
        <f>[7]Dashboard!S85</f>
        <v>9</v>
      </c>
      <c r="T85" s="176">
        <f>[7]Dashboard!T85</f>
        <v>1</v>
      </c>
      <c r="U85" s="176">
        <f>[7]Dashboard!U85</f>
        <v>7</v>
      </c>
      <c r="V85" s="176">
        <f>[7]Dashboard!V85</f>
        <v>42</v>
      </c>
      <c r="W85" s="176">
        <f>[7]Dashboard!W85</f>
        <v>55</v>
      </c>
      <c r="X85" s="176">
        <f>[7]Dashboard!X85</f>
        <v>500</v>
      </c>
      <c r="Y85" s="176">
        <f>[7]Dashboard!Y85</f>
        <v>1135</v>
      </c>
      <c r="Z85" s="176">
        <f>[7]Dashboard!Z85</f>
        <v>5</v>
      </c>
      <c r="AA85" s="176">
        <f>[7]Dashboard!AA85</f>
        <v>266</v>
      </c>
      <c r="AB85" s="176">
        <f>[7]Dashboard!AB85</f>
        <v>145</v>
      </c>
      <c r="AC85" s="176">
        <f>[7]Dashboard!AC85</f>
        <v>10</v>
      </c>
      <c r="AD85" s="176">
        <f>[7]Dashboard!AD85</f>
        <v>361</v>
      </c>
      <c r="AE85" s="176">
        <f>[7]Dashboard!AE85</f>
        <v>1091</v>
      </c>
      <c r="AF85" s="176" t="s">
        <v>230</v>
      </c>
      <c r="AG85" s="176">
        <f t="shared" si="15"/>
        <v>5013</v>
      </c>
    </row>
    <row r="86" spans="1:66" s="176" customFormat="1" x14ac:dyDescent="0.2">
      <c r="A86" s="176" t="s">
        <v>87</v>
      </c>
      <c r="B86" s="176">
        <f>[7]Dashboard!B86</f>
        <v>45</v>
      </c>
      <c r="C86" s="176">
        <f>[7]Dashboard!C86</f>
        <v>277</v>
      </c>
      <c r="D86" s="176">
        <f>[7]Dashboard!D86</f>
        <v>793</v>
      </c>
      <c r="E86" s="176">
        <f>[7]Dashboard!E86</f>
        <v>36</v>
      </c>
      <c r="F86" s="176">
        <f>[7]Dashboard!F86</f>
        <v>268</v>
      </c>
      <c r="G86" s="176">
        <f>[7]Dashboard!G86</f>
        <v>923</v>
      </c>
      <c r="H86" s="176">
        <f>[7]Dashboard!H86</f>
        <v>3</v>
      </c>
      <c r="I86" s="176">
        <f>[7]Dashboard!I86</f>
        <v>20</v>
      </c>
      <c r="J86" s="176">
        <f>[7]Dashboard!J86</f>
        <v>110</v>
      </c>
      <c r="K86" s="176">
        <f>[7]Dashboard!K86</f>
        <v>2</v>
      </c>
      <c r="L86" s="176">
        <f>[7]Dashboard!L86</f>
        <v>8</v>
      </c>
      <c r="M86" s="176">
        <f>[7]Dashboard!M86</f>
        <v>45</v>
      </c>
      <c r="N86" s="176">
        <f>[7]Dashboard!N86</f>
        <v>17</v>
      </c>
      <c r="O86" s="176">
        <f>[7]Dashboard!O86</f>
        <v>110</v>
      </c>
      <c r="P86" s="176">
        <f>[7]Dashboard!P86</f>
        <v>368</v>
      </c>
      <c r="Q86" s="176">
        <f>[7]Dashboard!Q86</f>
        <v>0</v>
      </c>
      <c r="R86" s="176">
        <f>[7]Dashboard!R86</f>
        <v>4</v>
      </c>
      <c r="S86" s="176">
        <f>[7]Dashboard!S86</f>
        <v>5</v>
      </c>
      <c r="T86" s="176">
        <f>[7]Dashboard!T86</f>
        <v>1</v>
      </c>
      <c r="U86" s="176">
        <f>[7]Dashboard!U86</f>
        <v>8</v>
      </c>
      <c r="V86" s="176">
        <f>[7]Dashboard!V86</f>
        <v>60</v>
      </c>
      <c r="W86" s="176">
        <f>[7]Dashboard!W86</f>
        <v>28</v>
      </c>
      <c r="X86" s="176">
        <f>[7]Dashboard!X86</f>
        <v>167</v>
      </c>
      <c r="Y86" s="176">
        <f>[7]Dashboard!Y86</f>
        <v>425</v>
      </c>
      <c r="Z86" s="176">
        <f>[7]Dashboard!Z86</f>
        <v>11</v>
      </c>
      <c r="AA86" s="176">
        <f>[7]Dashboard!AA86</f>
        <v>145</v>
      </c>
      <c r="AB86" s="176">
        <f>[7]Dashboard!AB86</f>
        <v>74</v>
      </c>
      <c r="AC86" s="176">
        <f>[7]Dashboard!AC86</f>
        <v>25</v>
      </c>
      <c r="AD86" s="176">
        <f>[7]Dashboard!AD86</f>
        <v>123</v>
      </c>
      <c r="AE86" s="176">
        <f>[7]Dashboard!AE86</f>
        <v>849</v>
      </c>
      <c r="AF86" s="176" t="s">
        <v>229</v>
      </c>
      <c r="AG86" s="176">
        <f t="shared" si="15"/>
        <v>2475</v>
      </c>
    </row>
    <row r="87" spans="1:66" s="176" customFormat="1" x14ac:dyDescent="0.2">
      <c r="A87" s="176" t="s">
        <v>88</v>
      </c>
      <c r="B87" s="176">
        <f>[7]Dashboard!B87</f>
        <v>421</v>
      </c>
      <c r="C87" s="176">
        <f>[7]Dashboard!C87</f>
        <v>3940</v>
      </c>
      <c r="D87" s="176">
        <f>[7]Dashboard!D87</f>
        <v>10132</v>
      </c>
      <c r="E87" s="176">
        <f>[7]Dashboard!E87</f>
        <v>184</v>
      </c>
      <c r="F87" s="176">
        <f>[7]Dashboard!F87</f>
        <v>3038</v>
      </c>
      <c r="G87" s="176">
        <f>[7]Dashboard!G87</f>
        <v>10258</v>
      </c>
      <c r="H87" s="176">
        <f>[7]Dashboard!H87</f>
        <v>15</v>
      </c>
      <c r="I87" s="176">
        <f>[7]Dashboard!I87</f>
        <v>195</v>
      </c>
      <c r="J87" s="176">
        <f>[7]Dashboard!J87</f>
        <v>1335</v>
      </c>
      <c r="K87" s="176">
        <f>[7]Dashboard!K87</f>
        <v>10</v>
      </c>
      <c r="L87" s="176">
        <f>[7]Dashboard!L87</f>
        <v>127</v>
      </c>
      <c r="M87" s="176">
        <f>[7]Dashboard!M87</f>
        <v>702</v>
      </c>
      <c r="N87" s="176">
        <f>[7]Dashboard!N87</f>
        <v>159</v>
      </c>
      <c r="O87" s="176">
        <f>[7]Dashboard!O87</f>
        <v>1934</v>
      </c>
      <c r="P87" s="176">
        <f>[7]Dashboard!P87</f>
        <v>4858</v>
      </c>
      <c r="Q87" s="176">
        <f>[7]Dashboard!Q87</f>
        <v>0</v>
      </c>
      <c r="R87" s="176">
        <f>[7]Dashboard!R87</f>
        <v>17</v>
      </c>
      <c r="S87" s="176">
        <f>[7]Dashboard!S87</f>
        <v>50</v>
      </c>
      <c r="T87" s="176">
        <f>[7]Dashboard!T87</f>
        <v>5</v>
      </c>
      <c r="U87" s="176">
        <f>[7]Dashboard!U87</f>
        <v>51</v>
      </c>
      <c r="V87" s="176">
        <f>[7]Dashboard!V87</f>
        <v>583</v>
      </c>
      <c r="W87" s="176">
        <f>[7]Dashboard!W87</f>
        <v>262</v>
      </c>
      <c r="X87" s="176">
        <f>[7]Dashboard!X87</f>
        <v>2006</v>
      </c>
      <c r="Y87" s="176">
        <f>[7]Dashboard!Y87</f>
        <v>5274</v>
      </c>
      <c r="Z87" s="176">
        <f>[7]Dashboard!Z87</f>
        <v>76</v>
      </c>
      <c r="AA87" s="176">
        <f>[7]Dashboard!AA87</f>
        <v>1207</v>
      </c>
      <c r="AB87" s="176">
        <f>[7]Dashboard!AB87</f>
        <v>981</v>
      </c>
      <c r="AC87" s="176">
        <f>[7]Dashboard!AC87</f>
        <v>108</v>
      </c>
      <c r="AD87" s="176">
        <f>[7]Dashboard!AD87</f>
        <v>1831</v>
      </c>
      <c r="AE87" s="176">
        <f>[7]Dashboard!AE87</f>
        <v>9277</v>
      </c>
      <c r="AF87" s="176" t="s">
        <v>88</v>
      </c>
      <c r="AG87" s="176">
        <f>SUM(B87:J87)</f>
        <v>29518</v>
      </c>
    </row>
    <row r="88" spans="1:66" s="36" customFormat="1" x14ac:dyDescent="0.2"/>
    <row r="89" spans="1:66" s="167" customFormat="1" ht="26.25" customHeight="1" x14ac:dyDescent="0.2">
      <c r="A89" s="166" t="s">
        <v>334</v>
      </c>
      <c r="B89" s="472" t="s">
        <v>205</v>
      </c>
      <c r="C89" s="472"/>
      <c r="D89" s="472"/>
      <c r="E89" s="472"/>
      <c r="F89" s="472"/>
      <c r="G89" s="472" t="s">
        <v>206</v>
      </c>
      <c r="H89" s="472"/>
      <c r="I89" s="472"/>
      <c r="J89" s="472"/>
      <c r="K89" s="472"/>
      <c r="L89" s="472" t="s">
        <v>207</v>
      </c>
      <c r="M89" s="472"/>
      <c r="N89" s="472"/>
      <c r="O89" s="472"/>
      <c r="P89" s="472"/>
      <c r="Q89" s="472" t="s">
        <v>208</v>
      </c>
      <c r="R89" s="472"/>
      <c r="S89" s="472"/>
      <c r="T89" s="472"/>
      <c r="U89" s="472"/>
      <c r="V89" s="214"/>
      <c r="W89" s="181">
        <f>P93+U93</f>
        <v>371</v>
      </c>
      <c r="X89" s="472" t="s">
        <v>335</v>
      </c>
      <c r="Y89" s="472"/>
      <c r="Z89" s="472"/>
      <c r="AA89" s="472"/>
      <c r="AB89" s="472"/>
      <c r="AC89" s="472" t="s">
        <v>336</v>
      </c>
      <c r="AD89" s="472"/>
      <c r="AE89" s="472"/>
      <c r="AF89" s="472"/>
      <c r="AG89" s="472"/>
      <c r="AH89" s="472" t="s">
        <v>337</v>
      </c>
      <c r="AI89" s="472"/>
      <c r="AJ89" s="472"/>
      <c r="AK89" s="472"/>
      <c r="AL89" s="472"/>
      <c r="AM89" s="472" t="s">
        <v>329</v>
      </c>
      <c r="AN89" s="472"/>
      <c r="AO89" s="472"/>
      <c r="AP89" s="472"/>
      <c r="AQ89" s="472"/>
      <c r="AR89" s="472" t="s">
        <v>330</v>
      </c>
      <c r="AS89" s="472"/>
      <c r="AT89" s="472"/>
      <c r="AU89" s="472"/>
      <c r="AV89" s="472"/>
      <c r="AW89" s="472" t="s">
        <v>331</v>
      </c>
      <c r="AX89" s="472"/>
      <c r="AY89" s="472"/>
      <c r="AZ89" s="472"/>
      <c r="BA89" s="472"/>
    </row>
    <row r="90" spans="1:66" s="167" customFormat="1" x14ac:dyDescent="0.2">
      <c r="B90" s="180">
        <v>2013</v>
      </c>
      <c r="C90" s="168">
        <v>2014</v>
      </c>
      <c r="D90" s="168">
        <v>2015</v>
      </c>
      <c r="E90" s="168">
        <v>2016</v>
      </c>
      <c r="F90" s="168">
        <v>2017</v>
      </c>
      <c r="G90" s="180">
        <v>2013</v>
      </c>
      <c r="H90" s="168">
        <v>2014</v>
      </c>
      <c r="I90" s="168">
        <v>2015</v>
      </c>
      <c r="J90" s="168">
        <v>2016</v>
      </c>
      <c r="K90" s="168">
        <v>2017</v>
      </c>
      <c r="L90" s="180">
        <v>2013</v>
      </c>
      <c r="M90" s="168">
        <v>2014</v>
      </c>
      <c r="N90" s="168">
        <v>2015</v>
      </c>
      <c r="O90" s="168">
        <v>2016</v>
      </c>
      <c r="P90" s="168">
        <v>2017</v>
      </c>
      <c r="Q90" s="180">
        <v>2013</v>
      </c>
      <c r="R90" s="168">
        <v>2014</v>
      </c>
      <c r="S90" s="168">
        <v>2015</v>
      </c>
      <c r="T90" s="168">
        <v>2016</v>
      </c>
      <c r="U90" s="168">
        <v>2017</v>
      </c>
      <c r="V90" s="170"/>
      <c r="X90" s="217" t="s">
        <v>6</v>
      </c>
      <c r="Y90" s="217" t="s">
        <v>5</v>
      </c>
      <c r="Z90" s="217" t="s">
        <v>4</v>
      </c>
      <c r="AA90" s="217" t="s">
        <v>3</v>
      </c>
      <c r="AB90" s="217" t="s">
        <v>81</v>
      </c>
      <c r="AC90" s="217" t="s">
        <v>6</v>
      </c>
      <c r="AD90" s="217" t="s">
        <v>5</v>
      </c>
      <c r="AE90" s="217" t="s">
        <v>4</v>
      </c>
      <c r="AF90" s="217" t="s">
        <v>3</v>
      </c>
      <c r="AG90" s="217" t="s">
        <v>81</v>
      </c>
      <c r="AH90" s="217" t="s">
        <v>6</v>
      </c>
      <c r="AI90" s="217" t="s">
        <v>5</v>
      </c>
      <c r="AJ90" s="217" t="s">
        <v>4</v>
      </c>
      <c r="AK90" s="217" t="s">
        <v>3</v>
      </c>
      <c r="AL90" s="217" t="s">
        <v>81</v>
      </c>
      <c r="AM90" s="168">
        <v>2013</v>
      </c>
      <c r="AN90" s="168">
        <v>2014</v>
      </c>
      <c r="AO90" s="168">
        <v>2015</v>
      </c>
      <c r="AP90" s="168">
        <v>2016</v>
      </c>
      <c r="AQ90" s="168">
        <v>2017</v>
      </c>
      <c r="AR90" s="168">
        <v>2013</v>
      </c>
      <c r="AS90" s="168">
        <v>2014</v>
      </c>
      <c r="AT90" s="168">
        <v>2015</v>
      </c>
      <c r="AU90" s="168">
        <v>2016</v>
      </c>
      <c r="AV90" s="168">
        <v>2017</v>
      </c>
      <c r="AW90" s="168">
        <v>2013</v>
      </c>
      <c r="AX90" s="168">
        <v>2014</v>
      </c>
      <c r="AY90" s="168">
        <v>2015</v>
      </c>
      <c r="AZ90" s="168">
        <v>2016</v>
      </c>
      <c r="BA90" s="168">
        <v>2017</v>
      </c>
      <c r="BE90" s="470" t="s">
        <v>809</v>
      </c>
      <c r="BF90" s="470"/>
      <c r="BG90" s="470"/>
      <c r="BH90" s="470"/>
      <c r="BI90" s="470"/>
      <c r="BJ90" s="470"/>
      <c r="BL90" s="470" t="s">
        <v>810</v>
      </c>
      <c r="BM90" s="470"/>
      <c r="BN90" s="470"/>
    </row>
    <row r="91" spans="1:66" s="167" customFormat="1" x14ac:dyDescent="0.2">
      <c r="A91" s="167" t="s">
        <v>82</v>
      </c>
      <c r="B91" s="181">
        <f>[7]Dashboard!B91</f>
        <v>510</v>
      </c>
      <c r="C91" s="181">
        <f>[7]Dashboard!C91</f>
        <v>632</v>
      </c>
      <c r="D91" s="181">
        <f>[7]Dashboard!D91</f>
        <v>517</v>
      </c>
      <c r="E91" s="181">
        <f>[7]Dashboard!E91</f>
        <v>625</v>
      </c>
      <c r="F91" s="181">
        <f>[7]Dashboard!F91</f>
        <v>882</v>
      </c>
      <c r="G91" s="181">
        <f>[7]Dashboard!G91</f>
        <v>84</v>
      </c>
      <c r="H91" s="181">
        <f>[7]Dashboard!H91</f>
        <v>97</v>
      </c>
      <c r="I91" s="181">
        <f>[7]Dashboard!I91</f>
        <v>107</v>
      </c>
      <c r="J91" s="181">
        <f>[7]Dashboard!J91</f>
        <v>65</v>
      </c>
      <c r="K91" s="181">
        <f>[7]Dashboard!K91</f>
        <v>138</v>
      </c>
      <c r="L91" s="189" t="str">
        <f>[7]Dashboard!L91</f>
        <v>.</v>
      </c>
      <c r="M91" s="189" t="str">
        <f>[7]Dashboard!M91</f>
        <v>.</v>
      </c>
      <c r="N91" s="189" t="str">
        <f>[7]Dashboard!N91</f>
        <v>.</v>
      </c>
      <c r="O91" s="189" t="str">
        <f>[7]Dashboard!O91</f>
        <v>.</v>
      </c>
      <c r="P91" s="189" t="str">
        <f>[7]Dashboard!P91</f>
        <v>.</v>
      </c>
      <c r="Q91" s="189" t="str">
        <f>[7]Dashboard!Q91</f>
        <v>.</v>
      </c>
      <c r="R91" s="189" t="str">
        <f>[7]Dashboard!R91</f>
        <v>.</v>
      </c>
      <c r="S91" s="189" t="str">
        <f>[7]Dashboard!S91</f>
        <v>.</v>
      </c>
      <c r="T91" s="189" t="str">
        <f>[7]Dashboard!T91</f>
        <v>.</v>
      </c>
      <c r="U91" s="189" t="str">
        <f>[7]Dashboard!U91</f>
        <v>.</v>
      </c>
      <c r="V91" s="167" t="s">
        <v>787</v>
      </c>
      <c r="W91" s="221" t="s">
        <v>340</v>
      </c>
      <c r="X91" s="181">
        <f>[7]Dashboard!W91</f>
        <v>14051</v>
      </c>
      <c r="Y91" s="181">
        <f>[7]Dashboard!X91</f>
        <v>14989</v>
      </c>
      <c r="Z91" s="181">
        <f>[7]Dashboard!Y91</f>
        <v>17121</v>
      </c>
      <c r="AA91" s="181">
        <f>[7]Dashboard!Z91</f>
        <v>16901</v>
      </c>
      <c r="AB91" s="181">
        <f>[7]Dashboard!AA91</f>
        <v>17373</v>
      </c>
      <c r="AC91" s="181">
        <f>[7]Dashboard!AB91</f>
        <v>5130</v>
      </c>
      <c r="AD91" s="181">
        <f>[7]Dashboard!AC91</f>
        <v>2797</v>
      </c>
      <c r="AE91" s="181">
        <f>[7]Dashboard!AD91</f>
        <v>1870</v>
      </c>
      <c r="AF91" s="181">
        <f>[7]Dashboard!AE91</f>
        <v>1442</v>
      </c>
      <c r="AG91" s="181">
        <f>[7]Dashboard!AF91</f>
        <v>2366</v>
      </c>
      <c r="AH91" s="181">
        <f>[7]Dashboard!AG91</f>
        <v>1078</v>
      </c>
      <c r="AI91" s="181">
        <f>[7]Dashboard!AH91</f>
        <v>3214</v>
      </c>
      <c r="AJ91" s="181">
        <f>[7]Dashboard!AI91</f>
        <v>2270</v>
      </c>
      <c r="AK91" s="181">
        <f>[7]Dashboard!AJ91</f>
        <v>1830</v>
      </c>
      <c r="AL91" s="181">
        <f>[7]Dashboard!AK91</f>
        <v>2689</v>
      </c>
      <c r="AM91" s="181">
        <f>[7]Dashboard!AL91</f>
        <v>7366</v>
      </c>
      <c r="AN91" s="181">
        <f>[7]Dashboard!AM91</f>
        <v>6030</v>
      </c>
      <c r="AO91" s="181">
        <f>[7]Dashboard!AN91</f>
        <v>5183</v>
      </c>
      <c r="AP91" s="181">
        <f>[7]Dashboard!AO91</f>
        <v>6359</v>
      </c>
      <c r="AQ91" s="181">
        <f>[7]Dashboard!AP91</f>
        <v>7786</v>
      </c>
      <c r="AR91" s="181">
        <f>[7]Dashboard!AQ91</f>
        <v>1252</v>
      </c>
      <c r="AS91" s="181">
        <f>[7]Dashboard!AR91</f>
        <v>1030</v>
      </c>
      <c r="AT91" s="181">
        <f>[7]Dashboard!AS91</f>
        <v>655</v>
      </c>
      <c r="AU91" s="181">
        <f>[7]Dashboard!AT91</f>
        <v>896</v>
      </c>
      <c r="AV91" s="181">
        <f>[7]Dashboard!AU91</f>
        <v>1223</v>
      </c>
      <c r="AW91" s="181">
        <f>[7]Dashboard!AV91</f>
        <v>905</v>
      </c>
      <c r="AX91" s="181">
        <f>[7]Dashboard!AW91</f>
        <v>835</v>
      </c>
      <c r="AY91" s="181">
        <f>[7]Dashboard!AX91</f>
        <v>148</v>
      </c>
      <c r="AZ91" s="181">
        <f>[7]Dashboard!AY91</f>
        <v>2</v>
      </c>
      <c r="BA91" s="181">
        <f>[7]Dashboard!AZ91</f>
        <v>106</v>
      </c>
      <c r="BB91" s="167" t="s">
        <v>802</v>
      </c>
      <c r="BC91" s="167" t="s">
        <v>888</v>
      </c>
      <c r="BE91" s="181">
        <f>AB91+AG91+AL91</f>
        <v>22428</v>
      </c>
      <c r="BF91" s="181">
        <f>AB91</f>
        <v>17373</v>
      </c>
      <c r="BG91" s="324">
        <f>BF91/BE91</f>
        <v>0.77461209202782233</v>
      </c>
      <c r="BH91" s="181">
        <f>X91+AC91+AH91</f>
        <v>20259</v>
      </c>
      <c r="BI91" s="181">
        <f>X91</f>
        <v>14051</v>
      </c>
      <c r="BJ91" s="324">
        <f>BI91/BH91</f>
        <v>0.69356829063626046</v>
      </c>
      <c r="BL91" s="181">
        <f>AQ91+AV91+BA91</f>
        <v>9115</v>
      </c>
      <c r="BM91" s="181">
        <f>BA91</f>
        <v>106</v>
      </c>
      <c r="BN91" s="324">
        <f>BM91/BL91</f>
        <v>1.1629182665935272E-2</v>
      </c>
    </row>
    <row r="92" spans="1:66" s="167" customFormat="1" x14ac:dyDescent="0.2">
      <c r="A92" s="167" t="s">
        <v>83</v>
      </c>
      <c r="B92" s="181">
        <f>[7]Dashboard!B92</f>
        <v>146</v>
      </c>
      <c r="C92" s="181">
        <f>[7]Dashboard!C92</f>
        <v>162</v>
      </c>
      <c r="D92" s="181">
        <f>[7]Dashboard!D92</f>
        <v>161</v>
      </c>
      <c r="E92" s="181">
        <f>[7]Dashboard!E92</f>
        <v>175</v>
      </c>
      <c r="F92" s="181">
        <f>[7]Dashboard!F92</f>
        <v>185</v>
      </c>
      <c r="G92" s="181">
        <f>[7]Dashboard!G92</f>
        <v>19</v>
      </c>
      <c r="H92" s="181">
        <f>[7]Dashboard!H92</f>
        <v>75</v>
      </c>
      <c r="I92" s="181">
        <f>[7]Dashboard!I92</f>
        <v>41</v>
      </c>
      <c r="J92" s="181">
        <f>[7]Dashboard!J92</f>
        <v>34</v>
      </c>
      <c r="K92" s="181">
        <f>[7]Dashboard!K92</f>
        <v>54</v>
      </c>
      <c r="L92" s="189" t="str">
        <f>[7]Dashboard!L92</f>
        <v>.</v>
      </c>
      <c r="M92" s="189">
        <f>[7]Dashboard!M92</f>
        <v>63</v>
      </c>
      <c r="N92" s="189" t="str">
        <f>[7]Dashboard!N92</f>
        <v>.</v>
      </c>
      <c r="O92" s="189" t="str">
        <f>[7]Dashboard!O92</f>
        <v>.</v>
      </c>
      <c r="P92" s="189">
        <f>[7]Dashboard!P92</f>
        <v>7</v>
      </c>
      <c r="Q92" s="189" t="str">
        <f>[7]Dashboard!Q92</f>
        <v>.</v>
      </c>
      <c r="R92" s="189">
        <f>[7]Dashboard!R92</f>
        <v>5</v>
      </c>
      <c r="S92" s="189" t="str">
        <f>[7]Dashboard!S92</f>
        <v>.</v>
      </c>
      <c r="T92" s="189" t="str">
        <f>[7]Dashboard!T92</f>
        <v>.</v>
      </c>
      <c r="U92" s="189" t="str">
        <f>[7]Dashboard!U92</f>
        <v>.</v>
      </c>
      <c r="V92" s="167" t="s">
        <v>788</v>
      </c>
      <c r="W92" s="221" t="s">
        <v>789</v>
      </c>
      <c r="X92" s="181">
        <f>[7]Dashboard!W92</f>
        <v>1670</v>
      </c>
      <c r="Y92" s="181">
        <f>[7]Dashboard!X92</f>
        <v>1904</v>
      </c>
      <c r="Z92" s="181">
        <f>[7]Dashboard!Y92</f>
        <v>1992</v>
      </c>
      <c r="AA92" s="181">
        <f>[7]Dashboard!Z92</f>
        <v>2083</v>
      </c>
      <c r="AB92" s="181">
        <f>[7]Dashboard!AA92</f>
        <v>1709</v>
      </c>
      <c r="AC92" s="181">
        <f>[7]Dashboard!AB92</f>
        <v>369</v>
      </c>
      <c r="AD92" s="181">
        <f>[7]Dashboard!AC92</f>
        <v>133</v>
      </c>
      <c r="AE92" s="181">
        <f>[7]Dashboard!AD92</f>
        <v>196</v>
      </c>
      <c r="AF92" s="181">
        <f>[7]Dashboard!AE92</f>
        <v>136</v>
      </c>
      <c r="AG92" s="181">
        <f>[7]Dashboard!AF92</f>
        <v>326</v>
      </c>
      <c r="AH92" s="181">
        <f>[7]Dashboard!AG92</f>
        <v>0</v>
      </c>
      <c r="AI92" s="181">
        <f>[7]Dashboard!AH92</f>
        <v>0</v>
      </c>
      <c r="AJ92" s="181">
        <f>[7]Dashboard!AI92</f>
        <v>1</v>
      </c>
      <c r="AK92" s="181">
        <f>[7]Dashboard!AJ92</f>
        <v>0</v>
      </c>
      <c r="AL92" s="181">
        <f>[7]Dashboard!AK92</f>
        <v>0</v>
      </c>
      <c r="AM92" s="181">
        <f>[7]Dashboard!AL92</f>
        <v>520</v>
      </c>
      <c r="AN92" s="181">
        <f>[7]Dashboard!AM92</f>
        <v>587</v>
      </c>
      <c r="AO92" s="181">
        <f>[7]Dashboard!AN92</f>
        <v>632</v>
      </c>
      <c r="AP92" s="181">
        <f>[7]Dashboard!AO92</f>
        <v>639</v>
      </c>
      <c r="AQ92" s="181">
        <f>[7]Dashboard!AP92</f>
        <v>615</v>
      </c>
      <c r="AR92" s="181">
        <f>[7]Dashboard!AQ92</f>
        <v>26</v>
      </c>
      <c r="AS92" s="181">
        <f>[7]Dashboard!AR92</f>
        <v>9</v>
      </c>
      <c r="AT92" s="181" t="str">
        <f>[7]Dashboard!AS92</f>
        <v>.</v>
      </c>
      <c r="AU92" s="181" t="str">
        <f>[7]Dashboard!AT92</f>
        <v>.</v>
      </c>
      <c r="AV92" s="181" t="str">
        <f>[7]Dashboard!AU92</f>
        <v>.</v>
      </c>
      <c r="AW92" s="181">
        <f>[7]Dashboard!AV92</f>
        <v>458</v>
      </c>
      <c r="AX92" s="181" t="str">
        <f>[7]Dashboard!AW92</f>
        <v>.</v>
      </c>
      <c r="AY92" s="181" t="str">
        <f>[7]Dashboard!AX92</f>
        <v>.</v>
      </c>
      <c r="AZ92" s="181" t="str">
        <f>[7]Dashboard!AY92</f>
        <v>.</v>
      </c>
      <c r="BA92" s="181" t="str">
        <f>[7]Dashboard!AZ92</f>
        <v>.</v>
      </c>
      <c r="BB92" s="167" t="s">
        <v>803</v>
      </c>
      <c r="BC92" s="167" t="s">
        <v>889</v>
      </c>
      <c r="BE92" s="181">
        <f t="shared" ref="BE92:BE98" si="16">AB92+AG92+AL92</f>
        <v>2035</v>
      </c>
      <c r="BF92" s="181">
        <f t="shared" ref="BF92:BF98" si="17">AB92</f>
        <v>1709</v>
      </c>
      <c r="BG92" s="324">
        <f t="shared" ref="BG92:BG98" si="18">BF92/BE92</f>
        <v>0.83980343980343986</v>
      </c>
      <c r="BH92" s="181">
        <f t="shared" ref="BH92:BH98" si="19">X92+AC92+AH92</f>
        <v>2039</v>
      </c>
      <c r="BI92" s="181">
        <f t="shared" ref="BI92:BI98" si="20">X92</f>
        <v>1670</v>
      </c>
      <c r="BJ92" s="324">
        <f t="shared" ref="BJ92:BJ98" si="21">BI92/BH92</f>
        <v>0.81902893575281999</v>
      </c>
      <c r="BL92" s="181">
        <f>AQ92</f>
        <v>615</v>
      </c>
      <c r="BM92" s="181">
        <v>0</v>
      </c>
      <c r="BN92" s="324">
        <f>BM92/BL92</f>
        <v>0</v>
      </c>
    </row>
    <row r="93" spans="1:66" s="167" customFormat="1" x14ac:dyDescent="0.2">
      <c r="A93" s="167" t="s">
        <v>84</v>
      </c>
      <c r="B93" s="181">
        <f>[7]Dashboard!B93</f>
        <v>327</v>
      </c>
      <c r="C93" s="181">
        <f>[7]Dashboard!C93</f>
        <v>346</v>
      </c>
      <c r="D93" s="181">
        <f>[7]Dashboard!D93</f>
        <v>463</v>
      </c>
      <c r="E93" s="181">
        <f>[7]Dashboard!E93</f>
        <v>483</v>
      </c>
      <c r="F93" s="181">
        <f>[7]Dashboard!F93</f>
        <v>475</v>
      </c>
      <c r="G93" s="181">
        <f>[7]Dashboard!G93</f>
        <v>49</v>
      </c>
      <c r="H93" s="181">
        <f>[7]Dashboard!H93</f>
        <v>156</v>
      </c>
      <c r="I93" s="181">
        <f>[7]Dashboard!I93</f>
        <v>134</v>
      </c>
      <c r="J93" s="181">
        <f>[7]Dashboard!J93</f>
        <v>308</v>
      </c>
      <c r="K93" s="181">
        <f>[7]Dashboard!K93</f>
        <v>258</v>
      </c>
      <c r="L93" s="189" t="str">
        <f>[7]Dashboard!L93</f>
        <v>.</v>
      </c>
      <c r="M93" s="189">
        <f>[7]Dashboard!M93</f>
        <v>7</v>
      </c>
      <c r="N93" s="189" t="str">
        <f>[7]Dashboard!N93</f>
        <v>.</v>
      </c>
      <c r="O93" s="189">
        <f>[7]Dashboard!O93</f>
        <v>232</v>
      </c>
      <c r="P93" s="189">
        <f>[7]Dashboard!P93</f>
        <v>257</v>
      </c>
      <c r="Q93" s="189" t="str">
        <f>[7]Dashboard!Q93</f>
        <v>.</v>
      </c>
      <c r="R93" s="189" t="str">
        <f>[7]Dashboard!R93</f>
        <v>.</v>
      </c>
      <c r="S93" s="189" t="str">
        <f>[7]Dashboard!S93</f>
        <v>.</v>
      </c>
      <c r="T93" s="189">
        <f>[7]Dashboard!T93</f>
        <v>126</v>
      </c>
      <c r="U93" s="189">
        <f>[7]Dashboard!U93</f>
        <v>114</v>
      </c>
      <c r="V93" s="167" t="s">
        <v>794</v>
      </c>
      <c r="W93" s="221" t="s">
        <v>790</v>
      </c>
      <c r="X93" s="181">
        <f>[7]Dashboard!W93</f>
        <v>16422</v>
      </c>
      <c r="Y93" s="181">
        <f>[7]Dashboard!X93</f>
        <v>15853</v>
      </c>
      <c r="Z93" s="181">
        <f>[7]Dashboard!Y93</f>
        <v>14955</v>
      </c>
      <c r="AA93" s="181">
        <f>[7]Dashboard!Z93</f>
        <v>13627</v>
      </c>
      <c r="AB93" s="181">
        <f>[7]Dashboard!AA93</f>
        <v>9395</v>
      </c>
      <c r="AC93" s="181">
        <f>[7]Dashboard!AB93</f>
        <v>1259</v>
      </c>
      <c r="AD93" s="181">
        <f>[7]Dashboard!AC93</f>
        <v>1179</v>
      </c>
      <c r="AE93" s="181">
        <f>[7]Dashboard!AD93</f>
        <v>2374</v>
      </c>
      <c r="AF93" s="181">
        <f>[7]Dashboard!AE93</f>
        <v>1166</v>
      </c>
      <c r="AG93" s="181">
        <f>[7]Dashboard!AF93</f>
        <v>1946</v>
      </c>
      <c r="AH93" s="181">
        <f>[7]Dashboard!AG93</f>
        <v>111</v>
      </c>
      <c r="AI93" s="181">
        <f>[7]Dashboard!AH93</f>
        <v>863</v>
      </c>
      <c r="AJ93" s="181">
        <f>[7]Dashboard!AI93</f>
        <v>1360</v>
      </c>
      <c r="AK93" s="181">
        <f>[7]Dashboard!AJ93</f>
        <v>2687</v>
      </c>
      <c r="AL93" s="181">
        <f>[7]Dashboard!AK93</f>
        <v>2770</v>
      </c>
      <c r="AM93" s="181">
        <f>[7]Dashboard!AL93</f>
        <v>3785</v>
      </c>
      <c r="AN93" s="181">
        <f>[7]Dashboard!AM93</f>
        <v>4495</v>
      </c>
      <c r="AO93" s="181">
        <f>[7]Dashboard!AN93</f>
        <v>4635</v>
      </c>
      <c r="AP93" s="181">
        <f>[7]Dashboard!AO93</f>
        <v>4335</v>
      </c>
      <c r="AQ93" s="181">
        <f>[7]Dashboard!AP93</f>
        <v>5057</v>
      </c>
      <c r="AR93" s="181">
        <f>[7]Dashboard!AQ93</f>
        <v>55</v>
      </c>
      <c r="AS93" s="181">
        <f>[7]Dashboard!AR93</f>
        <v>503</v>
      </c>
      <c r="AT93" s="181">
        <f>[7]Dashboard!AS93</f>
        <v>671</v>
      </c>
      <c r="AU93" s="181">
        <f>[7]Dashboard!AT93</f>
        <v>533</v>
      </c>
      <c r="AV93" s="181">
        <f>[7]Dashboard!AU93</f>
        <v>660</v>
      </c>
      <c r="AW93" s="181" t="str">
        <f>[7]Dashboard!AV93</f>
        <v>.</v>
      </c>
      <c r="AX93" s="181">
        <f>[7]Dashboard!AW93</f>
        <v>28</v>
      </c>
      <c r="AY93" s="181">
        <f>[7]Dashboard!AX93</f>
        <v>882</v>
      </c>
      <c r="AZ93" s="181">
        <f>[7]Dashboard!AY93</f>
        <v>679</v>
      </c>
      <c r="BA93" s="181">
        <f>[7]Dashboard!AZ93</f>
        <v>418</v>
      </c>
      <c r="BB93" s="167" t="s">
        <v>804</v>
      </c>
      <c r="BC93" s="167" t="s">
        <v>890</v>
      </c>
      <c r="BE93" s="181">
        <f t="shared" si="16"/>
        <v>14111</v>
      </c>
      <c r="BF93" s="181">
        <f t="shared" si="17"/>
        <v>9395</v>
      </c>
      <c r="BG93" s="324">
        <f t="shared" si="18"/>
        <v>0.66579264403656724</v>
      </c>
      <c r="BH93" s="181">
        <f t="shared" si="19"/>
        <v>17792</v>
      </c>
      <c r="BI93" s="181">
        <f t="shared" si="20"/>
        <v>16422</v>
      </c>
      <c r="BJ93" s="324">
        <f t="shared" si="21"/>
        <v>0.92299910071942448</v>
      </c>
      <c r="BL93" s="181">
        <f t="shared" ref="BL93:BL98" si="22">AQ93+AV93+BA93</f>
        <v>6135</v>
      </c>
      <c r="BM93" s="181">
        <f t="shared" ref="BM93:BM98" si="23">BA93</f>
        <v>418</v>
      </c>
      <c r="BN93" s="324">
        <f t="shared" ref="BN93:BN98" si="24">BM93/BL93</f>
        <v>6.8133659331703345E-2</v>
      </c>
    </row>
    <row r="94" spans="1:66" s="167" customFormat="1" x14ac:dyDescent="0.2">
      <c r="A94" s="167" t="s">
        <v>103</v>
      </c>
      <c r="B94" s="181">
        <f>[7]Dashboard!B94</f>
        <v>501</v>
      </c>
      <c r="C94" s="181">
        <f>[7]Dashboard!C94</f>
        <v>468</v>
      </c>
      <c r="D94" s="181">
        <f>[7]Dashboard!D94</f>
        <v>657</v>
      </c>
      <c r="E94" s="181">
        <f>[7]Dashboard!E94</f>
        <v>558</v>
      </c>
      <c r="F94" s="181">
        <f>[7]Dashboard!F94</f>
        <v>603</v>
      </c>
      <c r="G94" s="181">
        <f>[7]Dashboard!G94</f>
        <v>169</v>
      </c>
      <c r="H94" s="181">
        <f>[7]Dashboard!H94</f>
        <v>151</v>
      </c>
      <c r="I94" s="181">
        <f>[7]Dashboard!I94</f>
        <v>302</v>
      </c>
      <c r="J94" s="181">
        <f>[7]Dashboard!J94</f>
        <v>314</v>
      </c>
      <c r="K94" s="181">
        <f>[7]Dashboard!K94</f>
        <v>127</v>
      </c>
      <c r="L94" s="189" t="str">
        <f>[7]Dashboard!L94</f>
        <v>.</v>
      </c>
      <c r="M94" s="189" t="str">
        <f>[7]Dashboard!M94</f>
        <v>.</v>
      </c>
      <c r="N94" s="189" t="str">
        <f>[7]Dashboard!N94</f>
        <v>.</v>
      </c>
      <c r="O94" s="189" t="str">
        <f>[7]Dashboard!O94</f>
        <v>.</v>
      </c>
      <c r="P94" s="189" t="str">
        <f>[7]Dashboard!P94</f>
        <v>.</v>
      </c>
      <c r="Q94" s="189" t="str">
        <f>[7]Dashboard!Q94</f>
        <v>.</v>
      </c>
      <c r="R94" s="189" t="str">
        <f>[7]Dashboard!R94</f>
        <v>.</v>
      </c>
      <c r="S94" s="189" t="str">
        <f>[7]Dashboard!S94</f>
        <v>.</v>
      </c>
      <c r="T94" s="189" t="str">
        <f>[7]Dashboard!T94</f>
        <v>.</v>
      </c>
      <c r="U94" s="189" t="str">
        <f>[7]Dashboard!U94</f>
        <v>.</v>
      </c>
      <c r="V94" s="167" t="s">
        <v>793</v>
      </c>
      <c r="W94" s="221" t="s">
        <v>341</v>
      </c>
      <c r="X94" s="181">
        <f>[7]Dashboard!W94</f>
        <v>17660</v>
      </c>
      <c r="Y94" s="181">
        <f>[7]Dashboard!X94</f>
        <v>15569</v>
      </c>
      <c r="Z94" s="181">
        <f>[7]Dashboard!Y94</f>
        <v>12475</v>
      </c>
      <c r="AA94" s="181">
        <f>[7]Dashboard!Z94</f>
        <v>11763</v>
      </c>
      <c r="AB94" s="181">
        <f>[7]Dashboard!AA94</f>
        <v>12565</v>
      </c>
      <c r="AC94" s="181">
        <f>[7]Dashboard!AB94</f>
        <v>3849</v>
      </c>
      <c r="AD94" s="181">
        <f>[7]Dashboard!AC94</f>
        <v>2857</v>
      </c>
      <c r="AE94" s="181">
        <f>[7]Dashboard!AD94</f>
        <v>2645</v>
      </c>
      <c r="AF94" s="181">
        <f>[7]Dashboard!AE94</f>
        <v>2534</v>
      </c>
      <c r="AG94" s="181">
        <f>[7]Dashboard!AF94</f>
        <v>3632</v>
      </c>
      <c r="AH94" s="181">
        <f>[7]Dashboard!AG94</f>
        <v>601</v>
      </c>
      <c r="AI94" s="181">
        <f>[7]Dashboard!AH94</f>
        <v>1481</v>
      </c>
      <c r="AJ94" s="181">
        <f>[7]Dashboard!AI94</f>
        <v>1776</v>
      </c>
      <c r="AK94" s="181">
        <f>[7]Dashboard!AJ94</f>
        <v>2912</v>
      </c>
      <c r="AL94" s="181">
        <f>[7]Dashboard!AK94</f>
        <v>2205</v>
      </c>
      <c r="AM94" s="181">
        <f>[7]Dashboard!AL94</f>
        <v>5405</v>
      </c>
      <c r="AN94" s="181">
        <f>[7]Dashboard!AM94</f>
        <v>5482</v>
      </c>
      <c r="AO94" s="181">
        <f>[7]Dashboard!AN94</f>
        <v>5328</v>
      </c>
      <c r="AP94" s="181">
        <f>[7]Dashboard!AO94</f>
        <v>6223</v>
      </c>
      <c r="AQ94" s="181">
        <f>[7]Dashboard!AP94</f>
        <v>6544</v>
      </c>
      <c r="AR94" s="181">
        <f>[7]Dashboard!AQ94</f>
        <v>771</v>
      </c>
      <c r="AS94" s="181">
        <f>[7]Dashboard!AR94</f>
        <v>792</v>
      </c>
      <c r="AT94" s="181">
        <f>[7]Dashboard!AS94</f>
        <v>905</v>
      </c>
      <c r="AU94" s="181">
        <f>[7]Dashboard!AT94</f>
        <v>811</v>
      </c>
      <c r="AV94" s="181">
        <f>[7]Dashboard!AU94</f>
        <v>868</v>
      </c>
      <c r="AW94" s="181" t="str">
        <f>[7]Dashboard!AV94</f>
        <v>.</v>
      </c>
      <c r="AX94" s="181" t="str">
        <f>[7]Dashboard!AW94</f>
        <v>.</v>
      </c>
      <c r="AY94" s="181">
        <f>[7]Dashboard!AX94</f>
        <v>829</v>
      </c>
      <c r="AZ94" s="181">
        <f>[7]Dashboard!AY94</f>
        <v>320</v>
      </c>
      <c r="BA94" s="181">
        <f>[7]Dashboard!AZ94</f>
        <v>63</v>
      </c>
      <c r="BB94" s="167" t="s">
        <v>805</v>
      </c>
      <c r="BC94" s="167" t="s">
        <v>891</v>
      </c>
      <c r="BE94" s="181">
        <f t="shared" si="16"/>
        <v>18402</v>
      </c>
      <c r="BF94" s="181">
        <f t="shared" si="17"/>
        <v>12565</v>
      </c>
      <c r="BG94" s="324">
        <f t="shared" si="18"/>
        <v>0.6828062167155744</v>
      </c>
      <c r="BH94" s="181">
        <f t="shared" si="19"/>
        <v>22110</v>
      </c>
      <c r="BI94" s="181">
        <f t="shared" si="20"/>
        <v>17660</v>
      </c>
      <c r="BJ94" s="324">
        <f t="shared" si="21"/>
        <v>0.79873360470375399</v>
      </c>
      <c r="BL94" s="181">
        <f t="shared" si="22"/>
        <v>7475</v>
      </c>
      <c r="BM94" s="181">
        <f t="shared" si="23"/>
        <v>63</v>
      </c>
      <c r="BN94" s="324">
        <f t="shared" si="24"/>
        <v>8.4280936454849496E-3</v>
      </c>
    </row>
    <row r="95" spans="1:66" s="167" customFormat="1" x14ac:dyDescent="0.2">
      <c r="A95" s="167" t="s">
        <v>85</v>
      </c>
      <c r="B95" s="181">
        <f>[7]Dashboard!B95</f>
        <v>297</v>
      </c>
      <c r="C95" s="181">
        <f>[7]Dashboard!C95</f>
        <v>317</v>
      </c>
      <c r="D95" s="181">
        <f>[7]Dashboard!D95</f>
        <v>244</v>
      </c>
      <c r="E95" s="181">
        <f>[7]Dashboard!E95</f>
        <v>379</v>
      </c>
      <c r="F95" s="181">
        <f>[7]Dashboard!F95</f>
        <v>390</v>
      </c>
      <c r="G95" s="181">
        <f>[7]Dashboard!G95</f>
        <v>83</v>
      </c>
      <c r="H95" s="181">
        <f>[7]Dashboard!H95</f>
        <v>89</v>
      </c>
      <c r="I95" s="181">
        <f>[7]Dashboard!I95</f>
        <v>122</v>
      </c>
      <c r="J95" s="181">
        <f>[7]Dashboard!J95</f>
        <v>22</v>
      </c>
      <c r="K95" s="181">
        <f>[7]Dashboard!K95</f>
        <v>118</v>
      </c>
      <c r="L95" s="189" t="str">
        <f>[7]Dashboard!L95</f>
        <v>.</v>
      </c>
      <c r="M95" s="189" t="str">
        <f>[7]Dashboard!M95</f>
        <v>.</v>
      </c>
      <c r="N95" s="189">
        <f>[7]Dashboard!N95</f>
        <v>2</v>
      </c>
      <c r="O95" s="189" t="str">
        <f>[7]Dashboard!O95</f>
        <v>.</v>
      </c>
      <c r="P95" s="189" t="str">
        <f>[7]Dashboard!P95</f>
        <v>.</v>
      </c>
      <c r="Q95" s="189" t="str">
        <f>[7]Dashboard!Q95</f>
        <v>.</v>
      </c>
      <c r="R95" s="189" t="str">
        <f>[7]Dashboard!R95</f>
        <v>.</v>
      </c>
      <c r="S95" s="189" t="str">
        <f>[7]Dashboard!S95</f>
        <v>.</v>
      </c>
      <c r="T95" s="189">
        <f>[7]Dashboard!T95</f>
        <v>1</v>
      </c>
      <c r="U95" s="189" t="str">
        <f>[7]Dashboard!U95</f>
        <v>.</v>
      </c>
      <c r="V95" s="167" t="s">
        <v>791</v>
      </c>
      <c r="W95" s="221" t="s">
        <v>342</v>
      </c>
      <c r="X95" s="181">
        <f>[7]Dashboard!W95</f>
        <v>6587</v>
      </c>
      <c r="Y95" s="181">
        <f>[7]Dashboard!X95</f>
        <v>6656</v>
      </c>
      <c r="Z95" s="181">
        <f>[7]Dashboard!Y95</f>
        <v>4988</v>
      </c>
      <c r="AA95" s="181">
        <f>[7]Dashboard!Z95</f>
        <v>4768</v>
      </c>
      <c r="AB95" s="181">
        <f>[7]Dashboard!AA95</f>
        <v>8484</v>
      </c>
      <c r="AC95" s="181">
        <f>[7]Dashboard!AB95</f>
        <v>2243</v>
      </c>
      <c r="AD95" s="181">
        <f>[7]Dashboard!AC95</f>
        <v>2127</v>
      </c>
      <c r="AE95" s="181">
        <f>[7]Dashboard!AD95</f>
        <v>676</v>
      </c>
      <c r="AF95" s="181">
        <f>[7]Dashboard!AE95</f>
        <v>578</v>
      </c>
      <c r="AG95" s="181">
        <f>[7]Dashboard!AF95</f>
        <v>1971</v>
      </c>
      <c r="AH95" s="181">
        <f>[7]Dashboard!AG95</f>
        <v>929</v>
      </c>
      <c r="AI95" s="181">
        <f>[7]Dashboard!AH95</f>
        <v>2094</v>
      </c>
      <c r="AJ95" s="181">
        <f>[7]Dashboard!AI95</f>
        <v>2503</v>
      </c>
      <c r="AK95" s="181">
        <f>[7]Dashboard!AJ95</f>
        <v>3843</v>
      </c>
      <c r="AL95" s="181">
        <f>[7]Dashboard!AK95</f>
        <v>3543</v>
      </c>
      <c r="AM95" s="181">
        <f>[7]Dashboard!AL95</f>
        <v>2995</v>
      </c>
      <c r="AN95" s="181">
        <f>[7]Dashboard!AM95</f>
        <v>3345</v>
      </c>
      <c r="AO95" s="181">
        <f>[7]Dashboard!AN95</f>
        <v>3117</v>
      </c>
      <c r="AP95" s="181">
        <f>[7]Dashboard!AO95</f>
        <v>2991</v>
      </c>
      <c r="AQ95" s="181">
        <f>[7]Dashboard!AP95</f>
        <v>3508</v>
      </c>
      <c r="AR95" s="181">
        <f>[7]Dashboard!AQ95</f>
        <v>677</v>
      </c>
      <c r="AS95" s="181">
        <f>[7]Dashboard!AR95</f>
        <v>436</v>
      </c>
      <c r="AT95" s="181">
        <f>[7]Dashboard!AS95</f>
        <v>724</v>
      </c>
      <c r="AU95" s="181">
        <f>[7]Dashboard!AT95</f>
        <v>798</v>
      </c>
      <c r="AV95" s="181">
        <f>[7]Dashboard!AU95</f>
        <v>429</v>
      </c>
      <c r="AW95" s="181" t="str">
        <f>[7]Dashboard!AV95</f>
        <v>.</v>
      </c>
      <c r="AX95" s="181">
        <f>[7]Dashboard!AW95</f>
        <v>81</v>
      </c>
      <c r="AY95" s="181">
        <f>[7]Dashboard!AX95</f>
        <v>751</v>
      </c>
      <c r="AZ95" s="181">
        <f>[7]Dashboard!AY95</f>
        <v>609</v>
      </c>
      <c r="BA95" s="181" t="str">
        <f>[7]Dashboard!AZ95</f>
        <v>.</v>
      </c>
      <c r="BB95" s="167" t="s">
        <v>806</v>
      </c>
      <c r="BC95" s="167" t="s">
        <v>892</v>
      </c>
      <c r="BE95" s="181">
        <f t="shared" si="16"/>
        <v>13998</v>
      </c>
      <c r="BF95" s="181">
        <f t="shared" si="17"/>
        <v>8484</v>
      </c>
      <c r="BG95" s="324">
        <f t="shared" si="18"/>
        <v>0.60608658379768543</v>
      </c>
      <c r="BH95" s="181">
        <f t="shared" si="19"/>
        <v>9759</v>
      </c>
      <c r="BI95" s="181">
        <f t="shared" si="20"/>
        <v>6587</v>
      </c>
      <c r="BJ95" s="324">
        <f t="shared" si="21"/>
        <v>0.67496669740752124</v>
      </c>
      <c r="BL95" s="181">
        <f>AQ95+AV95</f>
        <v>3937</v>
      </c>
      <c r="BM95" s="181">
        <v>0</v>
      </c>
      <c r="BN95" s="324">
        <f t="shared" si="24"/>
        <v>0</v>
      </c>
    </row>
    <row r="96" spans="1:66" s="167" customFormat="1" x14ac:dyDescent="0.2">
      <c r="A96" s="167" t="s">
        <v>86</v>
      </c>
      <c r="B96" s="181">
        <f>[7]Dashboard!B96</f>
        <v>505</v>
      </c>
      <c r="C96" s="181">
        <f>[7]Dashboard!C96</f>
        <v>606</v>
      </c>
      <c r="D96" s="181">
        <f>[7]Dashboard!D96</f>
        <v>543</v>
      </c>
      <c r="E96" s="181">
        <f>[7]Dashboard!E96</f>
        <v>625</v>
      </c>
      <c r="F96" s="181">
        <f>[7]Dashboard!F96</f>
        <v>728</v>
      </c>
      <c r="G96" s="181">
        <f>[7]Dashboard!G96</f>
        <v>212</v>
      </c>
      <c r="H96" s="181">
        <f>[7]Dashboard!H96</f>
        <v>203</v>
      </c>
      <c r="I96" s="181">
        <f>[7]Dashboard!I96</f>
        <v>128</v>
      </c>
      <c r="J96" s="181">
        <f>[7]Dashboard!J96</f>
        <v>330</v>
      </c>
      <c r="K96" s="181">
        <f>[7]Dashboard!K96</f>
        <v>312</v>
      </c>
      <c r="L96" s="189">
        <f>[7]Dashboard!L96</f>
        <v>2</v>
      </c>
      <c r="M96" s="189">
        <f>[7]Dashboard!M96</f>
        <v>3</v>
      </c>
      <c r="N96" s="189" t="str">
        <f>[7]Dashboard!N96</f>
        <v>.</v>
      </c>
      <c r="O96" s="189" t="str">
        <f>[7]Dashboard!O96</f>
        <v>.</v>
      </c>
      <c r="P96" s="189" t="str">
        <f>[7]Dashboard!P96</f>
        <v>.</v>
      </c>
      <c r="Q96" s="189" t="str">
        <f>[7]Dashboard!Q96</f>
        <v>.</v>
      </c>
      <c r="R96" s="189" t="str">
        <f>[7]Dashboard!R96</f>
        <v>.</v>
      </c>
      <c r="S96" s="189" t="str">
        <f>[7]Dashboard!S96</f>
        <v>.</v>
      </c>
      <c r="T96" s="189" t="str">
        <f>[7]Dashboard!T96</f>
        <v>.</v>
      </c>
      <c r="U96" s="189" t="str">
        <f>[7]Dashboard!U96</f>
        <v>.</v>
      </c>
      <c r="V96" s="167" t="s">
        <v>795</v>
      </c>
      <c r="W96" s="221" t="s">
        <v>792</v>
      </c>
      <c r="X96" s="181">
        <f>[7]Dashboard!W96</f>
        <v>12032</v>
      </c>
      <c r="Y96" s="181">
        <f>[7]Dashboard!X96</f>
        <v>10233</v>
      </c>
      <c r="Z96" s="181">
        <f>[7]Dashboard!Y96</f>
        <v>8099</v>
      </c>
      <c r="AA96" s="181">
        <f>[7]Dashboard!Z96</f>
        <v>8370</v>
      </c>
      <c r="AB96" s="181">
        <f>[7]Dashboard!AA96</f>
        <v>10701</v>
      </c>
      <c r="AC96" s="181">
        <f>[7]Dashboard!AB96</f>
        <v>3855</v>
      </c>
      <c r="AD96" s="181">
        <f>[7]Dashboard!AC96</f>
        <v>2283</v>
      </c>
      <c r="AE96" s="181">
        <f>[7]Dashboard!AD96</f>
        <v>2892</v>
      </c>
      <c r="AF96" s="181">
        <f>[7]Dashboard!AE96</f>
        <v>2490</v>
      </c>
      <c r="AG96" s="181">
        <f>[7]Dashboard!AF96</f>
        <v>3596</v>
      </c>
      <c r="AH96" s="181">
        <f>[7]Dashboard!AG96</f>
        <v>677</v>
      </c>
      <c r="AI96" s="181">
        <f>[7]Dashboard!AH96</f>
        <v>1177</v>
      </c>
      <c r="AJ96" s="181">
        <f>[7]Dashboard!AI96</f>
        <v>2603</v>
      </c>
      <c r="AK96" s="181">
        <f>[7]Dashboard!AJ96</f>
        <v>5232</v>
      </c>
      <c r="AL96" s="181">
        <f>[7]Dashboard!AK96</f>
        <v>3746</v>
      </c>
      <c r="AM96" s="181">
        <f>[7]Dashboard!AL96</f>
        <v>4343</v>
      </c>
      <c r="AN96" s="181">
        <f>[7]Dashboard!AM96</f>
        <v>5638</v>
      </c>
      <c r="AO96" s="181">
        <f>[7]Dashboard!AN96</f>
        <v>6109</v>
      </c>
      <c r="AP96" s="181">
        <f>[7]Dashboard!AO96</f>
        <v>6456</v>
      </c>
      <c r="AQ96" s="181">
        <f>[7]Dashboard!AP96</f>
        <v>6593</v>
      </c>
      <c r="AR96" s="181">
        <f>[7]Dashboard!AQ96</f>
        <v>322</v>
      </c>
      <c r="AS96" s="181">
        <f>[7]Dashboard!AR96</f>
        <v>563</v>
      </c>
      <c r="AT96" s="181">
        <f>[7]Dashboard!AS96</f>
        <v>1399</v>
      </c>
      <c r="AU96" s="181">
        <f>[7]Dashboard!AT96</f>
        <v>1040</v>
      </c>
      <c r="AV96" s="181">
        <f>[7]Dashboard!AU96</f>
        <v>943</v>
      </c>
      <c r="AW96" s="181">
        <f>[7]Dashboard!AV96</f>
        <v>239</v>
      </c>
      <c r="AX96" s="181" t="str">
        <f>[7]Dashboard!AW96</f>
        <v>.</v>
      </c>
      <c r="AY96" s="181">
        <f>[7]Dashboard!AX96</f>
        <v>504</v>
      </c>
      <c r="AZ96" s="181">
        <f>[7]Dashboard!AY96</f>
        <v>933</v>
      </c>
      <c r="BA96" s="181">
        <f>[7]Dashboard!AZ96</f>
        <v>53</v>
      </c>
      <c r="BB96" s="167" t="s">
        <v>807</v>
      </c>
      <c r="BC96" s="167" t="s">
        <v>893</v>
      </c>
      <c r="BE96" s="181">
        <f t="shared" si="16"/>
        <v>18043</v>
      </c>
      <c r="BF96" s="181">
        <f t="shared" si="17"/>
        <v>10701</v>
      </c>
      <c r="BG96" s="324">
        <f t="shared" si="18"/>
        <v>0.59308319015684752</v>
      </c>
      <c r="BH96" s="181">
        <f t="shared" si="19"/>
        <v>16564</v>
      </c>
      <c r="BI96" s="181">
        <f t="shared" si="20"/>
        <v>12032</v>
      </c>
      <c r="BJ96" s="324">
        <f t="shared" si="21"/>
        <v>0.72639459067858003</v>
      </c>
      <c r="BL96" s="181">
        <f t="shared" si="22"/>
        <v>7589</v>
      </c>
      <c r="BM96" s="181">
        <f t="shared" si="23"/>
        <v>53</v>
      </c>
      <c r="BN96" s="324">
        <f t="shared" si="24"/>
        <v>6.9837923310054027E-3</v>
      </c>
    </row>
    <row r="97" spans="1:66" s="167" customFormat="1" x14ac:dyDescent="0.2">
      <c r="A97" s="167" t="s">
        <v>87</v>
      </c>
      <c r="B97" s="181">
        <f>[7]Dashboard!B97</f>
        <v>343</v>
      </c>
      <c r="C97" s="181">
        <f>[7]Dashboard!C97</f>
        <v>304</v>
      </c>
      <c r="D97" s="181">
        <f>[7]Dashboard!D97</f>
        <v>291</v>
      </c>
      <c r="E97" s="181">
        <f>[7]Dashboard!E97</f>
        <v>314</v>
      </c>
      <c r="F97" s="181">
        <f>[7]Dashboard!F97</f>
        <v>179</v>
      </c>
      <c r="G97" s="181">
        <f>[7]Dashboard!G97</f>
        <v>6</v>
      </c>
      <c r="H97" s="181" t="str">
        <f>[7]Dashboard!H97</f>
        <v>.</v>
      </c>
      <c r="I97" s="181">
        <f>[7]Dashboard!I97</f>
        <v>42</v>
      </c>
      <c r="J97" s="181">
        <f>[7]Dashboard!J97</f>
        <v>66</v>
      </c>
      <c r="K97" s="181">
        <f>[7]Dashboard!K97</f>
        <v>112</v>
      </c>
      <c r="L97" s="189" t="str">
        <f>[7]Dashboard!L97</f>
        <v>.</v>
      </c>
      <c r="M97" s="189" t="str">
        <f>[7]Dashboard!M97</f>
        <v>.</v>
      </c>
      <c r="N97" s="189" t="str">
        <f>[7]Dashboard!N97</f>
        <v>.</v>
      </c>
      <c r="O97" s="189" t="str">
        <f>[7]Dashboard!O97</f>
        <v>.</v>
      </c>
      <c r="P97" s="189">
        <f>[7]Dashboard!P97</f>
        <v>12</v>
      </c>
      <c r="Q97" s="189" t="str">
        <f>[7]Dashboard!Q97</f>
        <v>.</v>
      </c>
      <c r="R97" s="189" t="str">
        <f>[7]Dashboard!R97</f>
        <v>.</v>
      </c>
      <c r="S97" s="189" t="str">
        <f>[7]Dashboard!S97</f>
        <v>.</v>
      </c>
      <c r="T97" s="189" t="str">
        <f>[7]Dashboard!T97</f>
        <v>.</v>
      </c>
      <c r="U97" s="189" t="str">
        <f>[7]Dashboard!U97</f>
        <v>.</v>
      </c>
      <c r="V97" s="167" t="s">
        <v>796</v>
      </c>
      <c r="W97" s="221" t="s">
        <v>875</v>
      </c>
      <c r="X97" s="181">
        <f>[7]Dashboard!W97</f>
        <v>9279</v>
      </c>
      <c r="Y97" s="181">
        <f>[7]Dashboard!X97</f>
        <v>7966</v>
      </c>
      <c r="Z97" s="181">
        <f>[7]Dashboard!Y97</f>
        <v>8676</v>
      </c>
      <c r="AA97" s="181">
        <f>[7]Dashboard!Z97</f>
        <v>8275</v>
      </c>
      <c r="AB97" s="181">
        <f>[7]Dashboard!AA97</f>
        <v>7620</v>
      </c>
      <c r="AC97" s="181">
        <f>[7]Dashboard!AB97</f>
        <v>2558</v>
      </c>
      <c r="AD97" s="181">
        <f>[7]Dashboard!AC97</f>
        <v>2378</v>
      </c>
      <c r="AE97" s="181">
        <f>[7]Dashboard!AD97</f>
        <v>2752</v>
      </c>
      <c r="AF97" s="181">
        <f>[7]Dashboard!AE97</f>
        <v>2940</v>
      </c>
      <c r="AG97" s="181">
        <f>[7]Dashboard!AF97</f>
        <v>3891</v>
      </c>
      <c r="AH97" s="181">
        <f>[7]Dashboard!AG97</f>
        <v>1254</v>
      </c>
      <c r="AI97" s="181">
        <f>[7]Dashboard!AH97</f>
        <v>2093</v>
      </c>
      <c r="AJ97" s="181">
        <f>[7]Dashboard!AI97</f>
        <v>3794</v>
      </c>
      <c r="AK97" s="181">
        <f>[7]Dashboard!AJ97</f>
        <v>4198</v>
      </c>
      <c r="AL97" s="181">
        <f>[7]Dashboard!AK97</f>
        <v>3367</v>
      </c>
      <c r="AM97" s="181">
        <f>[7]Dashboard!AL97</f>
        <v>4573</v>
      </c>
      <c r="AN97" s="181">
        <f>[7]Dashboard!AM97</f>
        <v>5006</v>
      </c>
      <c r="AO97" s="181">
        <f>[7]Dashboard!AN97</f>
        <v>4795</v>
      </c>
      <c r="AP97" s="181">
        <f>[7]Dashboard!AO97</f>
        <v>5476</v>
      </c>
      <c r="AQ97" s="181">
        <f>[7]Dashboard!AP97</f>
        <v>5530</v>
      </c>
      <c r="AR97" s="181">
        <f>[7]Dashboard!AQ97</f>
        <v>788</v>
      </c>
      <c r="AS97" s="181">
        <f>[7]Dashboard!AR97</f>
        <v>998</v>
      </c>
      <c r="AT97" s="181">
        <f>[7]Dashboard!AS97</f>
        <v>1101</v>
      </c>
      <c r="AU97" s="181">
        <f>[7]Dashboard!AT97</f>
        <v>1156</v>
      </c>
      <c r="AV97" s="181">
        <f>[7]Dashboard!AU97</f>
        <v>1278</v>
      </c>
      <c r="AW97" s="181">
        <f>[7]Dashboard!AV97</f>
        <v>8</v>
      </c>
      <c r="AX97" s="181">
        <f>[7]Dashboard!AW97</f>
        <v>473</v>
      </c>
      <c r="AY97" s="181">
        <f>[7]Dashboard!AX97</f>
        <v>401</v>
      </c>
      <c r="AZ97" s="181">
        <f>[7]Dashboard!AY97</f>
        <v>266</v>
      </c>
      <c r="BA97" s="181">
        <f>[7]Dashboard!AZ97</f>
        <v>116</v>
      </c>
      <c r="BB97" s="167" t="s">
        <v>808</v>
      </c>
      <c r="BC97" s="167" t="s">
        <v>894</v>
      </c>
      <c r="BE97" s="181">
        <f t="shared" si="16"/>
        <v>14878</v>
      </c>
      <c r="BF97" s="181">
        <f t="shared" si="17"/>
        <v>7620</v>
      </c>
      <c r="BG97" s="324">
        <f t="shared" si="18"/>
        <v>0.51216561365774971</v>
      </c>
      <c r="BH97" s="181">
        <f t="shared" si="19"/>
        <v>13091</v>
      </c>
      <c r="BI97" s="181">
        <f t="shared" si="20"/>
        <v>9279</v>
      </c>
      <c r="BJ97" s="324">
        <f t="shared" si="21"/>
        <v>0.70880757772515468</v>
      </c>
      <c r="BL97" s="181">
        <f t="shared" si="22"/>
        <v>6924</v>
      </c>
      <c r="BM97" s="181">
        <f t="shared" si="23"/>
        <v>116</v>
      </c>
      <c r="BN97" s="324">
        <f t="shared" si="24"/>
        <v>1.6753321779318313E-2</v>
      </c>
    </row>
    <row r="98" spans="1:66" s="167" customFormat="1" x14ac:dyDescent="0.2">
      <c r="A98" s="167" t="s">
        <v>88</v>
      </c>
      <c r="B98" s="181">
        <f>[7]Dashboard!B98</f>
        <v>2629</v>
      </c>
      <c r="C98" s="181">
        <f>[7]Dashboard!C98</f>
        <v>2835</v>
      </c>
      <c r="D98" s="181">
        <f>[7]Dashboard!D98</f>
        <v>2876</v>
      </c>
      <c r="E98" s="181">
        <f>[7]Dashboard!E98</f>
        <v>3159</v>
      </c>
      <c r="F98" s="181">
        <f>[7]Dashboard!F98</f>
        <v>3442</v>
      </c>
      <c r="G98" s="181">
        <f>[7]Dashboard!G98</f>
        <v>622</v>
      </c>
      <c r="H98" s="181">
        <f>[7]Dashboard!H98</f>
        <v>771</v>
      </c>
      <c r="I98" s="181">
        <f>[7]Dashboard!I98</f>
        <v>876</v>
      </c>
      <c r="J98" s="181">
        <f>[7]Dashboard!J98</f>
        <v>1139</v>
      </c>
      <c r="K98" s="181">
        <f>[7]Dashboard!K98</f>
        <v>1119</v>
      </c>
      <c r="L98" s="189">
        <f>[7]Dashboard!L98</f>
        <v>2</v>
      </c>
      <c r="M98" s="189">
        <f>[7]Dashboard!M98</f>
        <v>73</v>
      </c>
      <c r="N98" s="189">
        <f>[7]Dashboard!N98</f>
        <v>2</v>
      </c>
      <c r="O98" s="189">
        <f>[7]Dashboard!O98</f>
        <v>232</v>
      </c>
      <c r="P98" s="189">
        <f>[7]Dashboard!P98</f>
        <v>276</v>
      </c>
      <c r="Q98" s="189">
        <f>[7]Dashboard!Q98</f>
        <v>0</v>
      </c>
      <c r="R98" s="189">
        <f>[7]Dashboard!R98</f>
        <v>5</v>
      </c>
      <c r="S98" s="189">
        <f>[7]Dashboard!S98</f>
        <v>0</v>
      </c>
      <c r="T98" s="189">
        <f>[7]Dashboard!T98</f>
        <v>127</v>
      </c>
      <c r="U98" s="189">
        <f>[7]Dashboard!U98</f>
        <v>114</v>
      </c>
      <c r="V98" s="167" t="s">
        <v>798</v>
      </c>
      <c r="W98" s="221" t="s">
        <v>799</v>
      </c>
      <c r="X98" s="181">
        <f>[7]Dashboard!W98</f>
        <v>77701</v>
      </c>
      <c r="Y98" s="181">
        <f>[7]Dashboard!X98</f>
        <v>73170</v>
      </c>
      <c r="Z98" s="181">
        <f>[7]Dashboard!Y98</f>
        <v>68306</v>
      </c>
      <c r="AA98" s="181">
        <f>[7]Dashboard!Z98</f>
        <v>65787</v>
      </c>
      <c r="AB98" s="181">
        <f>[7]Dashboard!AA98</f>
        <v>67847</v>
      </c>
      <c r="AC98" s="181">
        <f>[7]Dashboard!AB98</f>
        <v>19263</v>
      </c>
      <c r="AD98" s="181">
        <f>[7]Dashboard!AC98</f>
        <v>13754</v>
      </c>
      <c r="AE98" s="181">
        <f>[7]Dashboard!AD98</f>
        <v>13405</v>
      </c>
      <c r="AF98" s="181">
        <f>[7]Dashboard!AE98</f>
        <v>11286</v>
      </c>
      <c r="AG98" s="181">
        <f>[7]Dashboard!AF98</f>
        <v>17728</v>
      </c>
      <c r="AH98" s="181">
        <f>[7]Dashboard!AG98</f>
        <v>4650</v>
      </c>
      <c r="AI98" s="181">
        <f>[7]Dashboard!AH98</f>
        <v>10922</v>
      </c>
      <c r="AJ98" s="181">
        <f>[7]Dashboard!AI98</f>
        <v>14307</v>
      </c>
      <c r="AK98" s="181">
        <f>[7]Dashboard!AJ98</f>
        <v>20702</v>
      </c>
      <c r="AL98" s="181">
        <f>[7]Dashboard!AK98</f>
        <v>18320</v>
      </c>
      <c r="AM98" s="181">
        <f>[7]Dashboard!AL98</f>
        <v>28987</v>
      </c>
      <c r="AN98" s="181">
        <f>[7]Dashboard!AM98</f>
        <v>30583</v>
      </c>
      <c r="AO98" s="181">
        <f>[7]Dashboard!AN98</f>
        <v>29799</v>
      </c>
      <c r="AP98" s="181">
        <f>[7]Dashboard!AO98</f>
        <v>32479</v>
      </c>
      <c r="AQ98" s="181">
        <f>[7]Dashboard!AP98</f>
        <v>35633</v>
      </c>
      <c r="AR98" s="181">
        <f>[7]Dashboard!AQ98</f>
        <v>3891</v>
      </c>
      <c r="AS98" s="181">
        <f>[7]Dashboard!AR98</f>
        <v>4331</v>
      </c>
      <c r="AT98" s="181">
        <f>[7]Dashboard!AS98</f>
        <v>5455</v>
      </c>
      <c r="AU98" s="181">
        <f>[7]Dashboard!AT98</f>
        <v>5234</v>
      </c>
      <c r="AV98" s="181">
        <f>[7]Dashboard!AU98</f>
        <v>5401</v>
      </c>
      <c r="AW98" s="181">
        <f>[7]Dashboard!AV98</f>
        <v>905</v>
      </c>
      <c r="AX98" s="181">
        <f>[7]Dashboard!AW98</f>
        <v>1417</v>
      </c>
      <c r="AY98" s="181">
        <f>[7]Dashboard!AX98</f>
        <v>3515</v>
      </c>
      <c r="AZ98" s="181">
        <f>[7]Dashboard!AY98</f>
        <v>2809</v>
      </c>
      <c r="BA98" s="181">
        <f>[7]Dashboard!AZ98</f>
        <v>756</v>
      </c>
      <c r="BB98" s="167" t="s">
        <v>801</v>
      </c>
      <c r="BC98" s="167" t="s">
        <v>895</v>
      </c>
      <c r="BE98" s="181">
        <f t="shared" si="16"/>
        <v>103895</v>
      </c>
      <c r="BF98" s="181">
        <f t="shared" si="17"/>
        <v>67847</v>
      </c>
      <c r="BG98" s="324">
        <f t="shared" si="18"/>
        <v>0.65303431348958085</v>
      </c>
      <c r="BH98" s="181">
        <f t="shared" si="19"/>
        <v>101614</v>
      </c>
      <c r="BI98" s="181">
        <f t="shared" si="20"/>
        <v>77701</v>
      </c>
      <c r="BJ98" s="324">
        <f t="shared" si="21"/>
        <v>0.76466825437439723</v>
      </c>
      <c r="BL98" s="181">
        <f t="shared" si="22"/>
        <v>41790</v>
      </c>
      <c r="BM98" s="181">
        <f t="shared" si="23"/>
        <v>756</v>
      </c>
      <c r="BN98" s="324">
        <f t="shared" si="24"/>
        <v>1.8090452261306532E-2</v>
      </c>
    </row>
    <row r="99" spans="1:66" s="36" customFormat="1" x14ac:dyDescent="0.2">
      <c r="Q99" s="186"/>
      <c r="R99" s="186"/>
      <c r="S99" s="186"/>
      <c r="T99" s="186"/>
      <c r="U99" s="186"/>
    </row>
    <row r="100" spans="1:66" s="172" customFormat="1" ht="27" customHeight="1" x14ac:dyDescent="0.2">
      <c r="A100" s="171" t="s">
        <v>211</v>
      </c>
      <c r="B100" s="480" t="s">
        <v>257</v>
      </c>
      <c r="C100" s="480"/>
      <c r="D100" s="480"/>
      <c r="E100" s="480"/>
      <c r="F100" s="480"/>
      <c r="G100" s="480" t="s">
        <v>258</v>
      </c>
      <c r="H100" s="480"/>
      <c r="I100" s="480"/>
      <c r="J100" s="480"/>
      <c r="K100" s="480"/>
      <c r="L100" s="480" t="s">
        <v>259</v>
      </c>
      <c r="M100" s="480"/>
      <c r="N100" s="480"/>
      <c r="O100" s="480"/>
      <c r="P100" s="480"/>
      <c r="Q100" s="480" t="s">
        <v>212</v>
      </c>
      <c r="R100" s="480"/>
      <c r="S100" s="480"/>
      <c r="T100" s="480"/>
      <c r="U100" s="480"/>
      <c r="V100" s="480" t="s">
        <v>213</v>
      </c>
      <c r="W100" s="480"/>
      <c r="X100" s="480"/>
      <c r="Y100" s="480"/>
      <c r="Z100" s="480"/>
    </row>
    <row r="101" spans="1:66" s="172" customFormat="1" x14ac:dyDescent="0.2">
      <c r="B101" s="173" t="s">
        <v>214</v>
      </c>
      <c r="C101" s="173" t="s">
        <v>6</v>
      </c>
      <c r="D101" s="173" t="s">
        <v>5</v>
      </c>
      <c r="E101" s="173" t="s">
        <v>4</v>
      </c>
      <c r="F101" s="173" t="s">
        <v>3</v>
      </c>
      <c r="G101" s="173" t="s">
        <v>214</v>
      </c>
      <c r="H101" s="173" t="s">
        <v>6</v>
      </c>
      <c r="I101" s="173" t="s">
        <v>5</v>
      </c>
      <c r="J101" s="173" t="s">
        <v>4</v>
      </c>
      <c r="K101" s="173" t="s">
        <v>3</v>
      </c>
      <c r="L101" s="173" t="s">
        <v>214</v>
      </c>
      <c r="M101" s="173" t="s">
        <v>6</v>
      </c>
      <c r="N101" s="173" t="s">
        <v>5</v>
      </c>
      <c r="O101" s="173" t="s">
        <v>4</v>
      </c>
      <c r="P101" s="173" t="s">
        <v>3</v>
      </c>
      <c r="Q101" s="173" t="s">
        <v>214</v>
      </c>
      <c r="R101" s="173" t="s">
        <v>6</v>
      </c>
      <c r="S101" s="173" t="s">
        <v>5</v>
      </c>
      <c r="T101" s="173" t="s">
        <v>4</v>
      </c>
      <c r="U101" s="173" t="s">
        <v>3</v>
      </c>
      <c r="V101" s="173" t="s">
        <v>214</v>
      </c>
      <c r="W101" s="173" t="s">
        <v>6</v>
      </c>
      <c r="X101" s="173" t="s">
        <v>5</v>
      </c>
      <c r="Y101" s="173" t="s">
        <v>4</v>
      </c>
      <c r="Z101" s="173" t="s">
        <v>3</v>
      </c>
    </row>
    <row r="102" spans="1:66" s="172" customFormat="1" x14ac:dyDescent="0.2">
      <c r="A102" s="172" t="s">
        <v>82</v>
      </c>
      <c r="B102" s="184">
        <f>[7]Dashboard!B102</f>
        <v>4934</v>
      </c>
      <c r="C102" s="184">
        <f>[7]Dashboard!C102</f>
        <v>4577</v>
      </c>
      <c r="D102" s="184">
        <f>[7]Dashboard!D102</f>
        <v>4726</v>
      </c>
      <c r="E102" s="184">
        <f>[7]Dashboard!E102</f>
        <v>4295</v>
      </c>
      <c r="F102" s="184">
        <f>[7]Dashboard!F102</f>
        <v>4307</v>
      </c>
      <c r="G102" s="184">
        <f>[7]Dashboard!G102</f>
        <v>22671</v>
      </c>
      <c r="H102" s="184">
        <f>[7]Dashboard!H102</f>
        <v>20530</v>
      </c>
      <c r="I102" s="184">
        <f>[7]Dashboard!I102</f>
        <v>21196</v>
      </c>
      <c r="J102" s="184">
        <f>[7]Dashboard!J102</f>
        <v>19582</v>
      </c>
      <c r="K102" s="184">
        <f>[7]Dashboard!K102</f>
        <v>18799</v>
      </c>
      <c r="L102" s="184">
        <f>[7]Dashboard!L102</f>
        <v>61231</v>
      </c>
      <c r="M102" s="184">
        <f>[7]Dashboard!M102</f>
        <v>60972</v>
      </c>
      <c r="N102" s="184">
        <f>[7]Dashboard!N102</f>
        <v>62131</v>
      </c>
      <c r="O102" s="184">
        <f>[7]Dashboard!O102</f>
        <v>63924</v>
      </c>
      <c r="P102" s="184">
        <f>[7]Dashboard!P102</f>
        <v>64313</v>
      </c>
      <c r="Q102" s="184">
        <f>[7]Dashboard!Q102</f>
        <v>1045</v>
      </c>
      <c r="R102" s="184">
        <f>[7]Dashboard!R102</f>
        <v>903</v>
      </c>
      <c r="S102" s="184">
        <f>[7]Dashboard!S102</f>
        <v>903</v>
      </c>
      <c r="T102" s="184">
        <f>[7]Dashboard!T102</f>
        <v>925</v>
      </c>
      <c r="U102" s="184">
        <f>[7]Dashboard!U102</f>
        <v>882</v>
      </c>
      <c r="V102" s="184">
        <f>[7]Dashboard!V102</f>
        <v>1012</v>
      </c>
      <c r="W102" s="184">
        <f>[7]Dashboard!W102</f>
        <v>1164</v>
      </c>
      <c r="X102" s="184">
        <f>[7]Dashboard!X102</f>
        <v>1005</v>
      </c>
      <c r="Y102" s="184">
        <f>[7]Dashboard!Y102</f>
        <v>1306</v>
      </c>
      <c r="Z102" s="184">
        <f>[7]Dashboard!Z102</f>
        <v>1342</v>
      </c>
      <c r="AA102" s="172" t="s">
        <v>598</v>
      </c>
      <c r="AB102" s="172" t="s">
        <v>606</v>
      </c>
      <c r="AC102" s="172" t="s">
        <v>641</v>
      </c>
      <c r="AD102" s="172" t="s">
        <v>649</v>
      </c>
      <c r="AE102" s="200"/>
      <c r="AF102" s="200"/>
      <c r="AG102" s="200"/>
      <c r="AH102" s="200"/>
    </row>
    <row r="103" spans="1:66" s="172" customFormat="1" x14ac:dyDescent="0.2">
      <c r="A103" s="172" t="s">
        <v>83</v>
      </c>
      <c r="B103" s="184">
        <f>[7]Dashboard!B103</f>
        <v>329</v>
      </c>
      <c r="C103" s="184">
        <f>[7]Dashboard!C103</f>
        <v>427</v>
      </c>
      <c r="D103" s="184">
        <f>[7]Dashboard!D103</f>
        <v>513</v>
      </c>
      <c r="E103" s="184">
        <f>[7]Dashboard!E103</f>
        <v>598</v>
      </c>
      <c r="F103" s="184">
        <f>[7]Dashboard!F103</f>
        <v>637</v>
      </c>
      <c r="G103" s="184">
        <f>[7]Dashboard!G103</f>
        <v>1962</v>
      </c>
      <c r="H103" s="184">
        <f>[7]Dashboard!H103</f>
        <v>1734</v>
      </c>
      <c r="I103" s="184">
        <f>[7]Dashboard!I103</f>
        <v>1721</v>
      </c>
      <c r="J103" s="184">
        <f>[7]Dashboard!J103</f>
        <v>1795</v>
      </c>
      <c r="K103" s="184">
        <f>[7]Dashboard!K103</f>
        <v>1742</v>
      </c>
      <c r="L103" s="184">
        <f>[7]Dashboard!L103</f>
        <v>2421</v>
      </c>
      <c r="M103" s="184">
        <f>[7]Dashboard!M103</f>
        <v>2575</v>
      </c>
      <c r="N103" s="184">
        <f>[7]Dashboard!N103</f>
        <v>2668</v>
      </c>
      <c r="O103" s="184">
        <f>[7]Dashboard!O103</f>
        <v>2780</v>
      </c>
      <c r="P103" s="184">
        <f>[7]Dashboard!P103</f>
        <v>2923</v>
      </c>
      <c r="Q103" s="184">
        <f>[7]Dashboard!Q103</f>
        <v>11</v>
      </c>
      <c r="R103" s="184">
        <f>[7]Dashboard!R103</f>
        <v>1</v>
      </c>
      <c r="S103" s="184">
        <f>[7]Dashboard!S103</f>
        <v>13</v>
      </c>
      <c r="T103" s="184">
        <f>[7]Dashboard!T103</f>
        <v>13</v>
      </c>
      <c r="U103" s="184">
        <f>[7]Dashboard!U103</f>
        <v>8</v>
      </c>
      <c r="V103" s="184">
        <f>[7]Dashboard!V103</f>
        <v>149</v>
      </c>
      <c r="W103" s="184">
        <f>[7]Dashboard!W103</f>
        <v>123</v>
      </c>
      <c r="X103" s="184">
        <f>[7]Dashboard!X103</f>
        <v>143</v>
      </c>
      <c r="Y103" s="184">
        <f>[7]Dashboard!Y103</f>
        <v>124</v>
      </c>
      <c r="Z103" s="184">
        <f>[7]Dashboard!Z103</f>
        <v>168</v>
      </c>
      <c r="AA103" s="172" t="s">
        <v>599</v>
      </c>
      <c r="AB103" s="172" t="s">
        <v>607</v>
      </c>
      <c r="AC103" s="172" t="s">
        <v>642</v>
      </c>
      <c r="AD103" s="172" t="s">
        <v>650</v>
      </c>
      <c r="AE103" s="200"/>
      <c r="AF103" s="200"/>
      <c r="AG103" s="200"/>
      <c r="AH103" s="200"/>
    </row>
    <row r="104" spans="1:66" s="172" customFormat="1" x14ac:dyDescent="0.2">
      <c r="A104" s="172" t="s">
        <v>84</v>
      </c>
      <c r="B104" s="184">
        <f>[7]Dashboard!B104</f>
        <v>1250</v>
      </c>
      <c r="C104" s="184">
        <f>[7]Dashboard!C104</f>
        <v>1423</v>
      </c>
      <c r="D104" s="184">
        <f>[7]Dashboard!D104</f>
        <v>1929</v>
      </c>
      <c r="E104" s="184">
        <f>[7]Dashboard!E104</f>
        <v>1770</v>
      </c>
      <c r="F104" s="184">
        <f>[7]Dashboard!F104</f>
        <v>2449</v>
      </c>
      <c r="G104" s="184">
        <f>[7]Dashboard!G104</f>
        <v>9955</v>
      </c>
      <c r="H104" s="184">
        <f>[7]Dashboard!H104</f>
        <v>10411</v>
      </c>
      <c r="I104" s="184">
        <f>[7]Dashboard!I104</f>
        <v>10864</v>
      </c>
      <c r="J104" s="184">
        <f>[7]Dashboard!J104</f>
        <v>10988</v>
      </c>
      <c r="K104" s="184">
        <f>[7]Dashboard!K104</f>
        <v>10942</v>
      </c>
      <c r="L104" s="184">
        <f>[7]Dashboard!L104</f>
        <v>37482</v>
      </c>
      <c r="M104" s="184">
        <f>[7]Dashboard!M104</f>
        <v>32510</v>
      </c>
      <c r="N104" s="184">
        <f>[7]Dashboard!N104</f>
        <v>37706</v>
      </c>
      <c r="O104" s="184">
        <f>[7]Dashboard!O104</f>
        <v>38094</v>
      </c>
      <c r="P104" s="184">
        <f>[7]Dashboard!P104</f>
        <v>37101</v>
      </c>
      <c r="Q104" s="184">
        <f>[7]Dashboard!Q104</f>
        <v>238</v>
      </c>
      <c r="R104" s="184">
        <f>[7]Dashboard!R104</f>
        <v>206</v>
      </c>
      <c r="S104" s="184">
        <f>[7]Dashboard!S104</f>
        <v>229</v>
      </c>
      <c r="T104" s="184">
        <f>[7]Dashboard!T104</f>
        <v>246</v>
      </c>
      <c r="U104" s="184">
        <f>[7]Dashboard!U104</f>
        <v>292</v>
      </c>
      <c r="V104" s="184">
        <f>[7]Dashboard!V104</f>
        <v>212</v>
      </c>
      <c r="W104" s="184">
        <f>[7]Dashboard!W104</f>
        <v>432</v>
      </c>
      <c r="X104" s="184">
        <f>[7]Dashboard!X104</f>
        <v>624</v>
      </c>
      <c r="Y104" s="184">
        <f>[7]Dashboard!Y104</f>
        <v>721</v>
      </c>
      <c r="Z104" s="184">
        <f>[7]Dashboard!Z104</f>
        <v>759</v>
      </c>
      <c r="AA104" s="172" t="s">
        <v>600</v>
      </c>
      <c r="AB104" s="172" t="s">
        <v>608</v>
      </c>
      <c r="AC104" s="172" t="s">
        <v>643</v>
      </c>
      <c r="AD104" s="172" t="s">
        <v>651</v>
      </c>
      <c r="AE104" s="200"/>
      <c r="AF104" s="200"/>
      <c r="AG104" s="200"/>
      <c r="AH104" s="200"/>
    </row>
    <row r="105" spans="1:66" s="172" customFormat="1" x14ac:dyDescent="0.2">
      <c r="A105" s="172" t="s">
        <v>103</v>
      </c>
      <c r="B105" s="184">
        <f>[7]Dashboard!B105</f>
        <v>3525</v>
      </c>
      <c r="C105" s="184">
        <f>[7]Dashboard!C105</f>
        <v>3764</v>
      </c>
      <c r="D105" s="184">
        <f>[7]Dashboard!D105</f>
        <v>3933</v>
      </c>
      <c r="E105" s="184">
        <f>[7]Dashboard!E105</f>
        <v>3886</v>
      </c>
      <c r="F105" s="184">
        <f>[7]Dashboard!F105</f>
        <v>3818</v>
      </c>
      <c r="G105" s="184">
        <f>[7]Dashboard!G105</f>
        <v>17494</v>
      </c>
      <c r="H105" s="184">
        <f>[7]Dashboard!H105</f>
        <v>17664</v>
      </c>
      <c r="I105" s="184">
        <f>[7]Dashboard!I105</f>
        <v>17785</v>
      </c>
      <c r="J105" s="184">
        <f>[7]Dashboard!J105</f>
        <v>15440</v>
      </c>
      <c r="K105" s="184">
        <f>[7]Dashboard!K105</f>
        <v>16408</v>
      </c>
      <c r="L105" s="184">
        <f>[7]Dashboard!L105</f>
        <v>58509</v>
      </c>
      <c r="M105" s="184">
        <f>[7]Dashboard!M105</f>
        <v>56026</v>
      </c>
      <c r="N105" s="184">
        <f>[7]Dashboard!N105</f>
        <v>58426</v>
      </c>
      <c r="O105" s="184">
        <f>[7]Dashboard!O105</f>
        <v>56537</v>
      </c>
      <c r="P105" s="184">
        <f>[7]Dashboard!P105</f>
        <v>56319</v>
      </c>
      <c r="Q105" s="184">
        <f>[7]Dashboard!Q105</f>
        <v>717</v>
      </c>
      <c r="R105" s="184">
        <f>[7]Dashboard!R105</f>
        <v>592</v>
      </c>
      <c r="S105" s="184">
        <f>[7]Dashboard!S105</f>
        <v>522</v>
      </c>
      <c r="T105" s="184">
        <f>[7]Dashboard!T105</f>
        <v>697</v>
      </c>
      <c r="U105" s="184">
        <f>[7]Dashboard!U105</f>
        <v>640</v>
      </c>
      <c r="V105" s="184">
        <f>[7]Dashboard!V105</f>
        <v>1027</v>
      </c>
      <c r="W105" s="184">
        <f>[7]Dashboard!W105</f>
        <v>918</v>
      </c>
      <c r="X105" s="184">
        <f>[7]Dashboard!X105</f>
        <v>1039</v>
      </c>
      <c r="Y105" s="184">
        <f>[7]Dashboard!Y105</f>
        <v>1122</v>
      </c>
      <c r="Z105" s="184">
        <f>[7]Dashboard!Z105</f>
        <v>1155</v>
      </c>
      <c r="AA105" s="172" t="s">
        <v>601</v>
      </c>
      <c r="AB105" s="172" t="s">
        <v>609</v>
      </c>
      <c r="AC105" s="172" t="s">
        <v>644</v>
      </c>
      <c r="AD105" s="172" t="s">
        <v>655</v>
      </c>
      <c r="AE105" s="200"/>
      <c r="AF105" s="200"/>
      <c r="AG105" s="200"/>
      <c r="AH105" s="200"/>
    </row>
    <row r="106" spans="1:66" s="172" customFormat="1" x14ac:dyDescent="0.2">
      <c r="A106" s="172" t="s">
        <v>85</v>
      </c>
      <c r="B106" s="184">
        <f>[7]Dashboard!B106</f>
        <v>1564</v>
      </c>
      <c r="C106" s="184">
        <f>[7]Dashboard!C106</f>
        <v>1609</v>
      </c>
      <c r="D106" s="184">
        <f>[7]Dashboard!D106</f>
        <v>1538</v>
      </c>
      <c r="E106" s="184">
        <f>[7]Dashboard!E106</f>
        <v>1048</v>
      </c>
      <c r="F106" s="184">
        <f>[7]Dashboard!F106</f>
        <v>1508</v>
      </c>
      <c r="G106" s="184">
        <f>[7]Dashboard!G106</f>
        <v>10529</v>
      </c>
      <c r="H106" s="184">
        <f>[7]Dashboard!H106</f>
        <v>8531</v>
      </c>
      <c r="I106" s="184">
        <f>[7]Dashboard!I106</f>
        <v>7142</v>
      </c>
      <c r="J106" s="184">
        <f>[7]Dashboard!J106</f>
        <v>5964</v>
      </c>
      <c r="K106" s="184">
        <f>[7]Dashboard!K106</f>
        <v>6305</v>
      </c>
      <c r="L106" s="184">
        <f>[7]Dashboard!L106</f>
        <v>36624</v>
      </c>
      <c r="M106" s="184">
        <f>[7]Dashboard!M106</f>
        <v>37424</v>
      </c>
      <c r="N106" s="184">
        <f>[7]Dashboard!N106</f>
        <v>27634</v>
      </c>
      <c r="O106" s="184">
        <f>[7]Dashboard!O106</f>
        <v>23333</v>
      </c>
      <c r="P106" s="184">
        <f>[7]Dashboard!P106</f>
        <v>21095</v>
      </c>
      <c r="Q106" s="184">
        <f>[7]Dashboard!Q106</f>
        <v>344</v>
      </c>
      <c r="R106" s="184">
        <f>[7]Dashboard!R106</f>
        <v>357</v>
      </c>
      <c r="S106" s="184">
        <f>[7]Dashboard!S106</f>
        <v>310</v>
      </c>
      <c r="T106" s="184">
        <f>[7]Dashboard!T106</f>
        <v>367</v>
      </c>
      <c r="U106" s="184">
        <f>[7]Dashboard!U106</f>
        <v>363</v>
      </c>
      <c r="V106" s="184">
        <f>[7]Dashboard!V106</f>
        <v>486</v>
      </c>
      <c r="W106" s="184">
        <f>[7]Dashboard!W106</f>
        <v>363</v>
      </c>
      <c r="X106" s="184">
        <f>[7]Dashboard!X106</f>
        <v>463</v>
      </c>
      <c r="Y106" s="184">
        <f>[7]Dashboard!Y106</f>
        <v>384</v>
      </c>
      <c r="Z106" s="184">
        <f>[7]Dashboard!Z106</f>
        <v>473</v>
      </c>
      <c r="AA106" s="172" t="s">
        <v>602</v>
      </c>
      <c r="AB106" s="172" t="s">
        <v>610</v>
      </c>
      <c r="AC106" s="172" t="s">
        <v>645</v>
      </c>
      <c r="AD106" s="172" t="s">
        <v>896</v>
      </c>
      <c r="AE106" s="200"/>
      <c r="AF106" s="200"/>
      <c r="AG106" s="200"/>
      <c r="AH106" s="200"/>
    </row>
    <row r="107" spans="1:66" s="172" customFormat="1" x14ac:dyDescent="0.2">
      <c r="A107" s="172" t="s">
        <v>86</v>
      </c>
      <c r="B107" s="184">
        <f>[7]Dashboard!B107</f>
        <v>2374</v>
      </c>
      <c r="C107" s="184">
        <f>[7]Dashboard!C107</f>
        <v>2255</v>
      </c>
      <c r="D107" s="184">
        <f>[7]Dashboard!D107</f>
        <v>2419</v>
      </c>
      <c r="E107" s="184">
        <f>[7]Dashboard!E107</f>
        <v>2449</v>
      </c>
      <c r="F107" s="184">
        <f>[7]Dashboard!F107</f>
        <v>2890</v>
      </c>
      <c r="G107" s="184">
        <f>[7]Dashboard!G107</f>
        <v>10536</v>
      </c>
      <c r="H107" s="184">
        <f>[7]Dashboard!H107</f>
        <v>12475</v>
      </c>
      <c r="I107" s="184">
        <f>[7]Dashboard!I107</f>
        <v>11140</v>
      </c>
      <c r="J107" s="184">
        <f>[7]Dashboard!J107</f>
        <v>10613</v>
      </c>
      <c r="K107" s="184">
        <f>[7]Dashboard!K107</f>
        <v>12249</v>
      </c>
      <c r="L107" s="184">
        <f>[7]Dashboard!L107</f>
        <v>23248</v>
      </c>
      <c r="M107" s="184">
        <f>[7]Dashboard!M107</f>
        <v>23132</v>
      </c>
      <c r="N107" s="184">
        <f>[7]Dashboard!N107</f>
        <v>24374</v>
      </c>
      <c r="O107" s="184">
        <f>[7]Dashboard!O107</f>
        <v>24580</v>
      </c>
      <c r="P107" s="184">
        <f>[7]Dashboard!P107</f>
        <v>24913</v>
      </c>
      <c r="Q107" s="184">
        <f>[7]Dashboard!Q107</f>
        <v>502</v>
      </c>
      <c r="R107" s="184">
        <f>[7]Dashboard!R107</f>
        <v>401</v>
      </c>
      <c r="S107" s="184">
        <f>[7]Dashboard!S107</f>
        <v>474</v>
      </c>
      <c r="T107" s="184">
        <f>[7]Dashboard!T107</f>
        <v>374</v>
      </c>
      <c r="U107" s="184">
        <f>[7]Dashboard!U107</f>
        <v>467</v>
      </c>
      <c r="V107" s="184">
        <f>[7]Dashboard!V107</f>
        <v>974</v>
      </c>
      <c r="W107" s="184">
        <f>[7]Dashboard!W107</f>
        <v>876</v>
      </c>
      <c r="X107" s="184">
        <f>[7]Dashboard!X107</f>
        <v>827</v>
      </c>
      <c r="Y107" s="184">
        <f>[7]Dashboard!Y107</f>
        <v>989</v>
      </c>
      <c r="Z107" s="184">
        <f>[7]Dashboard!Z107</f>
        <v>1074</v>
      </c>
      <c r="AA107" s="172" t="s">
        <v>603</v>
      </c>
      <c r="AB107" s="172" t="s">
        <v>611</v>
      </c>
      <c r="AC107" s="172" t="s">
        <v>646</v>
      </c>
      <c r="AD107" s="172" t="s">
        <v>652</v>
      </c>
      <c r="AE107" s="200"/>
      <c r="AF107" s="200"/>
      <c r="AG107" s="200"/>
      <c r="AH107" s="200"/>
    </row>
    <row r="108" spans="1:66" s="172" customFormat="1" x14ac:dyDescent="0.2">
      <c r="A108" s="172" t="s">
        <v>87</v>
      </c>
      <c r="B108" s="184">
        <f>[7]Dashboard!B108</f>
        <v>2143</v>
      </c>
      <c r="C108" s="184">
        <f>[7]Dashboard!C108</f>
        <v>1978</v>
      </c>
      <c r="D108" s="184">
        <f>[7]Dashboard!D108</f>
        <v>1869</v>
      </c>
      <c r="E108" s="184">
        <f>[7]Dashboard!E108</f>
        <v>2273</v>
      </c>
      <c r="F108" s="184">
        <f>[7]Dashboard!F108</f>
        <v>2541</v>
      </c>
      <c r="G108" s="184">
        <f>[7]Dashboard!G108</f>
        <v>12623</v>
      </c>
      <c r="H108" s="184">
        <f>[7]Dashboard!H108</f>
        <v>11824</v>
      </c>
      <c r="I108" s="184">
        <f>[7]Dashboard!I108</f>
        <v>10734</v>
      </c>
      <c r="J108" s="184">
        <f>[7]Dashboard!J108</f>
        <v>11964</v>
      </c>
      <c r="K108" s="184">
        <f>[7]Dashboard!K108</f>
        <v>12211</v>
      </c>
      <c r="L108" s="184">
        <f>[7]Dashboard!L108</f>
        <v>34919</v>
      </c>
      <c r="M108" s="184">
        <f>[7]Dashboard!M108</f>
        <v>35058</v>
      </c>
      <c r="N108" s="184">
        <f>[7]Dashboard!N108</f>
        <v>36171</v>
      </c>
      <c r="O108" s="184">
        <f>[7]Dashboard!O108</f>
        <v>37018</v>
      </c>
      <c r="P108" s="184">
        <f>[7]Dashboard!P108</f>
        <v>36819</v>
      </c>
      <c r="Q108" s="184">
        <f>[7]Dashboard!Q108</f>
        <v>448</v>
      </c>
      <c r="R108" s="184">
        <f>[7]Dashboard!R108</f>
        <v>412</v>
      </c>
      <c r="S108" s="184">
        <f>[7]Dashboard!S108</f>
        <v>517</v>
      </c>
      <c r="T108" s="184">
        <f>[7]Dashboard!T108</f>
        <v>497</v>
      </c>
      <c r="U108" s="184">
        <f>[7]Dashboard!U108</f>
        <v>434</v>
      </c>
      <c r="V108" s="184">
        <f>[7]Dashboard!V108</f>
        <v>761</v>
      </c>
      <c r="W108" s="184">
        <f>[7]Dashboard!W108</f>
        <v>827</v>
      </c>
      <c r="X108" s="184">
        <f>[7]Dashboard!X108</f>
        <v>746</v>
      </c>
      <c r="Y108" s="184">
        <f>[7]Dashboard!Y108</f>
        <v>919</v>
      </c>
      <c r="Z108" s="184">
        <f>[7]Dashboard!Z108</f>
        <v>1113</v>
      </c>
      <c r="AA108" s="172" t="s">
        <v>604</v>
      </c>
      <c r="AB108" s="172" t="s">
        <v>612</v>
      </c>
      <c r="AC108" s="172" t="s">
        <v>647</v>
      </c>
      <c r="AD108" s="172" t="s">
        <v>653</v>
      </c>
      <c r="AE108" s="200"/>
      <c r="AF108" s="200"/>
      <c r="AG108" s="200"/>
      <c r="AH108" s="200"/>
    </row>
    <row r="109" spans="1:66" s="172" customFormat="1" x14ac:dyDescent="0.2">
      <c r="A109" s="172" t="s">
        <v>88</v>
      </c>
      <c r="B109" s="184">
        <f>[7]Dashboard!B109</f>
        <v>16119</v>
      </c>
      <c r="C109" s="184">
        <f>[7]Dashboard!C109</f>
        <v>16033</v>
      </c>
      <c r="D109" s="184">
        <f>[7]Dashboard!D109</f>
        <v>16927</v>
      </c>
      <c r="E109" s="184">
        <f>[7]Dashboard!E109</f>
        <v>16319</v>
      </c>
      <c r="F109" s="184">
        <f>[7]Dashboard!F109</f>
        <v>18150</v>
      </c>
      <c r="G109" s="184">
        <f>[7]Dashboard!G109</f>
        <v>85770</v>
      </c>
      <c r="H109" s="184">
        <f>[7]Dashboard!H109</f>
        <v>83169</v>
      </c>
      <c r="I109" s="184">
        <f>[7]Dashboard!I109</f>
        <v>80582</v>
      </c>
      <c r="J109" s="184">
        <f>[7]Dashboard!J109</f>
        <v>76346</v>
      </c>
      <c r="K109" s="184">
        <f>[7]Dashboard!K109</f>
        <v>78656</v>
      </c>
      <c r="L109" s="184">
        <f>[7]Dashboard!L109</f>
        <v>254434</v>
      </c>
      <c r="M109" s="184">
        <f>[7]Dashboard!M109</f>
        <v>247697</v>
      </c>
      <c r="N109" s="184">
        <f>[7]Dashboard!N109</f>
        <v>249110</v>
      </c>
      <c r="O109" s="184">
        <f>[7]Dashboard!O109</f>
        <v>246266</v>
      </c>
      <c r="P109" s="184">
        <f>[7]Dashboard!P109</f>
        <v>243483</v>
      </c>
      <c r="Q109" s="184">
        <f>[7]Dashboard!Q109</f>
        <v>3305</v>
      </c>
      <c r="R109" s="184">
        <f>[7]Dashboard!R109</f>
        <v>2872</v>
      </c>
      <c r="S109" s="184">
        <f>[7]Dashboard!S109</f>
        <v>2968</v>
      </c>
      <c r="T109" s="184">
        <f>[7]Dashboard!T109</f>
        <v>3119</v>
      </c>
      <c r="U109" s="184">
        <f>[7]Dashboard!U109</f>
        <v>3086</v>
      </c>
      <c r="V109" s="184">
        <f>[7]Dashboard!V109</f>
        <v>4641</v>
      </c>
      <c r="W109" s="184">
        <f>[7]Dashboard!W109</f>
        <v>4715</v>
      </c>
      <c r="X109" s="184">
        <f>[7]Dashboard!X109</f>
        <v>4902</v>
      </c>
      <c r="Y109" s="184">
        <f>[7]Dashboard!Y109</f>
        <v>5617</v>
      </c>
      <c r="Z109" s="184">
        <f>[7]Dashboard!Z109</f>
        <v>6165</v>
      </c>
      <c r="AA109" s="172" t="s">
        <v>605</v>
      </c>
      <c r="AB109" s="172" t="s">
        <v>613</v>
      </c>
      <c r="AC109" s="172" t="s">
        <v>648</v>
      </c>
      <c r="AD109" s="172" t="s">
        <v>654</v>
      </c>
      <c r="AE109" s="200"/>
      <c r="AF109" s="200"/>
      <c r="AG109" s="200"/>
      <c r="AH109" s="200"/>
    </row>
    <row r="110" spans="1:66" x14ac:dyDescent="0.2">
      <c r="J110" s="187"/>
      <c r="K110" s="187"/>
      <c r="O110" s="187"/>
      <c r="P110" s="187"/>
    </row>
    <row r="111" spans="1:66" ht="12.75" x14ac:dyDescent="0.2">
      <c r="J111" s="187"/>
      <c r="K111" s="187"/>
      <c r="O111" s="187"/>
      <c r="P111" s="187"/>
      <c r="Y111" s="187"/>
      <c r="Z111" s="187"/>
      <c r="BC111" s="325"/>
    </row>
    <row r="112" spans="1:66" ht="12.75" x14ac:dyDescent="0.2">
      <c r="A112" s="35" t="s">
        <v>352</v>
      </c>
      <c r="J112" s="187"/>
      <c r="K112" s="187"/>
      <c r="O112" s="187"/>
      <c r="P112" s="187"/>
      <c r="Y112" s="187"/>
      <c r="Z112" s="187"/>
      <c r="BC112" s="325"/>
    </row>
    <row r="113" spans="1:55" ht="12.75" x14ac:dyDescent="0.2">
      <c r="A113" s="87" t="s">
        <v>36</v>
      </c>
      <c r="D113" s="267" t="s">
        <v>82</v>
      </c>
      <c r="E113" s="35" t="s">
        <v>231</v>
      </c>
      <c r="J113" s="187"/>
      <c r="K113" s="187"/>
      <c r="O113" s="187"/>
      <c r="P113" s="187"/>
      <c r="Y113" s="187"/>
      <c r="Z113" s="187"/>
      <c r="BC113" s="325"/>
    </row>
    <row r="114" spans="1:55" x14ac:dyDescent="0.2">
      <c r="A114" s="92" t="s">
        <v>114</v>
      </c>
      <c r="D114" s="267" t="s">
        <v>83</v>
      </c>
      <c r="E114" s="35" t="s">
        <v>232</v>
      </c>
      <c r="J114" s="187"/>
      <c r="K114" s="187"/>
      <c r="O114" s="187"/>
      <c r="P114" s="187"/>
      <c r="Y114" s="187"/>
      <c r="Z114" s="187"/>
    </row>
    <row r="115" spans="1:55" x14ac:dyDescent="0.2">
      <c r="A115" s="113" t="s">
        <v>20</v>
      </c>
      <c r="D115" s="267" t="s">
        <v>84</v>
      </c>
      <c r="E115" s="35" t="s">
        <v>625</v>
      </c>
      <c r="J115" s="187"/>
      <c r="K115" s="187"/>
      <c r="O115" s="187"/>
      <c r="P115" s="187"/>
      <c r="Y115" s="187"/>
      <c r="Z115" s="187"/>
    </row>
    <row r="116" spans="1:55" x14ac:dyDescent="0.2">
      <c r="A116" s="228" t="s">
        <v>117</v>
      </c>
      <c r="D116" s="267" t="s">
        <v>103</v>
      </c>
      <c r="E116" s="35" t="s">
        <v>626</v>
      </c>
      <c r="J116" s="187"/>
      <c r="K116" s="187"/>
      <c r="O116" s="187"/>
      <c r="P116" s="187"/>
      <c r="Y116" s="187"/>
      <c r="Z116" s="187"/>
    </row>
    <row r="117" spans="1:55" x14ac:dyDescent="0.2">
      <c r="A117" s="133" t="s">
        <v>118</v>
      </c>
      <c r="D117" s="267" t="s">
        <v>85</v>
      </c>
      <c r="E117" s="35" t="s">
        <v>234</v>
      </c>
      <c r="F117" s="187"/>
      <c r="K117" s="187"/>
      <c r="Y117" s="187"/>
      <c r="Z117" s="187"/>
    </row>
    <row r="118" spans="1:55" x14ac:dyDescent="0.2">
      <c r="A118" s="146" t="s">
        <v>119</v>
      </c>
      <c r="D118" s="267" t="s">
        <v>86</v>
      </c>
      <c r="E118" s="35" t="s">
        <v>230</v>
      </c>
      <c r="F118" s="187"/>
    </row>
    <row r="119" spans="1:55" x14ac:dyDescent="0.2">
      <c r="A119" s="211" t="s">
        <v>191</v>
      </c>
      <c r="D119" s="267" t="s">
        <v>87</v>
      </c>
      <c r="E119" s="35" t="s">
        <v>229</v>
      </c>
    </row>
    <row r="120" spans="1:55" x14ac:dyDescent="0.2">
      <c r="A120" s="179" t="s">
        <v>197</v>
      </c>
      <c r="D120" s="267" t="s">
        <v>88</v>
      </c>
      <c r="E120" s="35" t="s">
        <v>88</v>
      </c>
      <c r="K120" s="187"/>
      <c r="L120" s="187"/>
      <c r="M120" s="187"/>
      <c r="N120" s="187"/>
      <c r="O120" s="187"/>
    </row>
    <row r="121" spans="1:55" x14ac:dyDescent="0.2">
      <c r="A121" s="169" t="s">
        <v>334</v>
      </c>
      <c r="K121" s="187"/>
      <c r="L121" s="187"/>
      <c r="M121" s="187"/>
      <c r="N121" s="187"/>
      <c r="O121" s="187"/>
    </row>
    <row r="122" spans="1:55" x14ac:dyDescent="0.2">
      <c r="A122" s="174" t="s">
        <v>211</v>
      </c>
      <c r="K122" s="187"/>
      <c r="L122" s="187"/>
      <c r="M122" s="187"/>
      <c r="N122" s="187"/>
      <c r="O122" s="187"/>
    </row>
    <row r="123" spans="1:55" x14ac:dyDescent="0.2">
      <c r="K123" s="187"/>
      <c r="L123" s="187"/>
      <c r="M123" s="187"/>
      <c r="N123" s="187"/>
      <c r="O123" s="187"/>
    </row>
    <row r="124" spans="1:55" x14ac:dyDescent="0.2">
      <c r="K124" s="187"/>
      <c r="L124" s="187"/>
      <c r="M124" s="187"/>
      <c r="N124" s="187"/>
      <c r="O124" s="187"/>
    </row>
    <row r="125" spans="1:55" x14ac:dyDescent="0.2">
      <c r="K125" s="187"/>
      <c r="L125" s="187"/>
      <c r="M125" s="187"/>
      <c r="N125" s="187"/>
      <c r="O125" s="187"/>
    </row>
    <row r="126" spans="1:55" x14ac:dyDescent="0.2">
      <c r="K126" s="187"/>
      <c r="L126" s="187"/>
      <c r="M126" s="187"/>
      <c r="N126" s="187"/>
      <c r="O126" s="187"/>
    </row>
    <row r="127" spans="1:55" x14ac:dyDescent="0.2">
      <c r="K127" s="187"/>
      <c r="L127" s="187"/>
      <c r="M127" s="187"/>
      <c r="N127" s="187"/>
      <c r="O127" s="187"/>
    </row>
  </sheetData>
  <mergeCells count="73">
    <mergeCell ref="BW12:CD12"/>
    <mergeCell ref="CE12:CL12"/>
    <mergeCell ref="AI12:AK12"/>
    <mergeCell ref="AL12:AN12"/>
    <mergeCell ref="AO12:AQ12"/>
    <mergeCell ref="AR12:AT12"/>
    <mergeCell ref="AU12:AW12"/>
    <mergeCell ref="BO12:BV12"/>
    <mergeCell ref="Q13:U13"/>
    <mergeCell ref="B56:D56"/>
    <mergeCell ref="B45:F45"/>
    <mergeCell ref="G45:K45"/>
    <mergeCell ref="L45:P45"/>
    <mergeCell ref="B23:D23"/>
    <mergeCell ref="E23:G23"/>
    <mergeCell ref="H23:J23"/>
    <mergeCell ref="K23:M23"/>
    <mergeCell ref="B34:E34"/>
    <mergeCell ref="F34:I34"/>
    <mergeCell ref="R2:U2"/>
    <mergeCell ref="K1:M1"/>
    <mergeCell ref="B1:D1"/>
    <mergeCell ref="E1:G1"/>
    <mergeCell ref="H1:J1"/>
    <mergeCell ref="N2:Q2"/>
    <mergeCell ref="B12:D12"/>
    <mergeCell ref="E12:G12"/>
    <mergeCell ref="H12:J12"/>
    <mergeCell ref="N12:P12"/>
    <mergeCell ref="K12:M12"/>
    <mergeCell ref="Q100:U100"/>
    <mergeCell ref="L89:P89"/>
    <mergeCell ref="Q67:U67"/>
    <mergeCell ref="E56:G56"/>
    <mergeCell ref="H56:J56"/>
    <mergeCell ref="K56:M56"/>
    <mergeCell ref="B67:F67"/>
    <mergeCell ref="G67:K67"/>
    <mergeCell ref="L67:P67"/>
    <mergeCell ref="V100:Z100"/>
    <mergeCell ref="Z78:AB78"/>
    <mergeCell ref="B78:D78"/>
    <mergeCell ref="E78:G78"/>
    <mergeCell ref="H78:J78"/>
    <mergeCell ref="K78:M78"/>
    <mergeCell ref="N78:P78"/>
    <mergeCell ref="B89:F89"/>
    <mergeCell ref="W78:Y78"/>
    <mergeCell ref="Q78:S78"/>
    <mergeCell ref="T78:V78"/>
    <mergeCell ref="Q89:U89"/>
    <mergeCell ref="B100:F100"/>
    <mergeCell ref="G100:K100"/>
    <mergeCell ref="L100:P100"/>
    <mergeCell ref="G89:K89"/>
    <mergeCell ref="V67:Z67"/>
    <mergeCell ref="AA67:AE67"/>
    <mergeCell ref="AF67:AJ67"/>
    <mergeCell ref="V2:Y2"/>
    <mergeCell ref="AF13:AG13"/>
    <mergeCell ref="AA13:AE13"/>
    <mergeCell ref="V13:Z13"/>
    <mergeCell ref="X89:AB89"/>
    <mergeCell ref="AM89:AQ89"/>
    <mergeCell ref="AC89:AG89"/>
    <mergeCell ref="AR89:AV89"/>
    <mergeCell ref="AH89:AL89"/>
    <mergeCell ref="BE90:BJ90"/>
    <mergeCell ref="BL90:BN90"/>
    <mergeCell ref="AC2:AE2"/>
    <mergeCell ref="AF2:AG2"/>
    <mergeCell ref="AW89:BA89"/>
    <mergeCell ref="AC78:AE7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2060"/>
    <pageSetUpPr autoPageBreaks="0"/>
  </sheetPr>
  <dimension ref="A1:M168"/>
  <sheetViews>
    <sheetView topLeftCell="A20" zoomScaleNormal="100" workbookViewId="0">
      <selection activeCell="G86" sqref="G86"/>
    </sheetView>
  </sheetViews>
  <sheetFormatPr defaultColWidth="8.88671875" defaultRowHeight="11.25" x14ac:dyDescent="0.2"/>
  <cols>
    <col min="1" max="1" width="50.77734375" style="36" customWidth="1"/>
    <col min="2" max="10" width="8.88671875" style="36"/>
    <col min="11" max="11" width="8.88671875" style="36" customWidth="1"/>
    <col min="12" max="16384" width="8.88671875" style="36"/>
  </cols>
  <sheetData>
    <row r="1" spans="1:7" x14ac:dyDescent="0.2">
      <c r="A1" s="38" t="s">
        <v>41</v>
      </c>
      <c r="B1" s="36" t="str">
        <f>VLOOKUP('Lookup data'!A110,'Lookup data'!B110:C117,2,FALSE)</f>
        <v>Wales</v>
      </c>
    </row>
    <row r="3" spans="1:7" s="81" customFormat="1" x14ac:dyDescent="0.2">
      <c r="A3" s="87" t="s">
        <v>0</v>
      </c>
      <c r="B3" s="82" t="s">
        <v>5</v>
      </c>
      <c r="C3" s="82" t="s">
        <v>4</v>
      </c>
      <c r="D3" s="82" t="s">
        <v>3</v>
      </c>
      <c r="E3" s="88"/>
      <c r="F3" s="88"/>
    </row>
    <row r="4" spans="1:7" s="81" customFormat="1" x14ac:dyDescent="0.2">
      <c r="A4" s="175"/>
      <c r="B4" s="88"/>
      <c r="C4" s="88"/>
      <c r="D4" s="88"/>
      <c r="E4" s="89"/>
      <c r="F4" s="88"/>
    </row>
    <row r="5" spans="1:7" s="81" customFormat="1" x14ac:dyDescent="0.2">
      <c r="A5" s="89" t="str">
        <f>VLOOKUP($B$1,'All data'!$A$2:$Q$11,14,FALSE)</f>
        <v>New CVIs per 100,000 Welsh residents (all ages)</v>
      </c>
      <c r="B5" s="90">
        <f>VLOOKUP($B$1,'All data'!$A$2:$M$11,2,FALSE)</f>
        <v>42.239648690700662</v>
      </c>
      <c r="C5" s="90">
        <f>VLOOKUP($B$1,'All data'!$A$2:$M$11,3,FALSE)</f>
        <v>40.200049417277164</v>
      </c>
      <c r="D5" s="90">
        <f>VLOOKUP($B$1,'All data'!$A$2:$M$11,4,FALSE)</f>
        <v>44.787398607202256</v>
      </c>
      <c r="E5" s="89" t="str">
        <f>VLOOKUP($B$1,'All data'!$A$2:$U$11,18,FALSE)</f>
        <v>Chart 1a: New CVIs per 100,000 Welsh residents (all ages)</v>
      </c>
      <c r="F5" s="89" t="str">
        <f>VLOOKUP($B$1,'All data'!$A$2:$Y$11,22,FALSE)</f>
        <v>Chart 1a shows that the number of new CVIs per 100,000 Welsh residents has increased since 2013-14. In 2015-16 there were 45 new CVIs per 100,000 Welsh residents which is 5 more than in 2014-15</v>
      </c>
      <c r="G5" s="91"/>
    </row>
    <row r="6" spans="1:7" s="81" customFormat="1" x14ac:dyDescent="0.2">
      <c r="A6" s="89" t="str">
        <f>VLOOKUP($B$1,'All data'!$A$2:$Q$11,15,FALSE)</f>
        <v>New CVIs per 100,000 Welsh residents with AMD aged 65+</v>
      </c>
      <c r="B6" s="90">
        <f>VLOOKUP($B$1,'All data'!$A$2:$M$11,5,FALSE)</f>
        <v>115.21236035496062</v>
      </c>
      <c r="C6" s="90">
        <f>VLOOKUP($B$1,'All data'!$A$2:$M$11,6,FALSE)</f>
        <v>113.37997582745422</v>
      </c>
      <c r="D6" s="90">
        <f>VLOOKUP($B$1,'All data'!$A$2:$M$11,7,FALSE)</f>
        <v>121.48412303348577</v>
      </c>
      <c r="E6" s="89" t="str">
        <f>VLOOKUP($B$1,'All data'!$A$2:$U$11,19,FALSE)</f>
        <v>Chart 1b: New CVIs with AMD per 100,000 Welsh residents aged 65+</v>
      </c>
      <c r="F6" s="89" t="str">
        <f>VLOOKUP($B$1,'All data'!$A$2:$Y$11,23,FALSE)</f>
        <v>Chart 1b shows that the number of new CVIs with age related macular degeneration (AMD) per 100,000 Welsh residents of age 65 or over has increased by 8 since 2014-15, to reach 121 CVIs per 100,000 Welsh residents of age 65 or over.</v>
      </c>
      <c r="G6" s="91"/>
    </row>
    <row r="7" spans="1:7" s="81" customFormat="1" x14ac:dyDescent="0.2">
      <c r="A7" s="89" t="str">
        <f>VLOOKUP($B$1,'All data'!$A$2:$Q$11,16,FALSE)</f>
        <v>New CVIs per 100,000 Welsh residents with glaucoma aged 40+</v>
      </c>
      <c r="B7" s="90">
        <f>VLOOKUP($B$1,'All data'!$A$2:$M$11,8,FALSE)</f>
        <v>11.760038275829841</v>
      </c>
      <c r="C7" s="90">
        <f>VLOOKUP($B$1,'All data'!$A$2:$M$11,9,FALSE)</f>
        <v>11.015377836690563</v>
      </c>
      <c r="D7" s="90">
        <f>VLOOKUP($B$1,'All data'!$A$2:$M$11,10,FALSE)</f>
        <v>11.714140623658393</v>
      </c>
      <c r="E7" s="89" t="str">
        <f>VLOOKUP($B$1,'All data'!$A$2:$U$11,20,FALSE)</f>
        <v>Chart 1c: New CVIs with glaucoma per 100,000 Welsh residents aged 40+</v>
      </c>
      <c r="F7" s="89" t="str">
        <f>VLOOKUP($B$1,'All data'!$A$2:$Y$11,24,FALSE)</f>
        <v>Chart 1c shows that the number of new CVIs with glaucoma per 100,000 Welsh residents aged 40 or older has increased by 1 since 2014-15, with there being 12 new CVIs per 100,000 Welsh residents aged 40 or older, during the 2015-16 financial year.</v>
      </c>
      <c r="G7" s="91"/>
    </row>
    <row r="8" spans="1:7" s="81" customFormat="1" x14ac:dyDescent="0.2">
      <c r="A8" s="89" t="str">
        <f>VLOOKUP($B$1,'All data'!$A$2:$Q$11,17,FALSE)</f>
        <v>New CVIs per 100,000 Welsh residents with diabetic eye disease aged 12+</v>
      </c>
      <c r="B8" s="90">
        <f>VLOOKUP($B$1,'All data'!$A$2:$M$11,11,FALSE)</f>
        <v>3.5620360448051644</v>
      </c>
      <c r="C8" s="90">
        <f>VLOOKUP($B$1,'All data'!$A$2:$M$11,12,FALSE)</f>
        <v>3.2172468372780143</v>
      </c>
      <c r="D8" s="90">
        <f>VLOOKUP($B$1,'All data'!$A$2:$M$11,13,FALSE)</f>
        <v>3.6612178032319589</v>
      </c>
      <c r="E8" s="89" t="str">
        <f>VLOOKUP($B$1,'All data'!$A$2:$U$11,21,FALSE)</f>
        <v>Chart 1d: New CVIs with diabetic eye disease per 100,000 Welsh residents aged 12+</v>
      </c>
      <c r="F8" s="89" t="str">
        <f>VLOOKUP($B$1,'All data'!$A$2:$Y$11,25,FALSE)</f>
        <v>Chart 1d shows that the number of new CVIs with diabetic eye disease per 100,000 Welsh residents aged 12 or older has increased by 1 since 2014-15, with there being 4 new CVIs per 100,000 Welsh residents aged 12 or older, during the 2015-16 financial year.</v>
      </c>
      <c r="G8" s="91"/>
    </row>
    <row r="10" spans="1:7" s="94" customFormat="1" x14ac:dyDescent="0.2">
      <c r="A10" s="92" t="s">
        <v>7</v>
      </c>
      <c r="B10" s="93" t="s">
        <v>4</v>
      </c>
      <c r="C10" s="93" t="s">
        <v>3</v>
      </c>
      <c r="D10" s="93" t="s">
        <v>81</v>
      </c>
    </row>
    <row r="11" spans="1:7" s="94" customFormat="1" x14ac:dyDescent="0.2">
      <c r="A11" s="92"/>
    </row>
    <row r="12" spans="1:7" s="94" customFormat="1" x14ac:dyDescent="0.2">
      <c r="A12" s="95" t="str">
        <f>VLOOKUP($B$1,'All data'!$A$12:$AG$21,17,FALSE)</f>
        <v>Sight tests paid by NHS per 1,000 Welsh residents (all ages)</v>
      </c>
      <c r="B12" s="95">
        <f>VLOOKUP($B$1,'All data'!$A$12:$P$21,2,FALSE)</f>
        <v>242.63753720849303</v>
      </c>
      <c r="C12" s="95">
        <f>VLOOKUP($B$1,'All data'!$A$12:$P$21,3,FALSE)</f>
        <v>248.26029351879876</v>
      </c>
      <c r="D12" s="95">
        <f>VLOOKUP($B$1,'All data'!$A$12:$P$21,4,FALSE)</f>
        <v>250.66326007087252</v>
      </c>
      <c r="E12" s="95" t="str">
        <f>VLOOKUP($B$1,'All data'!$A$12:$AG$21,22,FALSE)</f>
        <v>Chart 2a: Sight tests paid by NHS per 1,000 Welsh residents (all ages)</v>
      </c>
      <c r="F12" s="95" t="str">
        <f>VLOOKUP($B$1,'All data'!$A$12:$AG$21,27,FALSE)</f>
        <v>Chart 2a shows that 3 more sight tests were paid for by the NHS per 1,000 Welsh residents (all ages) in Wales during the 2016-17 financial year than in 2015-16.</v>
      </c>
      <c r="G12" s="95" t="str">
        <f>VLOOKUP($B$1,'All data'!$A$12:$AG$21,32,FALSE)</f>
        <v>1,000 WELSH</v>
      </c>
    </row>
    <row r="13" spans="1:7" s="94" customFormat="1" x14ac:dyDescent="0.2">
      <c r="A13" s="95" t="str">
        <f>VLOOKUP($B$1,'All data'!$A$12:$AG$21,18,FALSE)</f>
        <v>Sight tests paid by NHS per 1,000 Welsh residents (60+)</v>
      </c>
      <c r="B13" s="95">
        <f>VLOOKUP($B$1,'All data'!$A$12:$P$21,5,FALSE)</f>
        <v>448.15196481876796</v>
      </c>
      <c r="C13" s="95">
        <f>VLOOKUP($B$1,'All data'!$A$12:$P$21,6,FALSE)</f>
        <v>465.77695922801018</v>
      </c>
      <c r="D13" s="95">
        <f>VLOOKUP($B$1,'All data'!$A$12:$P$21,7,FALSE)</f>
        <v>463.05475219415865</v>
      </c>
      <c r="E13" s="95" t="str">
        <f>VLOOKUP($B$1,'All data'!$A$12:$AG$21,23,FALSE)</f>
        <v>Chart 2b: Sight tests paid by NHS per 1,000 Welsh residents (60+)</v>
      </c>
      <c r="F13" s="95" t="str">
        <f>VLOOKUP($B$1,'All data'!$A$12:$AG$21,28,FALSE)</f>
        <v>Chart 2b shows that in 2016-17 the number of sight test paid for by the NHS per 1,000 Welsh residents aged 60 or over (60+) decreased in comparison to the previous year.</v>
      </c>
      <c r="G13" s="95" t="str">
        <f>VLOOKUP($B$1,'All data'!$A$12:$AG$21,32,FALSE)</f>
        <v>1,000 WELSH</v>
      </c>
    </row>
    <row r="14" spans="1:7" s="94" customFormat="1" x14ac:dyDescent="0.2">
      <c r="A14" s="95" t="str">
        <f>VLOOKUP($B$1,'All data'!$A$12:$AG$21,19,FALSE)</f>
        <v>Sight tests paid by NHS in adults on income support per 1,000 Welsh residents (16-59)</v>
      </c>
      <c r="B14" s="95">
        <f>VLOOKUP($B$1,'All data'!$A$12:$P$21,8,FALSE)</f>
        <v>67.88738494003654</v>
      </c>
      <c r="C14" s="95">
        <f>VLOOKUP($B$1,'All data'!$A$12:$P$21,9,FALSE)</f>
        <v>68.091111393601224</v>
      </c>
      <c r="D14" s="95">
        <f>VLOOKUP($B$1,'All data'!$A$12:$P$21,10,FALSE)</f>
        <v>65.314051147069137</v>
      </c>
      <c r="E14" s="95" t="str">
        <f>VLOOKUP($B$1,'All data'!$A$12:$AG$21,24,FALSE)</f>
        <v>Chart 2c: Sight tests paid by NHS in adults on income support* per 1,000 Welsh residents (16-59)</v>
      </c>
      <c r="F14" s="95" t="str">
        <f>VLOOKUP($B$1,'All data'!$A$12:$AG$21,29,FALSE)</f>
        <v>Chart 2c shows that between 2015-16 and 2016-17 that the number of Welsh residents on income support who received sight tests paid for by the NHS has decreased in comparison to the size of the population.</v>
      </c>
      <c r="G14" s="95" t="str">
        <f>VLOOKUP($B$1,'All data'!$A$12:$AG$21,32,FALSE)</f>
        <v>1,000 WELSH</v>
      </c>
    </row>
    <row r="15" spans="1:7" s="94" customFormat="1" x14ac:dyDescent="0.2">
      <c r="A15" s="95" t="str">
        <f>VLOOKUP($B$1,'All data'!$A$12:$AG$21,20,FALSE)</f>
        <v>Sight tests paid by NHS per 1,000 Welsh residents (&lt;16)</v>
      </c>
      <c r="B15" s="95">
        <f>VLOOKUP($B$1,'All data'!$A$12:$P$21,11,FALSE)</f>
        <v>296.73986791049151</v>
      </c>
      <c r="C15" s="95">
        <f>VLOOKUP($B$1,'All data'!$A$12:$P$21,12,FALSE)</f>
        <v>306.55581884706504</v>
      </c>
      <c r="D15" s="95">
        <f>VLOOKUP($B$1,'All data'!$A$12:$P$21,13,FALSE)</f>
        <v>322.74920850270547</v>
      </c>
      <c r="E15" s="95" t="str">
        <f>VLOOKUP($B$1,'All data'!$A$12:$AG$21,25,FALSE)</f>
        <v>Chart 2d: Sight tests paid by NHS per 1,000 Welsh residents (&lt;16)</v>
      </c>
      <c r="F15" s="95" t="str">
        <f>VLOOKUP($B$1,'All data'!$A$12:$AG$21,30,FALSE)</f>
        <v>Chart 2d shows that in 2016-17 the number of sight test paid for by the NHS per 1,000 residents in Wales aged 15 or under (&lt;16) increased in comparison to the previous year.</v>
      </c>
      <c r="G15" s="95" t="str">
        <f>VLOOKUP($B$1,'All data'!$A$12:$AG$21,32,FALSE)</f>
        <v>1,000 WELSH</v>
      </c>
    </row>
    <row r="16" spans="1:7" s="94" customFormat="1" x14ac:dyDescent="0.2">
      <c r="A16" s="95" t="str">
        <f>VLOOKUP($B$1,'All data'!$A$12:$AG$21,21,FALSE)</f>
        <v>Number of Eye Examinations Carried Out in Wales</v>
      </c>
      <c r="B16" s="95">
        <f>VLOOKUP($B$1,'All data'!$A$12:$P$21,14,FALSE)</f>
        <v>123697</v>
      </c>
      <c r="C16" s="95">
        <f>VLOOKUP($B$1,'All data'!$A$12:$P$21,15,FALSE)</f>
        <v>121736</v>
      </c>
      <c r="D16" s="95">
        <f>VLOOKUP($B$1,'All data'!$A$12:$P$21,16,FALSE)</f>
        <v>150324</v>
      </c>
      <c r="E16" s="95" t="str">
        <f>VLOOKUP($B$1,'All data'!$A$12:$AG$21,26,FALSE)</f>
        <v>Chart 2e: Number of Examinations Carried Out** in Wales</v>
      </c>
      <c r="F16" s="95" t="str">
        <f>VLOOKUP($B$1,'All data'!$A$12:$AG$21,31,FALSE)</f>
        <v>Chart 2e shows that there was an increase in the number of EHEW eye examinations carried out in Wales when comparing the figures from 2015-16 to 2016-17. A breakdown by age of patient and band of examinations of the 2016-17 EHEW examinations can be seen on the EHEW page.</v>
      </c>
      <c r="G16" s="95" t="str">
        <f>VLOOKUP($B$1,'All data'!$A$12:$AG$21,33,FALSE)</f>
        <v>OUT IN WALES</v>
      </c>
    </row>
    <row r="17" spans="1:11" x14ac:dyDescent="0.2">
      <c r="A17" s="186"/>
      <c r="B17" s="186"/>
      <c r="C17" s="186"/>
      <c r="D17" s="186"/>
      <c r="E17" s="186"/>
      <c r="F17" s="186"/>
      <c r="G17" s="186"/>
    </row>
    <row r="18" spans="1:11" s="94" customFormat="1" x14ac:dyDescent="0.2">
      <c r="A18" s="232" t="s">
        <v>358</v>
      </c>
      <c r="B18" s="93" t="s">
        <v>4</v>
      </c>
      <c r="C18" s="93" t="s">
        <v>3</v>
      </c>
      <c r="D18" s="93" t="s">
        <v>81</v>
      </c>
      <c r="E18" s="95"/>
      <c r="F18" s="95"/>
      <c r="G18" s="95"/>
    </row>
    <row r="19" spans="1:11" s="94" customFormat="1" x14ac:dyDescent="0.2">
      <c r="A19" s="95"/>
      <c r="B19" s="95"/>
      <c r="C19" s="95"/>
      <c r="D19" s="95"/>
      <c r="E19" s="95"/>
      <c r="F19" s="95"/>
      <c r="G19" s="95"/>
    </row>
    <row r="20" spans="1:11" s="94" customFormat="1" x14ac:dyDescent="0.2">
      <c r="A20" s="95" t="str">
        <f>VLOOKUP($B$1,'All data'!$A$12:$BM$21,50,FALSE)</f>
        <v>Vouchers reimbursed per 1,000 Welsh residents (all ages)</v>
      </c>
      <c r="B20" s="233">
        <f>VLOOKUP($B$1,'All data'!$A$12:$AW$21,35,FALSE)</f>
        <v>95.919646472421405</v>
      </c>
      <c r="C20" s="233">
        <f>VLOOKUP($B$1,'All data'!$A$12:$AW$21,36,FALSE)</f>
        <v>94.149049106736626</v>
      </c>
      <c r="D20" s="233">
        <f>VLOOKUP($B$1,'All data'!$A$12:$AW$21,37,FALSE)</f>
        <v>93.419479162566006</v>
      </c>
      <c r="E20" s="95" t="str">
        <f>VLOOKUP($B$1,'All data'!$A$12:$BM$21,55,FALSE)</f>
        <v>Chart 4a: Vouchers reimbursed per 1,000 Welsh residents (all ages)</v>
      </c>
      <c r="F20" s="95" t="str">
        <f>VLOOKUP($B$1,'All data'!$A$12:$BM$21,60,FALSE)</f>
        <v>Chart 4a shows that the number of vouchers reimbursed per 1,000 Welsh residents (all ages) decreased between the 2015-16 and 2016-17 financial years.</v>
      </c>
      <c r="G20" s="95" t="str">
        <f>VLOOKUP($B$1,'All data'!$A$12:$BM$21,65,FALSE)</f>
        <v>1,000 WELSH</v>
      </c>
    </row>
    <row r="21" spans="1:11" s="94" customFormat="1" x14ac:dyDescent="0.2">
      <c r="A21" s="95" t="str">
        <f>VLOOKUP($B$1,'All data'!$A$12:$BM$21,51,FALSE)</f>
        <v>Vouchers reimbursed per 1,000 Welsh residents (&lt;16)</v>
      </c>
      <c r="B21" s="233">
        <f>VLOOKUP($B$1,'All data'!$A$12:$AW$21,38,FALSE)</f>
        <v>128.01144832483541</v>
      </c>
      <c r="C21" s="233">
        <f>VLOOKUP($B$1,'All data'!$A$12:$AW$21,39,FALSE)</f>
        <v>133.37379274575943</v>
      </c>
      <c r="D21" s="233">
        <f>VLOOKUP($B$1,'All data'!$A$12:$AW$21,40,FALSE)</f>
        <v>141.84865898658174</v>
      </c>
      <c r="E21" s="95" t="str">
        <f>VLOOKUP($B$1,'All data'!$A$12:$BM$21,56,FALSE)</f>
        <v>Chart 4b: Vouchers reimbursed per 1,000 Welsh residents (&lt;16)</v>
      </c>
      <c r="F21" s="95" t="str">
        <f>VLOOKUP($B$1,'All data'!$A$12:$BM$21,61,FALSE)</f>
        <v>Chart 4b shows that in 2016-17 the number of vouchers reimbursed per 1,000 Welsh residents aged 15 or under increased in comparison from the previous year.</v>
      </c>
      <c r="G21" s="95" t="str">
        <f>VLOOKUP($B$1,'All data'!$A$12:$BM$21,65,FALSE)</f>
        <v>1,000 WELSH</v>
      </c>
    </row>
    <row r="22" spans="1:11" s="94" customFormat="1" x14ac:dyDescent="0.2">
      <c r="A22" s="95" t="str">
        <f>VLOOKUP($B$1,'All data'!$A$12:$BM$21,52,FALSE)</f>
        <v>Vouchers reimbursed in adults on income support per 1,000 Welsh residents (16-59)</v>
      </c>
      <c r="B22" s="233">
        <f>VLOOKUP($B$1,'All data'!$A$12:$AW$21,41,FALSE)</f>
        <v>115.40277189372391</v>
      </c>
      <c r="C22" s="233">
        <f>VLOOKUP($B$1,'All data'!$A$12:$AW$21,42,FALSE)</f>
        <v>111.19357454175129</v>
      </c>
      <c r="D22" s="233">
        <f>VLOOKUP($B$1,'All data'!$A$12:$AW$21,43,FALSE)</f>
        <v>107.24513321592386</v>
      </c>
      <c r="E22" s="95" t="str">
        <f>VLOOKUP($B$1,'All data'!$A$12:$BM$21,57,FALSE)</f>
        <v>Chart 4c: Vouchers reimbursed in adults on income support per 1,000 Welsh residents (16-59)</v>
      </c>
      <c r="F22" s="95" t="str">
        <f>VLOOKUP($B$1,'All data'!$A$12:$BM$21,62,FALSE)</f>
        <v>Chart 4c shows that between 2015-16 and 2016-17 that the number of Welsh residents on income support who had vouchers reimbursed has decreased in comparison to the size of the population.</v>
      </c>
      <c r="G22" s="95" t="str">
        <f>VLOOKUP($B$1,'All data'!$A$12:$BM$21,65,FALSE)</f>
        <v>1,000 WELSH</v>
      </c>
    </row>
    <row r="23" spans="1:11" s="94" customFormat="1" x14ac:dyDescent="0.2">
      <c r="A23" s="95" t="str">
        <f>VLOOKUP($B$1,'All data'!$A$12:$BM$21,53,FALSE)</f>
        <v>Claims for repairs or replacements per 1,000 Welsh residents (all ages)</v>
      </c>
      <c r="B23" s="233">
        <f>VLOOKUP($B$1,'All data'!$A$12:$AW$21,44,FALSE)</f>
        <v>10.086557853789541</v>
      </c>
      <c r="C23" s="233">
        <f>VLOOKUP($B$1,'All data'!$A$12:$AW$21,45,FALSE)</f>
        <v>10.13524632746558</v>
      </c>
      <c r="D23" s="233">
        <f>VLOOKUP($B$1,'All data'!$A$12:$AW$21,46,FALSE)</f>
        <v>10.983238283803676</v>
      </c>
      <c r="E23" s="95" t="str">
        <f>VLOOKUP($B$1,'All data'!$A$12:$BM$21,58,FALSE)</f>
        <v>Chart 4d: Claims for repairs or replacements per 1,000 Welsh residents (all ages)</v>
      </c>
      <c r="F23" s="95" t="str">
        <f>VLOOKUP($B$1,'All data'!$A$12:$BM$21,63,FALSE)</f>
        <v>Chart 4d shows that the number of claims for repair or replacements per 1,000 Welsh residents has increased between 2015-16 and 2016-17.</v>
      </c>
      <c r="G23" s="95" t="str">
        <f>VLOOKUP($B$1,'All data'!$A$12:$BM$21,65,FALSE)</f>
        <v>1,000 WELSH</v>
      </c>
    </row>
    <row r="24" spans="1:11" s="94" customFormat="1" x14ac:dyDescent="0.2">
      <c r="A24" s="95" t="str">
        <f>VLOOKUP($B$1,'All data'!$A$12:$BM$21,54,FALSE)</f>
        <v>Claims for repairs or replacements per 1,000 Welsh residents (&lt;16)</v>
      </c>
      <c r="B24" s="233">
        <f>VLOOKUP($B$1,'All data'!$A$12:$AW$21,47,FALSE)</f>
        <v>55.383434173033351</v>
      </c>
      <c r="C24" s="233">
        <f>VLOOKUP($B$1,'All data'!$A$12:$AW$21,48,FALSE)</f>
        <v>55.835790012047781</v>
      </c>
      <c r="D24" s="233">
        <f>VLOOKUP($B$1,'All data'!$A$12:$AW$21,49,FALSE)</f>
        <v>60.3883743420093</v>
      </c>
      <c r="E24" s="95" t="str">
        <f>VLOOKUP($B$1,'All data'!$A$12:$BM$21,59,FALSE)</f>
        <v>Chart 4e: Claims for repairs or replacements per 1,000 Welsh residents (&lt;16)</v>
      </c>
      <c r="F24" s="95" t="str">
        <f>VLOOKUP($B$1,'All data'!$A$12:$BM$21,64,FALSE)</f>
        <v>Chart 4e shows that in 2016-17 the number of claims for repairs or replacements per 1,000 Welsh residents aged 15 or under increased in comparison from the previous year.</v>
      </c>
      <c r="G24" s="95" t="str">
        <f>VLOOKUP($B$1,'All data'!$A$12:$BM$21,65,FALSE)</f>
        <v>1,000 WELSH</v>
      </c>
    </row>
    <row r="25" spans="1:11" x14ac:dyDescent="0.2">
      <c r="A25" s="186"/>
      <c r="B25" s="240"/>
      <c r="C25" s="240"/>
      <c r="D25" s="240"/>
      <c r="E25" s="186"/>
      <c r="F25" s="186"/>
      <c r="G25" s="186"/>
    </row>
    <row r="26" spans="1:11" s="94" customFormat="1" x14ac:dyDescent="0.2">
      <c r="A26" s="232" t="s">
        <v>417</v>
      </c>
      <c r="B26" s="233"/>
      <c r="C26" s="233"/>
      <c r="D26" s="233"/>
      <c r="E26" s="233"/>
      <c r="F26" s="95"/>
      <c r="G26" s="95"/>
      <c r="H26" s="95"/>
    </row>
    <row r="27" spans="1:11" s="94" customFormat="1" x14ac:dyDescent="0.2">
      <c r="A27" s="95"/>
      <c r="B27" s="239" t="s">
        <v>409</v>
      </c>
      <c r="C27" s="239" t="s">
        <v>410</v>
      </c>
      <c r="D27" s="239" t="s">
        <v>411</v>
      </c>
      <c r="E27" s="239" t="s">
        <v>418</v>
      </c>
      <c r="F27" s="239" t="s">
        <v>412</v>
      </c>
      <c r="G27" s="239" t="s">
        <v>413</v>
      </c>
      <c r="H27" s="239" t="s">
        <v>414</v>
      </c>
      <c r="I27" s="239" t="s">
        <v>415</v>
      </c>
      <c r="J27" s="239" t="s">
        <v>416</v>
      </c>
    </row>
    <row r="28" spans="1:11" s="94" customFormat="1" ht="11.25" customHeight="1" x14ac:dyDescent="0.2">
      <c r="A28" s="95" t="s">
        <v>406</v>
      </c>
      <c r="B28" s="233">
        <f>VLOOKUP($B$1,'All data'!$A$12:$CL$21,67,FALSE)</f>
        <v>3898</v>
      </c>
      <c r="C28" s="233">
        <f>VLOOKUP($B$1,'All data'!$A$12:$CL$21,68,FALSE)</f>
        <v>1184</v>
      </c>
      <c r="D28" s="233">
        <f>VLOOKUP($B$1,'All data'!$A$12:$CL$21,69,FALSE)</f>
        <v>2534</v>
      </c>
      <c r="E28" s="233">
        <f>SUM(B28:D28)</f>
        <v>7616</v>
      </c>
      <c r="F28" s="233">
        <f>VLOOKUP($B$1,'All data'!$A$12:$CL$21,70,FALSE)</f>
        <v>40424</v>
      </c>
      <c r="G28" s="233">
        <f>VLOOKUP($B$1,'All data'!$A$12:$CL$21,71,FALSE)</f>
        <v>19226</v>
      </c>
      <c r="H28" s="233">
        <f>VLOOKUP($B$1,'All data'!$A$12:$CL$21,72,FALSE)</f>
        <v>16396</v>
      </c>
      <c r="I28" s="233">
        <f>VLOOKUP($B$1,'All data'!$A$12:$CL$21,73,FALSE)</f>
        <v>9888</v>
      </c>
      <c r="J28" s="233">
        <f>VLOOKUP($B$1,'All data'!$A$12:$CL$21,74,FALSE)</f>
        <v>16</v>
      </c>
      <c r="K28" s="257" t="str">
        <f>VLOOKUP($B$1,'All data'!$A$12:$CM$21,91,FALSE)</f>
        <v>In 2016-17 there were 93,566 Band 1 examinations, 37,448 Band 2 examinations and 19,310 Band 3 Examinations in Wales.</v>
      </c>
    </row>
    <row r="29" spans="1:11" s="94" customFormat="1" x14ac:dyDescent="0.2">
      <c r="A29" s="95" t="s">
        <v>407</v>
      </c>
      <c r="B29" s="233">
        <f>VLOOKUP($B$1,'All data'!$A$12:$CL$21,75,FALSE)</f>
        <v>4539</v>
      </c>
      <c r="C29" s="233">
        <f>VLOOKUP($B$1,'All data'!$A$12:$CL$21,76,FALSE)</f>
        <v>312</v>
      </c>
      <c r="D29" s="233">
        <f>VLOOKUP($B$1,'All data'!$A$12:$CL$21,77,FALSE)</f>
        <v>424</v>
      </c>
      <c r="E29" s="233">
        <f>SUM(B29:D29)</f>
        <v>5275</v>
      </c>
      <c r="F29" s="233">
        <f>VLOOKUP($B$1,'All data'!$A$12:$CL$21,78,FALSE)</f>
        <v>7281</v>
      </c>
      <c r="G29" s="233">
        <f>VLOOKUP($B$1,'All data'!$A$12:$CL$21,79,FALSE)</f>
        <v>7644</v>
      </c>
      <c r="H29" s="233">
        <f>VLOOKUP($B$1,'All data'!$A$12:$CL$21,80,FALSE)</f>
        <v>10459</v>
      </c>
      <c r="I29" s="233">
        <f>VLOOKUP($B$1,'All data'!$A$12:$CL$21,81,FALSE)</f>
        <v>6786</v>
      </c>
      <c r="J29" s="233">
        <f>VLOOKUP($B$1,'All data'!$A$12:$CL$21,82,FALSE)</f>
        <v>3</v>
      </c>
    </row>
    <row r="30" spans="1:11" s="94" customFormat="1" x14ac:dyDescent="0.2">
      <c r="A30" s="95" t="s">
        <v>408</v>
      </c>
      <c r="B30" s="233">
        <f>VLOOKUP($B$1,'All data'!$A$12:$CL$21,83,FALSE)</f>
        <v>634</v>
      </c>
      <c r="C30" s="233">
        <f>VLOOKUP($B$1,'All data'!$A$12:$CL$21,84,FALSE)</f>
        <v>176</v>
      </c>
      <c r="D30" s="233">
        <f>VLOOKUP($B$1,'All data'!$A$12:$CL$21,85,FALSE)</f>
        <v>348</v>
      </c>
      <c r="E30" s="233">
        <f>SUM(B30:D30)</f>
        <v>1158</v>
      </c>
      <c r="F30" s="233">
        <f>VLOOKUP($B$1,'All data'!$A$12:$CL$21,86,FALSE)</f>
        <v>6484</v>
      </c>
      <c r="G30" s="233">
        <f>VLOOKUP($B$1,'All data'!$A$12:$CL$21,87,FALSE)</f>
        <v>4118</v>
      </c>
      <c r="H30" s="233">
        <f>VLOOKUP($B$1,'All data'!$A$12:$CL$21,88,FALSE)</f>
        <v>4583</v>
      </c>
      <c r="I30" s="233">
        <f>VLOOKUP($B$1,'All data'!$A$12:$CL$21,89,FALSE)</f>
        <v>2965</v>
      </c>
      <c r="J30" s="233">
        <f>VLOOKUP($B$1,'All data'!$A$12:$CL$21,90,FALSE)</f>
        <v>2</v>
      </c>
      <c r="K30" s="257" t="str">
        <f>VLOOKUP($B$1,'All data'!$A$12:$CU$21,99,FALSE)</f>
        <v>There were 21 examinations were age is unknown, these have been excluded from the chart.</v>
      </c>
    </row>
    <row r="31" spans="1:11" ht="14.25" customHeight="1" x14ac:dyDescent="0.2">
      <c r="B31" s="62"/>
    </row>
    <row r="32" spans="1:11" s="110" customFormat="1" x14ac:dyDescent="0.2">
      <c r="A32" s="113" t="s">
        <v>9</v>
      </c>
      <c r="B32" s="111" t="s">
        <v>4</v>
      </c>
      <c r="C32" s="111" t="s">
        <v>3</v>
      </c>
      <c r="D32" s="111" t="s">
        <v>81</v>
      </c>
      <c r="H32" s="114"/>
    </row>
    <row r="33" spans="1:11" s="110" customFormat="1" x14ac:dyDescent="0.2">
      <c r="A33" s="113"/>
    </row>
    <row r="34" spans="1:11" s="110" customFormat="1" x14ac:dyDescent="0.2">
      <c r="A34" s="110" t="s">
        <v>42</v>
      </c>
      <c r="B34" s="112">
        <f>VLOOKUP($B$1,'All data'!$A$23:$M$32,2,FALSE)</f>
        <v>0.80991735537190079</v>
      </c>
      <c r="C34" s="112">
        <f>VLOOKUP($B$1,'All data'!$A$23:$M$32,3,FALSE)</f>
        <v>0.875</v>
      </c>
      <c r="D34" s="112">
        <f>VLOOKUP($B$1,'All data'!$A$23:$M$32,4,FALSE)</f>
        <v>0.92602739726027394</v>
      </c>
      <c r="E34" s="112" t="s">
        <v>26</v>
      </c>
      <c r="F34" s="112" t="str">
        <f>VLOOKUP($B$1,'All data'!$A$23:$P$32,14,FALSE)</f>
        <v xml:space="preserve">338 (93 per cent) optometry practices were accredited to provide Eye Health Examinations Wales services in Wales in the 2016-17 financial year; a 5 percentage point increase on the previous year. </v>
      </c>
      <c r="K34" s="112"/>
    </row>
    <row r="35" spans="1:11" s="110" customFormat="1" x14ac:dyDescent="0.2">
      <c r="A35" s="110" t="s">
        <v>51</v>
      </c>
      <c r="B35" s="112">
        <f>VLOOKUP($B$1,'All data'!$A$23:$M$32,5,FALSE)</f>
        <v>0.19008264462809921</v>
      </c>
      <c r="C35" s="112">
        <f>VLOOKUP($B$1,'All data'!$A$23:$M$32,6,FALSE)</f>
        <v>0.125</v>
      </c>
      <c r="D35" s="112">
        <f>VLOOKUP($B$1,'All data'!$A$23:$M$32,7,FALSE)</f>
        <v>7.3972602739726057E-2</v>
      </c>
      <c r="E35" s="112" t="s">
        <v>27</v>
      </c>
      <c r="F35" s="115"/>
      <c r="K35" s="112"/>
    </row>
    <row r="36" spans="1:11" s="110" customFormat="1" x14ac:dyDescent="0.2">
      <c r="A36" s="110" t="s">
        <v>43</v>
      </c>
      <c r="B36" s="112">
        <f>VLOOKUP($B$1,'All data'!$A$23:$M$32,8,FALSE)</f>
        <v>0.54820936639118456</v>
      </c>
      <c r="C36" s="112">
        <f>VLOOKUP($B$1,'All data'!$A$23:$M$32,9,FALSE)</f>
        <v>0.56111111111111112</v>
      </c>
      <c r="D36" s="112">
        <f>VLOOKUP($B$1,'All data'!$A$23:$M$32,10,FALSE)</f>
        <v>0.57534246575342463</v>
      </c>
      <c r="E36" s="112" t="s">
        <v>26</v>
      </c>
      <c r="F36" s="112" t="str">
        <f>VLOOKUP($B$1,'All data'!$A$23:$P$32,15,FALSE)</f>
        <v>210 (58 per cent) optometry practices were accredited to provide Low Vision Service Wales services in Wales in the 2016-17 financial year; a 2 percentage point increase on the previous year.</v>
      </c>
      <c r="K36" s="112"/>
    </row>
    <row r="37" spans="1:11" s="110" customFormat="1" x14ac:dyDescent="0.2">
      <c r="A37" s="110" t="s">
        <v>52</v>
      </c>
      <c r="B37" s="112">
        <f>VLOOKUP($B$1,'All data'!$A$23:$M$32,11,FALSE)</f>
        <v>0.45179063360881544</v>
      </c>
      <c r="C37" s="112">
        <f>VLOOKUP($B$1,'All data'!$A$23:$M$32,12,FALSE)</f>
        <v>0.43888888888888888</v>
      </c>
      <c r="D37" s="112">
        <f>VLOOKUP($B$1,'All data'!$A$23:$M$32,13,FALSE)</f>
        <v>0.42465753424657537</v>
      </c>
      <c r="E37" s="112" t="s">
        <v>27</v>
      </c>
      <c r="F37" s="115"/>
      <c r="K37" s="112"/>
    </row>
    <row r="39" spans="1:11" s="123" customFormat="1" x14ac:dyDescent="0.2">
      <c r="A39" s="120" t="s">
        <v>10</v>
      </c>
      <c r="B39" s="121" t="s">
        <v>5</v>
      </c>
      <c r="C39" s="121" t="s">
        <v>4</v>
      </c>
      <c r="D39" s="121" t="s">
        <v>3</v>
      </c>
      <c r="E39" s="121" t="s">
        <v>81</v>
      </c>
      <c r="F39" s="122"/>
      <c r="G39" s="122"/>
    </row>
    <row r="40" spans="1:11" s="123" customFormat="1" x14ac:dyDescent="0.2">
      <c r="A40" s="120"/>
      <c r="B40" s="122"/>
      <c r="C40" s="122"/>
      <c r="D40" s="122"/>
      <c r="E40" s="122"/>
      <c r="F40" s="326">
        <f>VLOOKUP($B$1,'All data'!$A$34:$N$43,14,FALSE)</f>
        <v>0</v>
      </c>
    </row>
    <row r="41" spans="1:11" s="123" customFormat="1" ht="12" customHeight="1" x14ac:dyDescent="0.2">
      <c r="A41" s="123" t="s">
        <v>19</v>
      </c>
      <c r="B41" s="124">
        <f>VLOOKUP($B$1,'All data'!$A$34:$I$43,2,FALSE)</f>
        <v>70948</v>
      </c>
      <c r="C41" s="124">
        <f>VLOOKUP($B$1,'All data'!$A$34:$I$43,3,FALSE)</f>
        <v>81605</v>
      </c>
      <c r="D41" s="124">
        <f>VLOOKUP($B$1,'All data'!$A$34:$I$43,4,FALSE)</f>
        <v>98283</v>
      </c>
      <c r="E41" s="124">
        <f>VLOOKUP($B$1,'All data'!$A$34:$I$43,5,FALSE)</f>
        <v>91846</v>
      </c>
      <c r="F41" s="125" t="str">
        <f>VLOOKUP($B$1,'All data'!$A$34:$K$43,10,FALSE)</f>
        <v>Chart 6 shows that from 2013-14 to 2015-16 the total number of referrals in Wales increased.</v>
      </c>
      <c r="G41" s="126"/>
    </row>
    <row r="42" spans="1:11" s="123" customFormat="1" x14ac:dyDescent="0.2">
      <c r="A42" s="123" t="s">
        <v>18</v>
      </c>
      <c r="B42" s="124">
        <f>VLOOKUP($B$1,'All data'!$A$34:$I$43,6,FALSE)</f>
        <v>49487</v>
      </c>
      <c r="C42" s="124">
        <f>VLOOKUP($B$1,'All data'!$A$34:$I$43,7,FALSE)</f>
        <v>47168</v>
      </c>
      <c r="D42" s="124">
        <f>VLOOKUP($B$1,'All data'!$A$34:$I$43,8,FALSE)</f>
        <v>39265</v>
      </c>
      <c r="E42" s="124">
        <f>VLOOKUP($B$1,'All data'!$A$34:$I$43,9,FALSE)</f>
        <v>31824</v>
      </c>
      <c r="F42" s="125" t="str">
        <f>VLOOKUP($B$1,'All data'!$A$34:$K$43,11,FALSE)</f>
        <v>The number of referrals from GPs in Wales has decreased over the same period of time but note that Betsi Cadwaladr were unable to submit data for part of the health board for November 2016-March 2017 due to moving to the national Welsh Patient Administration System (WPAS).</v>
      </c>
      <c r="G42" s="126"/>
    </row>
    <row r="43" spans="1:11" x14ac:dyDescent="0.2">
      <c r="A43" s="38"/>
      <c r="C43" s="39"/>
    </row>
    <row r="44" spans="1:11" s="128" customFormat="1" x14ac:dyDescent="0.2">
      <c r="A44" s="133" t="s">
        <v>11</v>
      </c>
      <c r="B44" s="129" t="s">
        <v>6</v>
      </c>
      <c r="C44" s="129" t="s">
        <v>5</v>
      </c>
      <c r="D44" s="129" t="s">
        <v>4</v>
      </c>
      <c r="E44" s="129" t="s">
        <v>3</v>
      </c>
      <c r="F44" s="129" t="s">
        <v>81</v>
      </c>
    </row>
    <row r="45" spans="1:11" s="128" customFormat="1" x14ac:dyDescent="0.2">
      <c r="A45" s="133"/>
    </row>
    <row r="46" spans="1:11" s="128" customFormat="1" x14ac:dyDescent="0.2">
      <c r="A46" s="128" t="s">
        <v>15</v>
      </c>
      <c r="B46" s="131">
        <f>VLOOKUP($B$1,'All data'!$A$45:$P$54,2,FALSE)</f>
        <v>6851</v>
      </c>
      <c r="C46" s="131">
        <f>VLOOKUP($B$1,'All data'!$A$45:$P$54,3,FALSE)</f>
        <v>7237</v>
      </c>
      <c r="D46" s="131">
        <f>VLOOKUP($B$1,'All data'!$A$45:$P$54,4,FALSE)</f>
        <v>7790</v>
      </c>
      <c r="E46" s="131">
        <f>VLOOKUP($B$1,'All data'!$A$45:$P$54,5,FALSE)</f>
        <v>8049</v>
      </c>
      <c r="F46" s="131">
        <f>VLOOKUP($B$1,'All data'!$A$45:$P$54,6,FALSE)</f>
        <v>8792</v>
      </c>
      <c r="G46" s="128" t="str">
        <f>VLOOKUP($B$1,'All data'!$A$45:$S$54,17,FALSE)</f>
        <v>Chart 7a shows that the number of people in Wales who had a low vision assessment has increased over the last 5 years. In 2016-17 the figure reached 8,792 which was over 700 more assessments than in 2015-16.</v>
      </c>
    </row>
    <row r="47" spans="1:11" s="128" customFormat="1" x14ac:dyDescent="0.2">
      <c r="A47" s="128" t="s">
        <v>16</v>
      </c>
      <c r="B47" s="131">
        <f>VLOOKUP($B$1,'All data'!$A$45:$P$54,7,FALSE)</f>
        <v>22.286436827824506</v>
      </c>
      <c r="C47" s="131">
        <f>VLOOKUP($B$1,'All data'!$A$45:$P$54,8,FALSE)</f>
        <v>23.478366941213569</v>
      </c>
      <c r="D47" s="131">
        <f>VLOOKUP($B$1,'All data'!$A$45:$P$54,9,FALSE)</f>
        <v>25.193755829492282</v>
      </c>
      <c r="E47" s="131">
        <f>VLOOKUP($B$1,'All data'!$A$45:$P$54,10,FALSE)</f>
        <v>26.031391613810449</v>
      </c>
      <c r="F47" s="131">
        <f>VLOOKUP($B$1,'All data'!$A$45:$P$54,11,FALSE)</f>
        <v>28.369654794994396</v>
      </c>
      <c r="G47" s="128" t="str">
        <f>VLOOKUP($B$1,'All data'!$A$45:$S$54,18,FALSE)</f>
        <v>Chart 7b shows that the number of low vision assessments per 10,000 Welsh residents has increased over the last 5 years. 28 out of 10,000 Welsh residents had a low vision assessment in 2016-17, which was an increase of 2 from the previous year.</v>
      </c>
    </row>
    <row r="48" spans="1:11" s="128" customFormat="1" x14ac:dyDescent="0.2">
      <c r="A48" s="128" t="s">
        <v>17</v>
      </c>
      <c r="B48" s="131">
        <f>VLOOKUP($B$1,'All data'!$A$45:$P$54,12,FALSE)</f>
        <v>80.093378281870329</v>
      </c>
      <c r="C48" s="131">
        <f>VLOOKUP($B$1,'All data'!$A$45:$P$54,13,FALSE)</f>
        <v>83.381708129874625</v>
      </c>
      <c r="D48" s="131">
        <f>VLOOKUP($B$1,'All data'!$A$45:$P$54,14,FALSE)</f>
        <v>88.796928753053805</v>
      </c>
      <c r="E48" s="131">
        <f>VLOOKUP($B$1,'All data'!$A$45:$P$54,15,FALSE)</f>
        <v>91.364610859051709</v>
      </c>
      <c r="F48" s="131">
        <f>VLOOKUP($B$1,'All data'!$A$45:$P$54,16,FALSE)</f>
        <v>99.11139379642951</v>
      </c>
      <c r="G48" s="128" t="str">
        <f>VLOOKUP($B$1,'All data'!$A$45:$S$54,19,FALSE)</f>
        <v>Chart 7c shows that the number of low vision assessments in people in Wales aged 60 years or over (60+) per 10,000 of the 60+ population has increased. 8 more assessments for 60+ year olds per 10,000 of the 60+ population were carried out in 2016-17 than in 2015-16.</v>
      </c>
    </row>
    <row r="49" spans="1:8" x14ac:dyDescent="0.2">
      <c r="A49" s="38"/>
    </row>
    <row r="50" spans="1:8" s="141" customFormat="1" x14ac:dyDescent="0.2">
      <c r="A50" s="146" t="s">
        <v>47</v>
      </c>
      <c r="B50" s="142" t="s">
        <v>4</v>
      </c>
      <c r="C50" s="142" t="s">
        <v>3</v>
      </c>
      <c r="D50" s="147" t="s">
        <v>81</v>
      </c>
    </row>
    <row r="51" spans="1:8" s="141" customFormat="1" x14ac:dyDescent="0.2">
      <c r="A51" s="146"/>
      <c r="B51" s="148"/>
      <c r="C51" s="148"/>
      <c r="D51" s="149"/>
    </row>
    <row r="52" spans="1:8" s="141" customFormat="1" x14ac:dyDescent="0.2">
      <c r="A52" s="141" t="s">
        <v>50</v>
      </c>
      <c r="B52" s="150">
        <f>VLOOKUP($B$1,'All data'!$A$56:$M$65,2,FALSE)</f>
        <v>158952</v>
      </c>
      <c r="C52" s="150">
        <f>VLOOKUP($B$1,'All data'!$A$56:$M$65,3,FALSE)</f>
        <v>167668</v>
      </c>
      <c r="D52" s="150">
        <f>VLOOKUP($B$1,'All data'!$A$56:$M$65,4,FALSE)</f>
        <v>172101</v>
      </c>
      <c r="E52" s="150"/>
      <c r="F52" s="151"/>
    </row>
    <row r="53" spans="1:8" s="141" customFormat="1" x14ac:dyDescent="0.2">
      <c r="A53" s="141" t="s">
        <v>48</v>
      </c>
      <c r="B53" s="150">
        <f>VLOOKUP($B$1,'All data'!$A$56:$M$65,5,FALSE)</f>
        <v>150393</v>
      </c>
      <c r="C53" s="150">
        <f>VLOOKUP($B$1,'All data'!$A$56:$M$65,6,FALSE)</f>
        <v>154988</v>
      </c>
      <c r="D53" s="150">
        <f>VLOOKUP($B$1,'All data'!$A$56:$M$65,7,FALSE)</f>
        <v>164304</v>
      </c>
      <c r="E53" s="150"/>
      <c r="F53" s="151"/>
    </row>
    <row r="54" spans="1:8" s="141" customFormat="1" x14ac:dyDescent="0.2">
      <c r="A54" s="141" t="s">
        <v>49</v>
      </c>
      <c r="B54" s="150">
        <f>VLOOKUP($B$1,'All data'!$A$56:$M$65,8,FALSE)</f>
        <v>119623</v>
      </c>
      <c r="C54" s="150">
        <f>VLOOKUP($B$1,'All data'!$A$56:$M$65,9,FALSE)</f>
        <v>126513</v>
      </c>
      <c r="D54" s="150">
        <f>VLOOKUP($B$1,'All data'!$A$56:$M$65,10,FALSE)</f>
        <v>139264</v>
      </c>
      <c r="E54" s="150"/>
      <c r="F54" s="151"/>
    </row>
    <row r="55" spans="1:8" s="141" customFormat="1" ht="12" customHeight="1" x14ac:dyDescent="0.2">
      <c r="A55" s="146" t="s">
        <v>62</v>
      </c>
      <c r="B55" s="152">
        <f>VLOOKUP($B$1,'All data'!$A$56:$M$65,11,FALSE)</f>
        <v>0.7954027115623733</v>
      </c>
      <c r="C55" s="152">
        <f>VLOOKUP($B$1,'All data'!$A$56:$M$65,12,FALSE)</f>
        <v>0.81627609879474539</v>
      </c>
      <c r="D55" s="152">
        <f>VLOOKUP($B$1,'All data'!$A$56:$M$65,13,FALSE)</f>
        <v>0.84759957152595189</v>
      </c>
      <c r="E55" s="150" t="str">
        <f>VLOOKUP('Lookup data'!B1,'All data'!A56:N65,14,FALSE)</f>
        <v>The percentage of scheduled DESW appointments where results were reported increased by 3 percentage points between the 2015-16 and 2016-17 financial years for Wales.</v>
      </c>
      <c r="F55" s="151"/>
    </row>
    <row r="56" spans="1:8" ht="10.5" customHeight="1" x14ac:dyDescent="0.2"/>
    <row r="57" spans="1:8" s="154" customFormat="1" x14ac:dyDescent="0.2">
      <c r="A57" s="156" t="s">
        <v>191</v>
      </c>
      <c r="B57" s="157" t="s">
        <v>6</v>
      </c>
      <c r="C57" s="157" t="s">
        <v>5</v>
      </c>
      <c r="D57" s="157" t="s">
        <v>4</v>
      </c>
      <c r="E57" s="157" t="s">
        <v>3</v>
      </c>
      <c r="F57" s="157" t="s">
        <v>81</v>
      </c>
      <c r="G57" s="158"/>
    </row>
    <row r="58" spans="1:8" s="154" customFormat="1" x14ac:dyDescent="0.2">
      <c r="A58" s="159"/>
      <c r="B58" s="160"/>
      <c r="C58" s="160"/>
      <c r="D58" s="161"/>
      <c r="E58" s="161"/>
      <c r="F58" s="160"/>
      <c r="G58" s="162"/>
    </row>
    <row r="59" spans="1:8" s="154" customFormat="1" x14ac:dyDescent="0.2">
      <c r="A59" s="159" t="s">
        <v>192</v>
      </c>
      <c r="B59" s="160">
        <f>VLOOKUP('Lookup data'!$B$1,'All data'!$A$67:$U$76,2,FALSE)</f>
        <v>414</v>
      </c>
      <c r="C59" s="160">
        <f>VLOOKUP('Lookup data'!$B$1,'All data'!$A$67:$U$76,3,FALSE)</f>
        <v>386</v>
      </c>
      <c r="D59" s="160">
        <f>VLOOKUP('Lookup data'!$B$1,'All data'!$A$67:$U$76,4,FALSE)</f>
        <v>369</v>
      </c>
      <c r="E59" s="160">
        <f>VLOOKUP('Lookup data'!$B$1,'All data'!$A$67:$U$76,5,FALSE)</f>
        <v>385</v>
      </c>
      <c r="F59" s="160">
        <f>VLOOKUP('Lookup data'!$B$1,'All data'!$A$67:$U$76,6,FALSE)</f>
        <v>378</v>
      </c>
      <c r="G59" s="163">
        <f>F59/F61</f>
        <v>0.46153846153846156</v>
      </c>
      <c r="H59" s="215" t="str">
        <f>VLOOKUP($B$1,'All data'!$A$67:$AO$76,37,FALSE)</f>
        <v>The number of male ophthalmic practitioners in Wales in 2016 decreased from the figure in 2015 while the number of females increased. This lead to an overall increase in the number of ophthalmic practitioners in Wales in 2016.</v>
      </c>
    </row>
    <row r="60" spans="1:8" s="154" customFormat="1" ht="10.15" x14ac:dyDescent="0.2">
      <c r="A60" s="154" t="s">
        <v>193</v>
      </c>
      <c r="B60" s="160">
        <f>VLOOKUP('Lookup data'!$B$1,'All data'!$A$67:$U$76,7,FALSE)</f>
        <v>395</v>
      </c>
      <c r="C60" s="160">
        <f>VLOOKUP('Lookup data'!$B$1,'All data'!$A$67:$U$76,8,FALSE)</f>
        <v>395</v>
      </c>
      <c r="D60" s="160">
        <f>VLOOKUP('Lookup data'!$B$1,'All data'!$A$67:$U$76,9,FALSE)</f>
        <v>407</v>
      </c>
      <c r="E60" s="160">
        <f>VLOOKUP('Lookup data'!$B$1,'All data'!$A$67:$U$76,10,FALSE)</f>
        <v>433</v>
      </c>
      <c r="F60" s="160">
        <f>VLOOKUP('Lookup data'!$B$1,'All data'!$A$67:$U$76,11,FALSE)</f>
        <v>441</v>
      </c>
      <c r="G60" s="164">
        <f>F60/F61</f>
        <v>0.53846153846153844</v>
      </c>
    </row>
    <row r="61" spans="1:8" s="154" customFormat="1" ht="10.15" x14ac:dyDescent="0.2">
      <c r="A61" s="154" t="s">
        <v>196</v>
      </c>
      <c r="B61" s="165">
        <f>SUM(B59:B60)</f>
        <v>809</v>
      </c>
      <c r="C61" s="165">
        <f>SUM(C59:C60)</f>
        <v>781</v>
      </c>
      <c r="D61" s="165">
        <f>SUM(D59:D60)</f>
        <v>776</v>
      </c>
      <c r="E61" s="165">
        <f>SUM(E59:E60)</f>
        <v>818</v>
      </c>
      <c r="F61" s="165">
        <f>SUM(F59:F60)</f>
        <v>819</v>
      </c>
    </row>
    <row r="62" spans="1:8" s="154" customFormat="1" ht="10.15" x14ac:dyDescent="0.2">
      <c r="A62" s="154" t="s">
        <v>194</v>
      </c>
      <c r="B62" s="160">
        <f>VLOOKUP('Lookup data'!$B$1,'All data'!$A$67:$U$76,12,FALSE)</f>
        <v>795</v>
      </c>
      <c r="C62" s="160">
        <f>VLOOKUP('Lookup data'!$B$1,'All data'!$A$67:$U$76,13,FALSE)</f>
        <v>773</v>
      </c>
      <c r="D62" s="160">
        <f>VLOOKUP('Lookup data'!$B$1,'All data'!$A$67:$U$76,14,FALSE)</f>
        <v>769</v>
      </c>
      <c r="E62" s="160">
        <f>VLOOKUP('Lookup data'!$B$1,'All data'!$A$67:$U$76,15,FALSE)</f>
        <v>811</v>
      </c>
      <c r="F62" s="160">
        <f>VLOOKUP('Lookup data'!$B$1,'All data'!$A$67:$U$76,16,FALSE)</f>
        <v>813</v>
      </c>
      <c r="G62" s="164">
        <f>F62/F61</f>
        <v>0.9926739926739927</v>
      </c>
      <c r="H62" s="215" t="str">
        <f>VLOOKUP($B$1,'All data'!$A$67:$AO$76,38,FALSE)</f>
        <v>The number of optometrists in Wales in 2016 increased from the figure in 2015 while the number of ophthalmic medical practitioners decreased. This lead to an overall increase in the number of ophthalmic practitioners in Wales in 2016.</v>
      </c>
    </row>
    <row r="63" spans="1:8" s="154" customFormat="1" ht="10.15" x14ac:dyDescent="0.2">
      <c r="A63" s="154" t="s">
        <v>195</v>
      </c>
      <c r="B63" s="160">
        <f>VLOOKUP('Lookup data'!$B$1,'All data'!$A$67:$U$76,17,FALSE)</f>
        <v>14</v>
      </c>
      <c r="C63" s="160">
        <f>VLOOKUP('Lookup data'!$B$1,'All data'!$A$67:$U$76,18,FALSE)</f>
        <v>8</v>
      </c>
      <c r="D63" s="160">
        <f>VLOOKUP('Lookup data'!$B$1,'All data'!$A$67:$U$76,19,FALSE)</f>
        <v>7</v>
      </c>
      <c r="E63" s="160">
        <f>VLOOKUP('Lookup data'!$B$1,'All data'!$A$67:$U$76,20,FALSE)</f>
        <v>7</v>
      </c>
      <c r="F63" s="160">
        <f>VLOOKUP('Lookup data'!$B$1,'All data'!$A$67:$U$76,21,FALSE)</f>
        <v>6</v>
      </c>
      <c r="G63" s="164">
        <f>F63/F62</f>
        <v>7.3800738007380072E-3</v>
      </c>
    </row>
    <row r="64" spans="1:8" s="154" customFormat="1" ht="10.15" x14ac:dyDescent="0.2">
      <c r="A64" s="154" t="s">
        <v>297</v>
      </c>
      <c r="B64" s="209">
        <f>VLOOKUP('Lookup data'!$B$1,'All data'!$A$67:$AJ$76,22,FALSE)</f>
        <v>143.61364</v>
      </c>
      <c r="C64" s="209">
        <f>VLOOKUP('Lookup data'!$B$1,'All data'!$A$67:$AJ$76,23,FALSE)</f>
        <v>143.62272999999999</v>
      </c>
      <c r="D64" s="209">
        <f>VLOOKUP('Lookup data'!$B$1,'All data'!$A$67:$AJ$76,24,FALSE)</f>
        <v>143.02841000000001</v>
      </c>
      <c r="E64" s="209">
        <f>VLOOKUP('Lookup data'!$B$1,'All data'!$A$67:$AJ$76,25,FALSE)</f>
        <v>134.14090999999999</v>
      </c>
      <c r="F64" s="209">
        <f>VLOOKUP('Lookup data'!$B$1,'All data'!$A$67:$AJ$76,26,FALSE)</f>
        <v>137.69091</v>
      </c>
      <c r="G64" s="164"/>
      <c r="H64" s="215" t="str">
        <f>VLOOKUP($B$1,'All data'!$A$67:$AO$76,39,FALSE)</f>
        <v>Chart 10a shows that the number of WTE ophthalmology doctors directly employed by the NHS in Wales has decreased since 2012. In 2016 there were 137.7 WTE ophthalmology doctors directly employed by this NHS in Wales which is 3.6 more than in 2015.</v>
      </c>
    </row>
    <row r="65" spans="1:8" s="154" customFormat="1" ht="10.15" x14ac:dyDescent="0.2">
      <c r="A65" s="154" t="s">
        <v>298</v>
      </c>
      <c r="B65" s="209">
        <f>VLOOKUP('Lookup data'!$B$1,'All data'!$A$67:$AJ$76,27,FALSE)</f>
        <v>1.3</v>
      </c>
      <c r="C65" s="209">
        <f>VLOOKUP('Lookup data'!$B$1,'All data'!$A$67:$AJ$76,28,FALSE)</f>
        <v>0.3</v>
      </c>
      <c r="D65" s="209">
        <f>VLOOKUP('Lookup data'!$B$1,'All data'!$A$67:$AJ$76,29,FALSE)</f>
        <v>0.3</v>
      </c>
      <c r="E65" s="209">
        <f>VLOOKUP('Lookup data'!$B$1,'All data'!$A$67:$AJ$76,30,FALSE)</f>
        <v>1.7</v>
      </c>
      <c r="F65" s="209">
        <f>VLOOKUP('Lookup data'!$B$1,'All data'!$A$67:$AJ$76,31,FALSE)</f>
        <v>1.9</v>
      </c>
      <c r="G65" s="164"/>
      <c r="H65" s="215" t="str">
        <f>VLOOKUP($B$1,'All data'!$A$67:$AO$76,41,FALSE)</f>
        <v>Chart 10b shows that the number of WTE staff in the area of otolaryngology directly employed by the NHS in Wales has increased since 2012. In 2016 there were 133.6 WTE staff in the area of otolaryngology directly employed by this NHS in Wales which is 6.2 more than in 2015.</v>
      </c>
    </row>
    <row r="66" spans="1:8" s="154" customFormat="1" ht="10.15" x14ac:dyDescent="0.2">
      <c r="A66" s="154" t="s">
        <v>299</v>
      </c>
      <c r="B66" s="209">
        <f>VLOOKUP('Lookup data'!$B$1,'All data'!$A$67:$AJ$76,32,FALSE)</f>
        <v>109.89091000000001</v>
      </c>
      <c r="C66" s="209">
        <f>VLOOKUP('Lookup data'!$B$1,'All data'!$A$67:$AJ$76,33,FALSE)</f>
        <v>117.59090999999999</v>
      </c>
      <c r="D66" s="209">
        <f>VLOOKUP('Lookup data'!$B$1,'All data'!$A$67:$AJ$76,34,FALSE)</f>
        <v>122.8</v>
      </c>
      <c r="E66" s="209">
        <f>VLOOKUP('Lookup data'!$B$1,'All data'!$A$67:$AJ$76,35,FALSE)</f>
        <v>127.437</v>
      </c>
      <c r="F66" s="209">
        <f>VLOOKUP('Lookup data'!$B$1,'All data'!$A$67:$AJ$76,36,FALSE)</f>
        <v>133.55000000000001</v>
      </c>
      <c r="G66" s="164"/>
      <c r="H66" s="215" t="str">
        <f>VLOOKUP($B$1,'All data'!$A$67:$AO$76,40,FALSE)</f>
        <v>Chart 10c shows that the number of WTE staff in the area of audiovestibular medicine directly employed by the NHS in Wales has increased since 2012. In 2016 there were 1.9 WTE staff in the area of audiovestibular medicine directly employed by this NHS in Wales which is 0.2 more than in 2015.</v>
      </c>
    </row>
    <row r="68" spans="1:8" s="176" customFormat="1" ht="10.15" x14ac:dyDescent="0.2">
      <c r="A68" s="179" t="s">
        <v>197</v>
      </c>
      <c r="B68" s="178" t="s">
        <v>200</v>
      </c>
      <c r="C68" s="178" t="s">
        <v>201</v>
      </c>
      <c r="D68" s="178" t="s">
        <v>202</v>
      </c>
    </row>
    <row r="69" spans="1:8" s="176" customFormat="1" ht="10.15" x14ac:dyDescent="0.2"/>
    <row r="70" spans="1:8" s="176" customFormat="1" ht="10.15" x14ac:dyDescent="0.2">
      <c r="A70" s="176" t="s">
        <v>198</v>
      </c>
      <c r="B70" s="182">
        <f>VLOOKUP($B$1,'All data'!$A$78:$AF$87,2,FALSE)</f>
        <v>421</v>
      </c>
      <c r="C70" s="182">
        <f>VLOOKUP($B$1,'All data'!$A$78:$AF$87,3,FALSE)</f>
        <v>3940</v>
      </c>
      <c r="D70" s="182">
        <f>VLOOKUP($B$1,'All data'!$A$78:$AF$87,4,FALSE)</f>
        <v>10132</v>
      </c>
    </row>
    <row r="71" spans="1:8" s="176" customFormat="1" ht="10.15" x14ac:dyDescent="0.2">
      <c r="A71" s="176" t="s">
        <v>199</v>
      </c>
      <c r="B71" s="182">
        <f>VLOOKUP($B$1,'All data'!$A$78:$AF$87,5,FALSE)</f>
        <v>184</v>
      </c>
      <c r="C71" s="182">
        <f>VLOOKUP($B$1,'All data'!$A$78:$AF$87,6,FALSE)</f>
        <v>3038</v>
      </c>
      <c r="D71" s="182">
        <f>VLOOKUP($B$1,'All data'!$A$78:$AF$87,7,FALSE)</f>
        <v>10258</v>
      </c>
    </row>
    <row r="72" spans="1:8" s="176" customFormat="1" ht="10.15" x14ac:dyDescent="0.2">
      <c r="A72" s="176" t="s">
        <v>203</v>
      </c>
      <c r="B72" s="182">
        <f>VLOOKUP($B$1,'All data'!$A$78:$AF$87,8,FALSE)</f>
        <v>15</v>
      </c>
      <c r="C72" s="182">
        <f>VLOOKUP($B$1,'All data'!$A$78:$AF$87,9,FALSE)</f>
        <v>195</v>
      </c>
      <c r="D72" s="182">
        <f>VLOOKUP($B$1,'All data'!$A$78:$AF$87,10,FALSE)</f>
        <v>1335</v>
      </c>
      <c r="E72" s="182">
        <f>SUM(B70:D72)</f>
        <v>29518</v>
      </c>
      <c r="F72" s="182" t="str">
        <f>VLOOKUP($B$1,'All data'!$A$78:$AF$87,32,FALSE)</f>
        <v>Wales</v>
      </c>
    </row>
    <row r="73" spans="1:8" s="176" customFormat="1" ht="10.15" x14ac:dyDescent="0.2">
      <c r="A73" s="176" t="s">
        <v>265</v>
      </c>
      <c r="B73" s="182">
        <f>VLOOKUP($B$1,'All data'!$A$78:$AF$87,23,FALSE)</f>
        <v>262</v>
      </c>
      <c r="C73" s="182">
        <f>VLOOKUP($B$1,'All data'!$A$78:$AF$87,24,FALSE)</f>
        <v>2006</v>
      </c>
      <c r="D73" s="182">
        <f>VLOOKUP($B$1,'All data'!$A$78:$AF$87,25,FALSE)</f>
        <v>5274</v>
      </c>
      <c r="E73" s="182"/>
    </row>
    <row r="74" spans="1:8" s="176" customFormat="1" ht="10.15" x14ac:dyDescent="0.2">
      <c r="A74" s="176" t="s">
        <v>267</v>
      </c>
      <c r="B74" s="182">
        <f>VLOOKUP($B$1,'All data'!$A$78:$AF$87,14,FALSE)</f>
        <v>159</v>
      </c>
      <c r="C74" s="182">
        <f>VLOOKUP($B$1,'All data'!$A$78:$AF$87,15,FALSE)</f>
        <v>1934</v>
      </c>
      <c r="D74" s="182">
        <f>VLOOKUP($B$1,'All data'!$A$78:$AF$87,16,FALSE)</f>
        <v>4858</v>
      </c>
      <c r="E74" s="182"/>
    </row>
    <row r="75" spans="1:8" s="176" customFormat="1" ht="10.15" x14ac:dyDescent="0.2">
      <c r="A75" s="176" t="s">
        <v>270</v>
      </c>
      <c r="B75" s="182">
        <f>B70</f>
        <v>421</v>
      </c>
      <c r="C75" s="182">
        <f>C70</f>
        <v>3940</v>
      </c>
      <c r="D75" s="182">
        <f>D70</f>
        <v>10132</v>
      </c>
      <c r="E75" s="182"/>
    </row>
    <row r="76" spans="1:8" s="176" customFormat="1" ht="10.15" x14ac:dyDescent="0.2">
      <c r="A76" s="176" t="s">
        <v>268</v>
      </c>
      <c r="B76" s="182">
        <f>VLOOKUP($B$1,'All data'!$A$78:$AF$87,26,FALSE)</f>
        <v>76</v>
      </c>
      <c r="C76" s="182">
        <f>VLOOKUP($B$1,'All data'!$A$78:$AF$87,27,FALSE)</f>
        <v>1207</v>
      </c>
      <c r="D76" s="182">
        <f>VLOOKUP($B$1,'All data'!$A$78:$AF$87,28,FALSE)</f>
        <v>981</v>
      </c>
      <c r="E76" s="182"/>
    </row>
    <row r="77" spans="1:8" s="176" customFormat="1" x14ac:dyDescent="0.2">
      <c r="A77" s="176" t="s">
        <v>271</v>
      </c>
      <c r="B77" s="182">
        <f>VLOOKUP($B$1,'All data'!$A$78:$AF$87,29,FALSE)</f>
        <v>108</v>
      </c>
      <c r="C77" s="182">
        <f>VLOOKUP($B$1,'All data'!$A$78:$AF$87,30,FALSE)</f>
        <v>1831</v>
      </c>
      <c r="D77" s="182">
        <f>VLOOKUP($B$1,'All data'!$A$78:$AF$87,31,FALSE)</f>
        <v>9277</v>
      </c>
      <c r="E77" s="182"/>
    </row>
    <row r="78" spans="1:8" s="176" customFormat="1" x14ac:dyDescent="0.2">
      <c r="A78" s="176" t="s">
        <v>272</v>
      </c>
      <c r="B78" s="182">
        <f>B71</f>
        <v>184</v>
      </c>
      <c r="C78" s="182">
        <f>C71</f>
        <v>3038</v>
      </c>
      <c r="D78" s="182">
        <f>D71</f>
        <v>10258</v>
      </c>
      <c r="E78" s="182"/>
    </row>
    <row r="79" spans="1:8" s="176" customFormat="1" x14ac:dyDescent="0.2">
      <c r="A79" s="176" t="s">
        <v>273</v>
      </c>
      <c r="B79" s="182">
        <f>VLOOKUP($B$1,'All data'!$A$78:$AF$87,11,FALSE)</f>
        <v>10</v>
      </c>
      <c r="C79" s="182">
        <f>VLOOKUP($B$1,'All data'!$A$78:$AF$87,12,FALSE)</f>
        <v>127</v>
      </c>
      <c r="D79" s="182">
        <f>VLOOKUP($B$1,'All data'!$A$78:$AF$87,13,FALSE)</f>
        <v>702</v>
      </c>
      <c r="E79" s="182"/>
    </row>
    <row r="80" spans="1:8" s="176" customFormat="1" x14ac:dyDescent="0.2">
      <c r="A80" s="176" t="s">
        <v>274</v>
      </c>
      <c r="B80" s="182">
        <f>VLOOKUP($B$1,'All data'!$A$78:$AF$87,17,FALSE)</f>
        <v>0</v>
      </c>
      <c r="C80" s="182">
        <f>VLOOKUP($B$1,'All data'!$A$78:$AF$87,18,FALSE)</f>
        <v>17</v>
      </c>
      <c r="D80" s="182">
        <f>VLOOKUP($B$1,'All data'!$A$78:$AF$87,19,FALSE)</f>
        <v>50</v>
      </c>
      <c r="E80" s="182"/>
    </row>
    <row r="81" spans="1:7" s="176" customFormat="1" x14ac:dyDescent="0.2">
      <c r="A81" s="176" t="s">
        <v>275</v>
      </c>
      <c r="B81" s="182">
        <f>VLOOKUP($B$1,'All data'!$A$78:$AF$87,20,FALSE)</f>
        <v>5</v>
      </c>
      <c r="C81" s="182">
        <f>VLOOKUP($B$1,'All data'!$A$78:$AF$87,21,FALSE)</f>
        <v>51</v>
      </c>
      <c r="D81" s="182">
        <f>VLOOKUP($B$1,'All data'!$A$78:$AF$87,22,FALSE)</f>
        <v>583</v>
      </c>
      <c r="E81" s="182">
        <f>SUM(B79:D81)</f>
        <v>1545</v>
      </c>
    </row>
    <row r="83" spans="1:7" s="167" customFormat="1" x14ac:dyDescent="0.2">
      <c r="A83" s="169" t="s">
        <v>204</v>
      </c>
      <c r="B83" s="168">
        <v>2012</v>
      </c>
      <c r="C83" s="168">
        <v>2013</v>
      </c>
      <c r="D83" s="168">
        <v>2014</v>
      </c>
      <c r="E83" s="168">
        <v>2015</v>
      </c>
      <c r="F83" s="168">
        <v>2016</v>
      </c>
    </row>
    <row r="84" spans="1:7" s="167" customFormat="1" x14ac:dyDescent="0.2">
      <c r="A84" s="169"/>
      <c r="B84" s="170"/>
      <c r="C84" s="170"/>
      <c r="D84" s="170"/>
    </row>
    <row r="85" spans="1:7" s="167" customFormat="1" x14ac:dyDescent="0.2">
      <c r="A85" s="167" t="s">
        <v>205</v>
      </c>
      <c r="B85" s="183">
        <f>VLOOKUP($B$1,'All data'!$A$89:$U$98,2,FALSE)</f>
        <v>2629</v>
      </c>
      <c r="C85" s="183">
        <f>VLOOKUP($B$1,'All data'!$A$89:$U$98,3,FALSE)</f>
        <v>2835</v>
      </c>
      <c r="D85" s="183">
        <f>VLOOKUP($B$1,'All data'!$A$89:$U$98,4,FALSE)</f>
        <v>2876</v>
      </c>
      <c r="E85" s="183">
        <f>VLOOKUP($B$1,'All data'!$A$89:$U$98,5,FALSE)</f>
        <v>3159</v>
      </c>
      <c r="F85" s="183">
        <f>VLOOKUP($B$1,'All data'!$A$89:$U$98,6,FALSE)</f>
        <v>3442</v>
      </c>
      <c r="G85" s="222" t="str">
        <f>VLOOKUP($B$1,'All data'!$A$89:$X$98,22,FALSE)</f>
        <v>Chart 12 reveals that the number of people from Wales waiting for hearing aids for less than 8 weeks and for between 14 and 24 weeks have both increased since the previous year. While the other groups, between 8 and 14 weeks and more than 24 weeks, have both decreased.</v>
      </c>
    </row>
    <row r="86" spans="1:7" s="167" customFormat="1" x14ac:dyDescent="0.2">
      <c r="A86" s="167" t="s">
        <v>206</v>
      </c>
      <c r="B86" s="183">
        <f>VLOOKUP($B$1,'All data'!$A$89:$U$98,7,FALSE)</f>
        <v>622</v>
      </c>
      <c r="C86" s="183">
        <f>VLOOKUP($B$1,'All data'!$A$89:$U$98,8,FALSE)</f>
        <v>771</v>
      </c>
      <c r="D86" s="183">
        <f>VLOOKUP($B$1,'All data'!$A$89:$U$98,9,FALSE)</f>
        <v>876</v>
      </c>
      <c r="E86" s="183">
        <f>VLOOKUP($B$1,'All data'!$A$89:$U$98,10,FALSE)</f>
        <v>1139</v>
      </c>
      <c r="F86" s="183">
        <f>VLOOKUP($B$1,'All data'!$A$89:$U$98,11,FALSE)</f>
        <v>1119</v>
      </c>
      <c r="G86" s="222" t="str">
        <f>VLOOKUP($B$1,'All data'!$A$89:$X$98,23,FALSE)</f>
        <v>The target waiting time in Wales is 14 weeks and on 31 March 2017 the number patients waiting longer than 14 weeks reached a 5 year high in Wales.</v>
      </c>
    </row>
    <row r="87" spans="1:7" s="167" customFormat="1" x14ac:dyDescent="0.2">
      <c r="A87" s="167" t="s">
        <v>207</v>
      </c>
      <c r="B87" s="183">
        <f>VLOOKUP($B$1,'All data'!$A$89:$U$98,12,FALSE)</f>
        <v>2</v>
      </c>
      <c r="C87" s="183">
        <f>VLOOKUP($B$1,'All data'!$A$89:$U$98,13,FALSE)</f>
        <v>73</v>
      </c>
      <c r="D87" s="183">
        <f>VLOOKUP($B$1,'All data'!$A$89:$U$98,14,FALSE)</f>
        <v>2</v>
      </c>
      <c r="E87" s="183">
        <f>VLOOKUP($B$1,'All data'!$A$89:$U$98,15,FALSE)</f>
        <v>232</v>
      </c>
      <c r="F87" s="183">
        <f>VLOOKUP($B$1,'All data'!$A$89:$U$98,16,FALSE)</f>
        <v>276</v>
      </c>
      <c r="G87" s="181">
        <f>SUM(F87:F88)</f>
        <v>390</v>
      </c>
    </row>
    <row r="88" spans="1:7" s="167" customFormat="1" x14ac:dyDescent="0.2">
      <c r="A88" s="167" t="s">
        <v>208</v>
      </c>
      <c r="B88" s="183">
        <f>VLOOKUP($B$1,'All data'!$A$89:$U$98,17,FALSE)</f>
        <v>0</v>
      </c>
      <c r="C88" s="183">
        <f>VLOOKUP($B$1,'All data'!$A$89:$U$98,18,FALSE)</f>
        <v>5</v>
      </c>
      <c r="D88" s="183">
        <f>VLOOKUP($B$1,'All data'!$A$89:$U$98,19,FALSE)</f>
        <v>0</v>
      </c>
      <c r="E88" s="183">
        <f>VLOOKUP($B$1,'All data'!$A$89:$U$98,20,FALSE)</f>
        <v>127</v>
      </c>
      <c r="F88" s="183">
        <f>VLOOKUP($B$1,'All data'!$A$89:$U$98,21,FALSE)</f>
        <v>114</v>
      </c>
    </row>
    <row r="89" spans="1:7" s="37" customFormat="1" x14ac:dyDescent="0.2">
      <c r="B89" s="216"/>
      <c r="C89" s="216"/>
      <c r="D89" s="216"/>
      <c r="E89" s="216"/>
      <c r="F89" s="216"/>
    </row>
    <row r="90" spans="1:7" s="167" customFormat="1" x14ac:dyDescent="0.2">
      <c r="A90" s="169" t="s">
        <v>328</v>
      </c>
    </row>
    <row r="91" spans="1:7" s="167" customFormat="1" x14ac:dyDescent="0.2">
      <c r="A91" s="167" t="s">
        <v>332</v>
      </c>
      <c r="B91" s="217" t="s">
        <v>6</v>
      </c>
      <c r="C91" s="217" t="s">
        <v>5</v>
      </c>
      <c r="D91" s="217" t="s">
        <v>4</v>
      </c>
      <c r="E91" s="217" t="s">
        <v>3</v>
      </c>
      <c r="F91" s="217" t="s">
        <v>81</v>
      </c>
      <c r="G91" s="167" t="str">
        <f>VLOOKUP(A110,B110:D117,3,FALSE)</f>
        <v>Wales</v>
      </c>
    </row>
    <row r="92" spans="1:7" s="167" customFormat="1" x14ac:dyDescent="0.2">
      <c r="A92" s="167" t="s">
        <v>329</v>
      </c>
      <c r="B92" s="183">
        <f>VLOOKUP($B$1,'All data'!$A$89:$BA$98,24,FALSE)</f>
        <v>77701</v>
      </c>
      <c r="C92" s="183">
        <f>VLOOKUP($B$1,'All data'!$A$89:$BA$98,25,FALSE)</f>
        <v>73170</v>
      </c>
      <c r="D92" s="183">
        <f>VLOOKUP($B$1,'All data'!$A$89:$BA$98,26,FALSE)</f>
        <v>68306</v>
      </c>
      <c r="E92" s="183">
        <f>VLOOKUP($B$1,'All data'!$A$89:$BA$98,27,FALSE)</f>
        <v>65787</v>
      </c>
      <c r="F92" s="183">
        <f>VLOOKUP($B$1,'All data'!$A$89:$BA$98,28,FALSE)</f>
        <v>67847</v>
      </c>
      <c r="G92" s="222" t="str">
        <f>VLOOKUP($B$1,'All data'!$A$89:$BC$98,54,FALSE)</f>
        <v>Chart 13a shows that the number of closed pathways for ophthalmology in Wales was 103,895 in 2016-17. 65 per cent of patients in 2016-17 were treated in less than 26 weeks, compared to 76 per cent in 2012-13.</v>
      </c>
    </row>
    <row r="93" spans="1:7" s="167" customFormat="1" x14ac:dyDescent="0.2">
      <c r="A93" s="167" t="s">
        <v>330</v>
      </c>
      <c r="B93" s="183">
        <f>VLOOKUP($B$1,'All data'!$A$89:$BA$98,29,FALSE)</f>
        <v>19263</v>
      </c>
      <c r="C93" s="183">
        <f>VLOOKUP($B$1,'All data'!$A$89:$BA$98,30,FALSE)</f>
        <v>13754</v>
      </c>
      <c r="D93" s="183">
        <f>VLOOKUP($B$1,'All data'!$A$89:$BA$98,31,FALSE)</f>
        <v>13405</v>
      </c>
      <c r="E93" s="183">
        <f>VLOOKUP($B$1,'All data'!$A$89:$BA$98,32,FALSE)</f>
        <v>11286</v>
      </c>
      <c r="F93" s="183">
        <f>VLOOKUP($B$1,'All data'!$A$89:$BA$98,33,FALSE)</f>
        <v>17728</v>
      </c>
    </row>
    <row r="94" spans="1:7" s="167" customFormat="1" x14ac:dyDescent="0.2">
      <c r="A94" s="167" t="s">
        <v>331</v>
      </c>
      <c r="B94" s="183">
        <f>VLOOKUP($B$1,'All data'!$A$89:$BA$98,34,FALSE)</f>
        <v>4650</v>
      </c>
      <c r="C94" s="183">
        <f>VLOOKUP($B$1,'All data'!$A$89:$BA$98,35,FALSE)</f>
        <v>10922</v>
      </c>
      <c r="D94" s="183">
        <f>VLOOKUP($B$1,'All data'!$A$89:$BA$98,36,FALSE)</f>
        <v>14307</v>
      </c>
      <c r="E94" s="183">
        <f>VLOOKUP($B$1,'All data'!$A$89:$BA$98,37,FALSE)</f>
        <v>20702</v>
      </c>
      <c r="F94" s="183">
        <f>VLOOKUP($B$1,'All data'!$A$89:$BA$98,38,FALSE)</f>
        <v>18320</v>
      </c>
    </row>
    <row r="95" spans="1:7" s="167" customFormat="1" x14ac:dyDescent="0.2">
      <c r="A95" s="167" t="s">
        <v>333</v>
      </c>
      <c r="B95" s="168">
        <v>2013</v>
      </c>
      <c r="C95" s="168">
        <v>2014</v>
      </c>
      <c r="D95" s="168">
        <v>2015</v>
      </c>
      <c r="E95" s="168">
        <v>2016</v>
      </c>
      <c r="F95" s="168">
        <v>2017</v>
      </c>
    </row>
    <row r="96" spans="1:7" s="167" customFormat="1" x14ac:dyDescent="0.2">
      <c r="A96" s="167" t="s">
        <v>329</v>
      </c>
      <c r="B96" s="183">
        <f>VLOOKUP($B$1,'All data'!$A$89:$BA$98,39,FALSE)</f>
        <v>28987</v>
      </c>
      <c r="C96" s="183">
        <f>VLOOKUP($B$1,'All data'!$A$89:$BA$98,40,FALSE)</f>
        <v>30583</v>
      </c>
      <c r="D96" s="183">
        <f>VLOOKUP($B$1,'All data'!$A$89:$BA$98,41,FALSE)</f>
        <v>29799</v>
      </c>
      <c r="E96" s="183">
        <f>VLOOKUP($B$1,'All data'!$A$89:$BA$98,42,FALSE)</f>
        <v>32479</v>
      </c>
      <c r="F96" s="183">
        <f>VLOOKUP($B$1,'All data'!$A$89:$BA$98,43,FALSE)</f>
        <v>35633</v>
      </c>
      <c r="G96" s="222" t="str">
        <f>VLOOKUP($B$1,'All data'!$A$89:$BC$98,55,FALSE)</f>
        <v>Chart 13b shows that there were 41,790 patient pathways were waiting for ophthalmology treatment in Wales as at March 2017. Overall 2 per cent of patient pathways had waited more than 36 weeks on their pathway as at 31 March 2017.</v>
      </c>
    </row>
    <row r="97" spans="1:7" s="167" customFormat="1" x14ac:dyDescent="0.2">
      <c r="A97" s="167" t="s">
        <v>330</v>
      </c>
      <c r="B97" s="183">
        <f>VLOOKUP($B$1,'All data'!$A$89:$BA$98,44,FALSE)</f>
        <v>3891</v>
      </c>
      <c r="C97" s="183">
        <f>VLOOKUP($B$1,'All data'!$A$89:$BA$98,45,FALSE)</f>
        <v>4331</v>
      </c>
      <c r="D97" s="183">
        <f>VLOOKUP($B$1,'All data'!$A$89:$BA$98,46,FALSE)</f>
        <v>5455</v>
      </c>
      <c r="E97" s="183">
        <f>VLOOKUP($B$1,'All data'!$A$89:$BA$98,47,FALSE)</f>
        <v>5234</v>
      </c>
      <c r="F97" s="183">
        <f>VLOOKUP($B$1,'All data'!$A$89:$BA$98,48,FALSE)</f>
        <v>5401</v>
      </c>
    </row>
    <row r="98" spans="1:7" s="167" customFormat="1" x14ac:dyDescent="0.2">
      <c r="A98" s="167" t="s">
        <v>331</v>
      </c>
      <c r="B98" s="183">
        <f>VLOOKUP($B$1,'All data'!$A$89:$BA$98,49,FALSE)</f>
        <v>905</v>
      </c>
      <c r="C98" s="183">
        <f>VLOOKUP($B$1,'All data'!$A$89:$BA$98,50,FALSE)</f>
        <v>1417</v>
      </c>
      <c r="D98" s="183">
        <f>VLOOKUP($B$1,'All data'!$A$89:$BA$98,51,FALSE)</f>
        <v>3515</v>
      </c>
      <c r="E98" s="183">
        <f>VLOOKUP($B$1,'All data'!$A$89:$BA$98,52,FALSE)</f>
        <v>2809</v>
      </c>
      <c r="F98" s="183">
        <f>VLOOKUP($B$1,'All data'!$A$89:$BA$98,53,FALSE)</f>
        <v>756</v>
      </c>
    </row>
    <row r="99" spans="1:7" ht="11.25" customHeight="1" x14ac:dyDescent="0.2"/>
    <row r="100" spans="1:7" s="172" customFormat="1" x14ac:dyDescent="0.2">
      <c r="A100" s="174" t="s">
        <v>211</v>
      </c>
      <c r="B100" s="173" t="s">
        <v>214</v>
      </c>
      <c r="C100" s="173" t="s">
        <v>6</v>
      </c>
      <c r="D100" s="173" t="s">
        <v>5</v>
      </c>
      <c r="E100" s="173" t="s">
        <v>4</v>
      </c>
      <c r="F100" s="185" t="s">
        <v>3</v>
      </c>
    </row>
    <row r="101" spans="1:7" s="172" customFormat="1" x14ac:dyDescent="0.2"/>
    <row r="102" spans="1:7" s="172" customFormat="1" x14ac:dyDescent="0.2">
      <c r="A102" s="172" t="s">
        <v>257</v>
      </c>
      <c r="B102" s="172">
        <f>VLOOKUP($B$1,'All data'!$A$100:$AD$109,2,FALSE)</f>
        <v>16119</v>
      </c>
      <c r="C102" s="172">
        <f>VLOOKUP($B$1,'All data'!$A$100:$AD$109,3,FALSE)</f>
        <v>16033</v>
      </c>
      <c r="D102" s="172">
        <f>VLOOKUP($B$1,'All data'!$A$100:$AD$109,4,FALSE)</f>
        <v>16927</v>
      </c>
      <c r="E102" s="172">
        <f>VLOOKUP($B$1,'All data'!$A$100:$AD$109,5,FALSE)</f>
        <v>16319</v>
      </c>
      <c r="F102" s="172">
        <f>VLOOKUP($B$1,'All data'!$A$100:$AD$109,6,FALSE)</f>
        <v>18150</v>
      </c>
      <c r="G102" s="172" t="str">
        <f>VLOOKUP($B$1,'All data'!$A$100:$AD$109,27,FALSE)</f>
        <v>Chart 14a shows that the number of hospital admissions for cataract procedures (1st and 2nd eye) in Wales increased by 2,031 from 2011-12 to 2015-16. Between 2014-15 and 2015-16 there was an increase of 1,831.</v>
      </c>
    </row>
    <row r="103" spans="1:7" s="172" customFormat="1" x14ac:dyDescent="0.2">
      <c r="A103" s="172" t="s">
        <v>258</v>
      </c>
      <c r="B103" s="172">
        <f>VLOOKUP($B$1,'All data'!$A$100:$AD$109,7,FALSE)</f>
        <v>85770</v>
      </c>
      <c r="C103" s="172">
        <f>VLOOKUP($B$1,'All data'!$A$100:$AD$109,8,FALSE)</f>
        <v>83169</v>
      </c>
      <c r="D103" s="172">
        <f>VLOOKUP($B$1,'All data'!$A$100:$AD$109,9,FALSE)</f>
        <v>80582</v>
      </c>
      <c r="E103" s="172">
        <f>VLOOKUP($B$1,'All data'!$A$100:$AD$109,10,FALSE)</f>
        <v>76346</v>
      </c>
      <c r="F103" s="172">
        <f>VLOOKUP($B$1,'All data'!$A$100:$AD$109,11,FALSE)</f>
        <v>78656</v>
      </c>
      <c r="G103" s="172" t="str">
        <f>VLOOKUP($B$1,'All data'!$A$100:$AD$109,28,FALSE)</f>
        <v>Chart 14b shows that the number of outpatient attendances (new and follow up) for ophthalmology in Wales has decreased over 5 years. Between 2014-15 and 2015-16, the number of new outpatient attendances increased by 2,310, while the number of follow up outpatient attendances decreased by 2,783.</v>
      </c>
    </row>
    <row r="104" spans="1:7" s="172" customFormat="1" x14ac:dyDescent="0.2">
      <c r="A104" s="172" t="s">
        <v>259</v>
      </c>
      <c r="B104" s="172">
        <f>VLOOKUP($B$1,'All data'!$A$100:$AD$109,12,FALSE)</f>
        <v>254434</v>
      </c>
      <c r="C104" s="172">
        <f>VLOOKUP($B$1,'All data'!$A$100:$AD$109,13,FALSE)</f>
        <v>247697</v>
      </c>
      <c r="D104" s="172">
        <f>VLOOKUP($B$1,'All data'!$A$100:$AD$109,14,FALSE)</f>
        <v>249110</v>
      </c>
      <c r="E104" s="172">
        <f>VLOOKUP($B$1,'All data'!$A$100:$AD$109,15,FALSE)</f>
        <v>246266</v>
      </c>
      <c r="F104" s="172">
        <f>VLOOKUP($B$1,'All data'!$A$100:$AD$109,16,FALSE)</f>
        <v>243483</v>
      </c>
    </row>
    <row r="105" spans="1:7" s="172" customFormat="1" x14ac:dyDescent="0.2">
      <c r="A105" s="172" t="s">
        <v>209</v>
      </c>
      <c r="B105" s="172">
        <f>VLOOKUP($B$1,'All data'!$A$100:$AD$109,17,FALSE)</f>
        <v>3305</v>
      </c>
      <c r="C105" s="172">
        <f>VLOOKUP($B$1,'All data'!$A$100:$AD$109,18,FALSE)</f>
        <v>2872</v>
      </c>
      <c r="D105" s="172">
        <f>VLOOKUP($B$1,'All data'!$A$100:$AD$109,19,FALSE)</f>
        <v>2968</v>
      </c>
      <c r="E105" s="172">
        <f>VLOOKUP($B$1,'All data'!$A$100:$AD$109,20,FALSE)</f>
        <v>3119</v>
      </c>
      <c r="F105" s="172">
        <f>VLOOKUP($B$1,'All data'!$A$100:$AD$109,21,FALSE)</f>
        <v>3086</v>
      </c>
      <c r="G105" s="172" t="str">
        <f>VLOOKUP($B$1,'All data'!$A$100:$AD$109,29,FALSE)</f>
        <v>Chart 14c shows that the number of admissions for procedures relating to hearing loss in Wales has gone down over 5 years. In 2015-16 the figure was 3,086 which was 33 less than in 2014-15.</v>
      </c>
    </row>
    <row r="106" spans="1:7" s="172" customFormat="1" x14ac:dyDescent="0.2">
      <c r="A106" s="172" t="s">
        <v>210</v>
      </c>
      <c r="B106" s="172">
        <f>VLOOKUP($B$1,'All data'!$A$100:$AD$109,22,FALSE)</f>
        <v>4641</v>
      </c>
      <c r="C106" s="172">
        <f>VLOOKUP($B$1,'All data'!$A$100:$AD$109,23,FALSE)</f>
        <v>4715</v>
      </c>
      <c r="D106" s="172">
        <f>VLOOKUP($B$1,'All data'!$A$100:$AD$109,24,FALSE)</f>
        <v>4902</v>
      </c>
      <c r="E106" s="172">
        <f>VLOOKUP($B$1,'All data'!$A$100:$AD$109,25,FALSE)</f>
        <v>5617</v>
      </c>
      <c r="F106" s="172">
        <f>VLOOKUP($B$1,'All data'!$A$100:$AD$109,26,FALSE)</f>
        <v>6165</v>
      </c>
      <c r="G106" s="172" t="str">
        <f>VLOOKUP($B$1,'All data'!$A$100:$AD$109,30,FALSE)</f>
        <v>Chart 14d shows that the number of admissions for a diagnosis relating to hearing loss in Wales has increased over 5 years. The figure in 2015-16 reached 6,165 which was 548 more than in 2014-15.</v>
      </c>
    </row>
    <row r="109" spans="1:7" x14ac:dyDescent="0.2">
      <c r="A109" s="38" t="s">
        <v>351</v>
      </c>
    </row>
    <row r="110" spans="1:7" x14ac:dyDescent="0.2">
      <c r="A110" s="36">
        <v>8</v>
      </c>
      <c r="B110" s="227">
        <v>1</v>
      </c>
      <c r="C110" s="227" t="s">
        <v>82</v>
      </c>
      <c r="D110" s="36" t="s">
        <v>231</v>
      </c>
    </row>
    <row r="111" spans="1:7" x14ac:dyDescent="0.2">
      <c r="B111" s="227">
        <v>2</v>
      </c>
      <c r="C111" s="227" t="s">
        <v>83</v>
      </c>
      <c r="D111" s="36" t="s">
        <v>232</v>
      </c>
    </row>
    <row r="112" spans="1:7" x14ac:dyDescent="0.2">
      <c r="B112" s="227">
        <v>3</v>
      </c>
      <c r="C112" s="227" t="s">
        <v>84</v>
      </c>
      <c r="D112" s="36" t="s">
        <v>625</v>
      </c>
    </row>
    <row r="113" spans="1:13" x14ac:dyDescent="0.2">
      <c r="B113" s="227">
        <v>4</v>
      </c>
      <c r="C113" s="227" t="s">
        <v>103</v>
      </c>
      <c r="D113" s="36" t="s">
        <v>626</v>
      </c>
    </row>
    <row r="114" spans="1:13" x14ac:dyDescent="0.2">
      <c r="B114" s="227">
        <v>5</v>
      </c>
      <c r="C114" s="227" t="s">
        <v>85</v>
      </c>
      <c r="D114" s="36" t="s">
        <v>234</v>
      </c>
    </row>
    <row r="115" spans="1:13" x14ac:dyDescent="0.2">
      <c r="B115" s="227">
        <v>6</v>
      </c>
      <c r="C115" s="227" t="s">
        <v>86</v>
      </c>
      <c r="D115" s="36" t="s">
        <v>230</v>
      </c>
    </row>
    <row r="116" spans="1:13" x14ac:dyDescent="0.2">
      <c r="B116" s="227">
        <v>7</v>
      </c>
      <c r="C116" s="227" t="s">
        <v>87</v>
      </c>
      <c r="D116" s="36" t="s">
        <v>229</v>
      </c>
    </row>
    <row r="117" spans="1:13" x14ac:dyDescent="0.2">
      <c r="B117" s="227">
        <v>8</v>
      </c>
      <c r="C117" s="227" t="s">
        <v>88</v>
      </c>
      <c r="D117" s="36" t="s">
        <v>88</v>
      </c>
    </row>
    <row r="120" spans="1:13" x14ac:dyDescent="0.2">
      <c r="A120" s="250" t="s">
        <v>438</v>
      </c>
      <c r="B120" s="254" t="s">
        <v>36</v>
      </c>
      <c r="C120" s="254" t="s">
        <v>114</v>
      </c>
      <c r="D120" s="254" t="s">
        <v>59</v>
      </c>
      <c r="E120" s="254" t="s">
        <v>436</v>
      </c>
      <c r="F120" s="249" t="s">
        <v>437</v>
      </c>
      <c r="G120" s="249" t="s">
        <v>20</v>
      </c>
      <c r="H120" s="249" t="s">
        <v>63</v>
      </c>
      <c r="I120" s="249" t="s">
        <v>191</v>
      </c>
      <c r="J120" s="249" t="s">
        <v>197</v>
      </c>
      <c r="K120" s="254" t="s">
        <v>204</v>
      </c>
      <c r="L120" s="249" t="s">
        <v>328</v>
      </c>
      <c r="M120" s="249" t="s">
        <v>211</v>
      </c>
    </row>
    <row r="121" spans="1:13" x14ac:dyDescent="0.2">
      <c r="A121" s="245" t="s">
        <v>82</v>
      </c>
      <c r="B121" s="36" t="s">
        <v>439</v>
      </c>
      <c r="C121" s="37" t="s">
        <v>862</v>
      </c>
      <c r="D121" s="37" t="s">
        <v>448</v>
      </c>
      <c r="E121" s="36" t="s">
        <v>455</v>
      </c>
      <c r="F121" s="37" t="s">
        <v>464</v>
      </c>
      <c r="G121" s="37" t="s">
        <v>856</v>
      </c>
      <c r="H121" s="37" t="s">
        <v>472</v>
      </c>
      <c r="I121" s="255" t="s">
        <v>481</v>
      </c>
      <c r="J121" s="204" t="s">
        <v>487</v>
      </c>
      <c r="K121" s="37" t="s">
        <v>829</v>
      </c>
      <c r="L121" s="37" t="s">
        <v>834</v>
      </c>
      <c r="M121" s="36" t="s">
        <v>495</v>
      </c>
    </row>
    <row r="122" spans="1:13" x14ac:dyDescent="0.2">
      <c r="A122" s="248" t="s">
        <v>83</v>
      </c>
      <c r="B122" s="36" t="s">
        <v>440</v>
      </c>
      <c r="C122" s="37" t="s">
        <v>863</v>
      </c>
      <c r="D122" s="37" t="s">
        <v>449</v>
      </c>
      <c r="E122" s="36" t="s">
        <v>456</v>
      </c>
      <c r="F122" s="37" t="s">
        <v>465</v>
      </c>
      <c r="G122" s="37" t="s">
        <v>854</v>
      </c>
      <c r="H122" s="37" t="s">
        <v>473</v>
      </c>
      <c r="I122" s="36" t="s">
        <v>482</v>
      </c>
      <c r="J122" s="204" t="s">
        <v>488</v>
      </c>
      <c r="K122" s="37" t="s">
        <v>789</v>
      </c>
      <c r="L122" s="37" t="s">
        <v>835</v>
      </c>
      <c r="M122" s="36" t="s">
        <v>496</v>
      </c>
    </row>
    <row r="123" spans="1:13" x14ac:dyDescent="0.2">
      <c r="A123" s="247" t="s">
        <v>84</v>
      </c>
      <c r="B123" s="36" t="s">
        <v>441</v>
      </c>
      <c r="C123" s="37" t="s">
        <v>864</v>
      </c>
      <c r="D123" s="37" t="s">
        <v>450</v>
      </c>
      <c r="E123" s="36" t="s">
        <v>457</v>
      </c>
      <c r="F123" s="37" t="s">
        <v>466</v>
      </c>
      <c r="G123" s="37" t="s">
        <v>855</v>
      </c>
      <c r="H123" s="37" t="s">
        <v>474</v>
      </c>
      <c r="I123" s="36" t="s">
        <v>483</v>
      </c>
      <c r="J123" s="204" t="s">
        <v>489</v>
      </c>
      <c r="K123" s="37" t="s">
        <v>790</v>
      </c>
      <c r="L123" s="37" t="s">
        <v>836</v>
      </c>
      <c r="M123" s="36" t="s">
        <v>497</v>
      </c>
    </row>
    <row r="124" spans="1:13" x14ac:dyDescent="0.2">
      <c r="A124" s="247" t="s">
        <v>103</v>
      </c>
      <c r="B124" s="36" t="s">
        <v>442</v>
      </c>
      <c r="C124" s="37" t="s">
        <v>865</v>
      </c>
      <c r="D124" s="37" t="s">
        <v>451</v>
      </c>
      <c r="E124" s="36" t="s">
        <v>458</v>
      </c>
      <c r="F124" s="37" t="s">
        <v>467</v>
      </c>
      <c r="G124" s="37" t="s">
        <v>857</v>
      </c>
      <c r="H124" s="37" t="s">
        <v>475</v>
      </c>
      <c r="I124" s="204" t="s">
        <v>484</v>
      </c>
      <c r="J124" s="204" t="s">
        <v>490</v>
      </c>
      <c r="K124" s="37" t="s">
        <v>830</v>
      </c>
      <c r="L124" s="37" t="s">
        <v>837</v>
      </c>
      <c r="M124" s="36" t="s">
        <v>498</v>
      </c>
    </row>
    <row r="125" spans="1:13" x14ac:dyDescent="0.2">
      <c r="A125" s="247" t="s">
        <v>85</v>
      </c>
      <c r="B125" s="36" t="s">
        <v>443</v>
      </c>
      <c r="C125" s="37" t="s">
        <v>866</v>
      </c>
      <c r="D125" s="37" t="s">
        <v>452</v>
      </c>
      <c r="E125" s="36" t="s">
        <v>459</v>
      </c>
      <c r="F125" s="37" t="s">
        <v>468</v>
      </c>
      <c r="G125" s="37" t="s">
        <v>858</v>
      </c>
      <c r="H125" s="37" t="s">
        <v>476</v>
      </c>
      <c r="I125" s="204" t="s">
        <v>485</v>
      </c>
      <c r="J125" s="204" t="s">
        <v>491</v>
      </c>
      <c r="K125" s="37" t="s">
        <v>831</v>
      </c>
      <c r="L125" s="37" t="s">
        <v>838</v>
      </c>
      <c r="M125" s="186" t="s">
        <v>499</v>
      </c>
    </row>
    <row r="126" spans="1:13" x14ac:dyDescent="0.2">
      <c r="A126" s="247" t="s">
        <v>86</v>
      </c>
      <c r="B126" s="36" t="s">
        <v>444</v>
      </c>
      <c r="C126" s="37" t="s">
        <v>867</v>
      </c>
      <c r="D126" s="37" t="s">
        <v>453</v>
      </c>
      <c r="E126" s="36" t="s">
        <v>460</v>
      </c>
      <c r="F126" s="37" t="s">
        <v>469</v>
      </c>
      <c r="G126" s="37" t="s">
        <v>859</v>
      </c>
      <c r="H126" s="37" t="s">
        <v>477</v>
      </c>
      <c r="I126" s="204" t="s">
        <v>486</v>
      </c>
      <c r="J126" s="204" t="s">
        <v>492</v>
      </c>
      <c r="K126" s="37" t="s">
        <v>832</v>
      </c>
      <c r="L126" s="37" t="s">
        <v>839</v>
      </c>
      <c r="M126" s="186" t="s">
        <v>502</v>
      </c>
    </row>
    <row r="127" spans="1:13" x14ac:dyDescent="0.2">
      <c r="A127" s="248" t="s">
        <v>87</v>
      </c>
      <c r="B127" s="36" t="s">
        <v>445</v>
      </c>
      <c r="C127" s="37" t="s">
        <v>868</v>
      </c>
      <c r="D127" s="37" t="s">
        <v>454</v>
      </c>
      <c r="E127" s="36" t="s">
        <v>461</v>
      </c>
      <c r="F127" s="37" t="s">
        <v>470</v>
      </c>
      <c r="G127" s="37" t="s">
        <v>860</v>
      </c>
      <c r="H127" s="37" t="s">
        <v>478</v>
      </c>
      <c r="I127" s="204" t="s">
        <v>479</v>
      </c>
      <c r="J127" s="204" t="s">
        <v>493</v>
      </c>
      <c r="K127" s="37" t="s">
        <v>797</v>
      </c>
      <c r="L127" s="37" t="s">
        <v>840</v>
      </c>
      <c r="M127" s="186" t="s">
        <v>500</v>
      </c>
    </row>
    <row r="128" spans="1:13" x14ac:dyDescent="0.2">
      <c r="A128" s="247" t="s">
        <v>88</v>
      </c>
      <c r="B128" s="36" t="s">
        <v>446</v>
      </c>
      <c r="C128" s="37" t="s">
        <v>869</v>
      </c>
      <c r="D128" s="37" t="s">
        <v>447</v>
      </c>
      <c r="E128" s="36" t="s">
        <v>462</v>
      </c>
      <c r="F128" s="37" t="s">
        <v>463</v>
      </c>
      <c r="G128" s="37" t="s">
        <v>861</v>
      </c>
      <c r="H128" s="37" t="s">
        <v>471</v>
      </c>
      <c r="I128" s="204" t="s">
        <v>480</v>
      </c>
      <c r="J128" s="204" t="s">
        <v>494</v>
      </c>
      <c r="K128" s="37" t="s">
        <v>833</v>
      </c>
      <c r="L128" s="37" t="s">
        <v>841</v>
      </c>
      <c r="M128" s="186" t="s">
        <v>501</v>
      </c>
    </row>
    <row r="129" spans="1:13" x14ac:dyDescent="0.2">
      <c r="A129" s="247"/>
      <c r="B129" s="247"/>
      <c r="C129" s="247"/>
      <c r="D129" s="247"/>
      <c r="E129" s="247"/>
      <c r="F129" s="253"/>
      <c r="G129" s="253"/>
      <c r="H129" s="253"/>
      <c r="I129" s="253"/>
      <c r="J129" s="251"/>
      <c r="K129" s="251"/>
      <c r="L129" s="251"/>
      <c r="M129" s="251"/>
    </row>
    <row r="130" spans="1:13" x14ac:dyDescent="0.2">
      <c r="A130" s="258" t="s">
        <v>508</v>
      </c>
      <c r="B130" s="253" t="str">
        <f>VLOOKUP($B$1,$A$121:$M$128,2,FALSE)</f>
        <v xml:space="preserve">In 2015-16 there were 45 new CVIs per 100,000 Welsh residents which is 5 more than in 2014-15. </v>
      </c>
      <c r="C130" s="253" t="str">
        <f>VLOOKUP($B$1,$A$121:$M$128,3,FALSE)</f>
        <v>251 out of 1,000 Welsh residents had a sight test paid by the NHS during the 2016-17 financial year. This figure was an increase on last year's figure of 248.</v>
      </c>
      <c r="D130" s="253" t="str">
        <f>VLOOKUP($B$1,$A$121:$M$128,4,FALSE)</f>
        <v>150,324 EHEW examinations were carried out in Wales in the 2016-17 financial year; this is an increase of over 28,500 from the 121,736 eye examinations in 2015-16.</v>
      </c>
      <c r="E130" s="253" t="str">
        <f>VLOOKUP($B$1,$A$121:$M$128,5,FALSE)</f>
        <v>The number of people in Wales who had a low vision assessment has increased over the last 5 years. In 2016-17 the figure reached 8,792 which was over 700 more assessments than in 2015-16.</v>
      </c>
      <c r="F130" s="253" t="str">
        <f>VLOOKUP($B$1,$A$121:$M$128,6,FALSE)</f>
        <v>The number of referrals for a first ophthalmology outpatient appointment has increased over the last four years in Wales. Between 2014-15 and 2015-16 there was an increase of over 16,500 referrals from 81,515 to 98,024.</v>
      </c>
      <c r="G130" s="253" t="str">
        <f>VLOOKUP($B$1,$A$121:$M$128,7,FALSE)</f>
        <v>338 (93 per cent) optometry practices in Wales were accredited to provide Eye Health Examinations Wales services and 210 (58 per cent) to provide Low Vision Service Wales services in 2016-17.</v>
      </c>
      <c r="H130" s="253" t="str">
        <f>VLOOKUP($B$1,$A$121:$M$128,8,FALSE)</f>
        <v>85 per cent of scheduled DESW appointments (invitations) in Wales had results reported in 2016-17</v>
      </c>
      <c r="I130" s="253" t="str">
        <f>VLOOKUP($B$1,$A$121:$M$128,9,FALSE)</f>
        <v>There was an increase in the number of ophthalmic practitioners in Wales between 2015 and 2016.</v>
      </c>
      <c r="J130" s="253" t="str">
        <f>VLOOKUP($B$1,$A$121:$M$128,10,FALSE)</f>
        <v>29,518 people in Wales are registered as sight impaired, hearing impaired or both.</v>
      </c>
      <c r="K130" s="253" t="str">
        <f>VLOOKUP($B$1,$A$121:$M$128,11,FALSE)</f>
        <v>The target waiting time in Wales is 14 weeks and on 31 March 2017 there were 390 patients that had been waiting longer than 14 weeks in Wales</v>
      </c>
      <c r="L130" s="253" t="str">
        <f>VLOOKUP($B$1,$A$121:$M$128,12,FALSE)</f>
        <v>The number of closed pathways for ophthalmology in Wales was 103,895 in 2016-17. There were 41,790 patients were waiting for ophthalmology treatment in Wales on 31 March 2017.</v>
      </c>
      <c r="M130" s="253" t="str">
        <f>VLOOKUP($B$1,$A$121:$M$128,13,FALSE)</f>
        <v>The number of admissions for procedures relating to hearing loss in Wales has gone down over the 5 years, while the number of admissions for a diagnosis relating to hearing loss has increased.</v>
      </c>
    </row>
    <row r="131" spans="1:13" x14ac:dyDescent="0.2">
      <c r="A131" s="247"/>
      <c r="B131" s="252"/>
      <c r="C131" s="247"/>
      <c r="D131" s="247"/>
      <c r="E131" s="247"/>
      <c r="F131" s="252"/>
      <c r="G131" s="253"/>
      <c r="H131" s="253"/>
      <c r="I131" s="253"/>
      <c r="J131" s="251"/>
      <c r="K131" s="251"/>
      <c r="L131" s="251"/>
      <c r="M131" s="251"/>
    </row>
    <row r="132" spans="1:13" x14ac:dyDescent="0.2">
      <c r="A132" s="246"/>
    </row>
    <row r="133" spans="1:13" x14ac:dyDescent="0.2">
      <c r="B133" s="342"/>
    </row>
    <row r="134" spans="1:13" x14ac:dyDescent="0.2">
      <c r="A134" s="250"/>
      <c r="B134" s="341"/>
      <c r="C134" s="340"/>
      <c r="D134" s="340"/>
      <c r="E134" s="254"/>
      <c r="F134" s="249"/>
      <c r="G134" s="249"/>
      <c r="H134" s="249"/>
      <c r="I134" s="249"/>
      <c r="J134" s="249"/>
      <c r="K134" s="249"/>
      <c r="L134" s="254"/>
      <c r="M134" s="249"/>
    </row>
    <row r="135" spans="1:13" x14ac:dyDescent="0.2">
      <c r="A135" s="245"/>
      <c r="B135" s="343"/>
      <c r="C135" s="339"/>
      <c r="D135" s="339"/>
      <c r="E135" s="37"/>
      <c r="F135" s="204"/>
    </row>
    <row r="136" spans="1:13" x14ac:dyDescent="0.2">
      <c r="A136" s="248"/>
      <c r="B136" s="339"/>
      <c r="C136" s="339"/>
      <c r="D136" s="339"/>
      <c r="E136" s="37"/>
    </row>
    <row r="137" spans="1:13" x14ac:dyDescent="0.2">
      <c r="A137" s="247"/>
      <c r="B137" s="339"/>
      <c r="C137" s="339"/>
      <c r="D137" s="339"/>
      <c r="E137" s="37"/>
    </row>
    <row r="138" spans="1:13" x14ac:dyDescent="0.2">
      <c r="A138" s="247"/>
      <c r="B138" s="339"/>
      <c r="C138" s="339"/>
      <c r="D138" s="339"/>
      <c r="E138" s="37"/>
    </row>
    <row r="139" spans="1:13" x14ac:dyDescent="0.2">
      <c r="A139" s="247"/>
      <c r="B139" s="339"/>
      <c r="C139" s="339"/>
      <c r="D139" s="339"/>
      <c r="E139" s="37"/>
    </row>
    <row r="140" spans="1:13" x14ac:dyDescent="0.2">
      <c r="A140" s="247"/>
      <c r="B140" s="339"/>
      <c r="C140" s="339"/>
      <c r="D140" s="339"/>
      <c r="E140" s="37"/>
    </row>
    <row r="141" spans="1:13" x14ac:dyDescent="0.2">
      <c r="A141" s="248"/>
      <c r="B141" s="339"/>
      <c r="C141" s="339"/>
      <c r="D141" s="339"/>
      <c r="E141" s="37"/>
    </row>
    <row r="142" spans="1:13" x14ac:dyDescent="0.2">
      <c r="A142" s="247"/>
      <c r="C142" s="335"/>
      <c r="D142" s="37"/>
      <c r="E142" s="37"/>
    </row>
    <row r="143" spans="1:13" x14ac:dyDescent="0.2">
      <c r="A143" s="247"/>
      <c r="C143" s="335"/>
      <c r="D143" s="37"/>
      <c r="E143" s="37"/>
      <c r="H143" s="37"/>
    </row>
    <row r="144" spans="1:13" x14ac:dyDescent="0.2">
      <c r="A144" s="186"/>
      <c r="B144" s="186"/>
      <c r="C144" s="186"/>
      <c r="D144" s="186"/>
      <c r="E144" s="186"/>
      <c r="F144" s="186"/>
      <c r="G144" s="186"/>
      <c r="H144" s="186"/>
      <c r="I144" s="186"/>
      <c r="J144" s="186"/>
      <c r="K144" s="186"/>
      <c r="L144" s="186"/>
      <c r="M144" s="186"/>
    </row>
    <row r="145" spans="1:13" x14ac:dyDescent="0.2">
      <c r="A145" s="280"/>
      <c r="C145" s="37"/>
      <c r="D145" s="313"/>
      <c r="E145" s="313"/>
      <c r="H145" s="37"/>
    </row>
    <row r="146" spans="1:13" ht="12.75" x14ac:dyDescent="0.2">
      <c r="A146" s="266"/>
      <c r="B146" s="276"/>
      <c r="C146" s="277"/>
      <c r="D146" s="270"/>
      <c r="E146" s="278"/>
      <c r="G146" s="227"/>
      <c r="H146" s="227"/>
      <c r="I146" s="227"/>
    </row>
    <row r="147" spans="1:13" ht="12.75" customHeight="1" x14ac:dyDescent="0.2">
      <c r="A147" s="270"/>
      <c r="B147" s="335"/>
      <c r="C147" s="334"/>
      <c r="D147" s="334"/>
      <c r="E147" s="279"/>
      <c r="G147" s="274"/>
      <c r="H147" s="274"/>
      <c r="I147" s="274"/>
      <c r="J147" s="273"/>
      <c r="K147" s="273"/>
      <c r="L147" s="273"/>
      <c r="M147" s="273"/>
    </row>
    <row r="148" spans="1:13" ht="12.75" x14ac:dyDescent="0.2">
      <c r="A148" s="270"/>
      <c r="B148" s="335"/>
      <c r="C148" s="334"/>
      <c r="D148" s="334"/>
      <c r="E148" s="279"/>
      <c r="G148" s="275"/>
      <c r="H148" s="275"/>
      <c r="I148" s="275"/>
      <c r="J148" s="271"/>
      <c r="K148" s="271"/>
      <c r="L148" s="271"/>
      <c r="M148" s="271"/>
    </row>
    <row r="149" spans="1:13" ht="12.75" x14ac:dyDescent="0.2">
      <c r="A149" s="270"/>
      <c r="B149" s="335"/>
      <c r="C149" s="334"/>
      <c r="D149" s="334"/>
      <c r="E149" s="279"/>
      <c r="G149" s="272"/>
      <c r="H149" s="272"/>
      <c r="I149" s="272"/>
      <c r="J149" s="272"/>
      <c r="K149" s="272"/>
      <c r="L149" s="272"/>
      <c r="M149" s="272"/>
    </row>
    <row r="150" spans="1:13" ht="12.75" x14ac:dyDescent="0.2">
      <c r="A150" s="277"/>
      <c r="B150" s="335"/>
      <c r="C150" s="336"/>
      <c r="D150" s="336"/>
      <c r="E150" s="279"/>
      <c r="G150" s="272"/>
      <c r="H150" s="272"/>
      <c r="I150" s="272"/>
      <c r="J150" s="272"/>
      <c r="K150" s="272"/>
      <c r="L150" s="272"/>
      <c r="M150" s="272"/>
    </row>
    <row r="151" spans="1:13" ht="12.75" x14ac:dyDescent="0.2">
      <c r="A151" s="281"/>
      <c r="B151" s="335"/>
      <c r="C151" s="334"/>
      <c r="D151" s="334"/>
      <c r="E151" s="279"/>
      <c r="G151" s="272"/>
      <c r="H151" s="272"/>
      <c r="I151" s="272"/>
      <c r="J151" s="272"/>
      <c r="K151" s="272"/>
      <c r="L151" s="272"/>
      <c r="M151" s="272"/>
    </row>
    <row r="152" spans="1:13" ht="12.75" x14ac:dyDescent="0.2">
      <c r="A152" s="281"/>
      <c r="B152" s="335"/>
      <c r="C152" s="334"/>
      <c r="D152" s="334"/>
      <c r="E152" s="279"/>
      <c r="G152" s="272"/>
      <c r="H152" s="272"/>
      <c r="I152" s="272"/>
      <c r="J152" s="272"/>
      <c r="K152" s="272"/>
      <c r="L152" s="272"/>
      <c r="M152" s="272"/>
    </row>
    <row r="153" spans="1:13" ht="12.75" x14ac:dyDescent="0.2">
      <c r="A153" s="281"/>
      <c r="B153" s="335"/>
      <c r="C153" s="334"/>
      <c r="D153" s="334"/>
      <c r="E153" s="279"/>
      <c r="F153" s="274"/>
      <c r="G153" s="272"/>
      <c r="H153" s="272"/>
      <c r="I153" s="272"/>
      <c r="J153" s="272"/>
      <c r="K153" s="272"/>
      <c r="L153" s="272"/>
      <c r="M153" s="272"/>
    </row>
    <row r="154" spans="1:13" ht="12.75" x14ac:dyDescent="0.2">
      <c r="A154" s="281"/>
      <c r="B154" s="335"/>
      <c r="C154" s="334"/>
      <c r="D154" s="334"/>
      <c r="E154" s="279"/>
      <c r="F154" s="274"/>
      <c r="G154" s="272"/>
      <c r="H154" s="272"/>
      <c r="I154" s="272"/>
      <c r="J154" s="272"/>
      <c r="K154" s="272"/>
      <c r="L154" s="272"/>
      <c r="M154" s="272"/>
    </row>
    <row r="155" spans="1:13" ht="12.75" x14ac:dyDescent="0.2">
      <c r="A155" s="281"/>
      <c r="B155" s="282"/>
      <c r="C155" s="227"/>
      <c r="D155" s="272"/>
      <c r="E155" s="272"/>
      <c r="F155" s="272"/>
      <c r="G155" s="272"/>
      <c r="H155" s="272"/>
      <c r="I155" s="272"/>
      <c r="J155" s="272"/>
      <c r="K155" s="272"/>
      <c r="L155" s="272"/>
      <c r="M155" s="272"/>
    </row>
    <row r="156" spans="1:13" ht="12.75" x14ac:dyDescent="0.2">
      <c r="A156" s="281"/>
      <c r="B156" s="282"/>
      <c r="C156" s="227"/>
      <c r="D156" s="272"/>
      <c r="E156" s="272"/>
      <c r="F156" s="272"/>
      <c r="G156" s="272"/>
      <c r="H156" s="272"/>
      <c r="I156" s="272"/>
      <c r="J156" s="272"/>
      <c r="K156" s="272"/>
      <c r="L156" s="272"/>
      <c r="M156" s="272"/>
    </row>
    <row r="157" spans="1:13" ht="12.75" x14ac:dyDescent="0.2">
      <c r="A157" s="281"/>
      <c r="B157" s="282"/>
      <c r="C157" s="227"/>
      <c r="D157" s="227"/>
      <c r="E157" s="227"/>
      <c r="F157" s="227"/>
      <c r="G157" s="227"/>
      <c r="H157" s="227"/>
      <c r="I157" s="227"/>
    </row>
    <row r="158" spans="1:13" ht="12.75" x14ac:dyDescent="0.2">
      <c r="A158" s="277"/>
      <c r="B158" s="283"/>
      <c r="C158" s="227"/>
      <c r="D158" s="227"/>
      <c r="E158" s="227"/>
      <c r="F158" s="227"/>
      <c r="G158" s="227"/>
      <c r="H158" s="227"/>
      <c r="I158" s="227"/>
    </row>
    <row r="159" spans="1:13" ht="12.75" x14ac:dyDescent="0.2">
      <c r="A159" s="277"/>
      <c r="B159" s="270"/>
      <c r="C159" s="227"/>
      <c r="D159" s="227"/>
      <c r="E159" s="227"/>
      <c r="F159" s="227"/>
      <c r="G159" s="227"/>
      <c r="H159" s="227"/>
      <c r="I159" s="227"/>
    </row>
    <row r="160" spans="1:13" ht="12.75" x14ac:dyDescent="0.2">
      <c r="A160" s="281"/>
      <c r="B160" s="284"/>
      <c r="C160" s="227"/>
      <c r="D160" s="227"/>
      <c r="E160" s="227"/>
      <c r="F160" s="227"/>
      <c r="G160" s="227"/>
      <c r="H160" s="227"/>
      <c r="I160" s="227"/>
    </row>
    <row r="161" spans="1:9" ht="12.75" x14ac:dyDescent="0.2">
      <c r="A161" s="281"/>
      <c r="B161" s="284"/>
      <c r="C161" s="227"/>
      <c r="D161" s="227"/>
      <c r="E161" s="227"/>
      <c r="F161" s="227"/>
      <c r="G161" s="227"/>
      <c r="H161" s="227"/>
      <c r="I161" s="227"/>
    </row>
    <row r="162" spans="1:9" ht="12.75" x14ac:dyDescent="0.2">
      <c r="A162" s="281"/>
      <c r="B162" s="284"/>
      <c r="C162" s="227"/>
      <c r="D162" s="227"/>
      <c r="E162" s="227"/>
      <c r="F162" s="227"/>
      <c r="G162" s="227"/>
      <c r="H162" s="227"/>
      <c r="I162" s="227"/>
    </row>
    <row r="163" spans="1:9" ht="12.75" x14ac:dyDescent="0.2">
      <c r="A163" s="281"/>
      <c r="B163" s="284"/>
    </row>
    <row r="164" spans="1:9" ht="12.75" x14ac:dyDescent="0.2">
      <c r="A164" s="281"/>
      <c r="B164" s="284"/>
    </row>
    <row r="165" spans="1:9" ht="12.75" x14ac:dyDescent="0.2">
      <c r="A165" s="281"/>
      <c r="B165" s="284"/>
    </row>
    <row r="166" spans="1:9" ht="12.75" x14ac:dyDescent="0.2">
      <c r="A166" s="281"/>
      <c r="B166" s="284"/>
    </row>
    <row r="167" spans="1:9" ht="12.75" x14ac:dyDescent="0.2">
      <c r="A167" s="277"/>
      <c r="B167" s="285"/>
    </row>
    <row r="168" spans="1:9" x14ac:dyDescent="0.2">
      <c r="A168" s="227"/>
      <c r="B168" s="227"/>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002060"/>
    <pageSetUpPr autoPageBreaks="0"/>
  </sheetPr>
  <dimension ref="A1:AD215"/>
  <sheetViews>
    <sheetView zoomScaleNormal="100" workbookViewId="0">
      <selection activeCell="R26" sqref="R26"/>
    </sheetView>
  </sheetViews>
  <sheetFormatPr defaultColWidth="8.88671875" defaultRowHeight="11.25" x14ac:dyDescent="0.2"/>
  <cols>
    <col min="1" max="1" width="5.5546875" style="36" customWidth="1"/>
    <col min="2" max="2" width="47.5546875" style="36" bestFit="1" customWidth="1"/>
    <col min="3" max="3" width="8.88671875" style="36"/>
    <col min="4" max="4" width="16.44140625" style="36" customWidth="1"/>
    <col min="5" max="16384" width="8.88671875" style="36"/>
  </cols>
  <sheetData>
    <row r="1" spans="1:30" s="60" customFormat="1" ht="12.75" x14ac:dyDescent="0.2">
      <c r="A1" s="74" t="s">
        <v>36</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row>
    <row r="2" spans="1:30" s="60" customFormat="1" x14ac:dyDescent="0.2">
      <c r="A2" s="65"/>
      <c r="B2" s="65"/>
      <c r="C2" s="65"/>
      <c r="D2" s="66" t="s">
        <v>0</v>
      </c>
      <c r="E2" s="67"/>
      <c r="F2" s="67"/>
      <c r="G2" s="66" t="s">
        <v>5</v>
      </c>
      <c r="H2" s="66" t="s">
        <v>4</v>
      </c>
      <c r="I2" s="66" t="s">
        <v>3</v>
      </c>
      <c r="J2" s="65" t="s">
        <v>45</v>
      </c>
      <c r="K2" s="65"/>
      <c r="L2" s="65"/>
      <c r="M2" s="65"/>
      <c r="N2" s="65"/>
      <c r="O2" s="65"/>
      <c r="P2" s="65"/>
      <c r="Q2" s="65"/>
      <c r="R2" s="65"/>
      <c r="S2" s="65"/>
      <c r="T2" s="65"/>
      <c r="U2" s="65"/>
      <c r="V2" s="65"/>
      <c r="W2" s="65"/>
      <c r="X2" s="65"/>
      <c r="Y2" s="65"/>
      <c r="Z2" s="65"/>
      <c r="AA2" s="65"/>
      <c r="AB2" s="65"/>
      <c r="AC2" s="65"/>
      <c r="AD2" s="65"/>
    </row>
    <row r="3" spans="1:30" s="60" customFormat="1" x14ac:dyDescent="0.2">
      <c r="A3" s="65"/>
      <c r="B3" s="65" t="str">
        <f>'Lookup data'!A5</f>
        <v>New CVIs per 100,000 Welsh residents (all ages)</v>
      </c>
      <c r="C3" s="65">
        <v>1</v>
      </c>
      <c r="D3" s="65" t="str">
        <f>'Lookup data'!E5</f>
        <v>Chart 1a: New CVIs per 100,000 Welsh residents (all ages)</v>
      </c>
      <c r="E3" s="68"/>
      <c r="F3" s="68"/>
      <c r="G3" s="68">
        <f>'Lookup data'!B5</f>
        <v>42.239648690700662</v>
      </c>
      <c r="H3" s="68">
        <f>'Lookup data'!C5</f>
        <v>40.200049417277164</v>
      </c>
      <c r="I3" s="68">
        <f>'Lookup data'!D5</f>
        <v>44.787398607202256</v>
      </c>
      <c r="J3" s="65" t="str">
        <f>'Lookup data'!F5</f>
        <v>Chart 1a shows that the number of new CVIs per 100,000 Welsh residents has increased since 2013-14. In 2015-16 there were 45 new CVIs per 100,000 Welsh residents which is 5 more than in 2014-15</v>
      </c>
      <c r="K3" s="65"/>
      <c r="L3" s="65"/>
      <c r="M3" s="65"/>
      <c r="N3" s="65"/>
      <c r="O3" s="65"/>
      <c r="P3" s="65"/>
      <c r="Q3" s="65"/>
      <c r="R3" s="65"/>
      <c r="S3" s="65"/>
      <c r="T3" s="65"/>
      <c r="U3" s="65"/>
      <c r="V3" s="65"/>
      <c r="W3" s="65"/>
      <c r="X3" s="65"/>
      <c r="Y3" s="65"/>
      <c r="Z3" s="65"/>
      <c r="AA3" s="69" t="s">
        <v>57</v>
      </c>
      <c r="AB3" s="65"/>
      <c r="AC3" s="65"/>
      <c r="AD3" s="65"/>
    </row>
    <row r="4" spans="1:30" s="60" customFormat="1" x14ac:dyDescent="0.2">
      <c r="A4" s="65"/>
      <c r="B4" s="65" t="str">
        <f>'Lookup data'!A6</f>
        <v>New CVIs per 100,000 Welsh residents with AMD aged 65+</v>
      </c>
      <c r="C4" s="65">
        <v>2</v>
      </c>
      <c r="D4" s="65" t="str">
        <f>'Lookup data'!E6</f>
        <v>Chart 1b: New CVIs with AMD per 100,000 Welsh residents aged 65+</v>
      </c>
      <c r="E4" s="68"/>
      <c r="F4" s="68"/>
      <c r="G4" s="68">
        <f>'Lookup data'!B6</f>
        <v>115.21236035496062</v>
      </c>
      <c r="H4" s="68">
        <f>'Lookup data'!C6</f>
        <v>113.37997582745422</v>
      </c>
      <c r="I4" s="68">
        <f>'Lookup data'!D6</f>
        <v>121.48412303348577</v>
      </c>
      <c r="J4" s="65" t="str">
        <f>'Lookup data'!F6</f>
        <v>Chart 1b shows that the number of new CVIs with age related macular degeneration (AMD) per 100,000 Welsh residents of age 65 or over has increased by 8 since 2014-15, to reach 121 CVIs per 100,000 Welsh residents of age 65 or over.</v>
      </c>
      <c r="K4" s="65"/>
      <c r="L4" s="65"/>
      <c r="M4" s="65"/>
      <c r="N4" s="65"/>
      <c r="O4" s="65"/>
      <c r="P4" s="65"/>
      <c r="Q4" s="65"/>
      <c r="R4" s="65"/>
      <c r="S4" s="65"/>
      <c r="T4" s="65"/>
      <c r="U4" s="65"/>
      <c r="V4" s="65"/>
      <c r="W4" s="65"/>
      <c r="X4" s="65"/>
      <c r="Y4" s="65"/>
      <c r="Z4" s="65"/>
      <c r="AA4" s="65" t="s">
        <v>61</v>
      </c>
      <c r="AB4" s="65"/>
      <c r="AC4" s="65"/>
      <c r="AD4" s="65"/>
    </row>
    <row r="5" spans="1:30" s="60" customFormat="1" x14ac:dyDescent="0.2">
      <c r="A5" s="65"/>
      <c r="B5" s="65" t="str">
        <f>'Lookup data'!A7</f>
        <v>New CVIs per 100,000 Welsh residents with glaucoma aged 40+</v>
      </c>
      <c r="C5" s="65">
        <v>3</v>
      </c>
      <c r="D5" s="65" t="str">
        <f>'Lookup data'!E7</f>
        <v>Chart 1c: New CVIs with glaucoma per 100,000 Welsh residents aged 40+</v>
      </c>
      <c r="E5" s="68"/>
      <c r="F5" s="68"/>
      <c r="G5" s="68">
        <f>'Lookup data'!B7</f>
        <v>11.760038275829841</v>
      </c>
      <c r="H5" s="68">
        <f>'Lookup data'!C7</f>
        <v>11.015377836690563</v>
      </c>
      <c r="I5" s="68">
        <f>'Lookup data'!D7</f>
        <v>11.714140623658393</v>
      </c>
      <c r="J5" s="65" t="str">
        <f>'Lookup data'!F7</f>
        <v>Chart 1c shows that the number of new CVIs with glaucoma per 100,000 Welsh residents aged 40 or older has increased by 1 since 2014-15, with there being 12 new CVIs per 100,000 Welsh residents aged 40 or older, during the 2015-16 financial year.</v>
      </c>
      <c r="K5" s="65"/>
      <c r="L5" s="65"/>
      <c r="M5" s="65"/>
      <c r="N5" s="65"/>
      <c r="O5" s="65"/>
      <c r="P5" s="65"/>
      <c r="Q5" s="65"/>
      <c r="R5" s="65"/>
      <c r="S5" s="65"/>
      <c r="T5" s="65"/>
      <c r="U5" s="65"/>
      <c r="V5" s="65"/>
      <c r="W5" s="65"/>
      <c r="X5" s="65"/>
      <c r="Y5" s="65"/>
      <c r="Z5" s="65"/>
      <c r="AA5" s="65" t="s">
        <v>61</v>
      </c>
      <c r="AB5" s="65"/>
      <c r="AC5" s="65"/>
      <c r="AD5" s="65"/>
    </row>
    <row r="6" spans="1:30" s="60" customFormat="1" x14ac:dyDescent="0.2">
      <c r="A6" s="65"/>
      <c r="B6" s="65" t="str">
        <f>'Lookup data'!A8</f>
        <v>New CVIs per 100,000 Welsh residents with diabetic eye disease aged 12+</v>
      </c>
      <c r="C6" s="65">
        <v>4</v>
      </c>
      <c r="D6" s="65" t="str">
        <f>'Lookup data'!E8</f>
        <v>Chart 1d: New CVIs with diabetic eye disease per 100,000 Welsh residents aged 12+</v>
      </c>
      <c r="E6" s="68"/>
      <c r="F6" s="68"/>
      <c r="G6" s="68">
        <f>'Lookup data'!B8</f>
        <v>3.5620360448051644</v>
      </c>
      <c r="H6" s="68">
        <f>'Lookup data'!C8</f>
        <v>3.2172468372780143</v>
      </c>
      <c r="I6" s="68">
        <f>'Lookup data'!D8</f>
        <v>3.6612178032319589</v>
      </c>
      <c r="J6" s="65" t="str">
        <f>'Lookup data'!F8</f>
        <v>Chart 1d shows that the number of new CVIs with diabetic eye disease per 100,000 Welsh residents aged 12 or older has increased by 1 since 2014-15, with there being 4 new CVIs per 100,000 Welsh residents aged 12 or older, during the 2015-16 financial year.</v>
      </c>
      <c r="K6" s="65"/>
      <c r="L6" s="65"/>
      <c r="M6" s="65"/>
      <c r="N6" s="65"/>
      <c r="O6" s="65"/>
      <c r="P6" s="65"/>
      <c r="Q6" s="65"/>
      <c r="R6" s="65"/>
      <c r="S6" s="65"/>
      <c r="T6" s="65"/>
      <c r="U6" s="65"/>
      <c r="V6" s="65"/>
      <c r="W6" s="65"/>
      <c r="X6" s="65"/>
      <c r="Y6" s="65"/>
      <c r="Z6" s="65"/>
      <c r="AA6" s="65"/>
      <c r="AB6" s="65"/>
      <c r="AC6" s="65"/>
      <c r="AD6" s="65"/>
    </row>
    <row r="7" spans="1:30" s="60" customFormat="1" x14ac:dyDescent="0.2">
      <c r="A7" s="65"/>
      <c r="B7" s="65">
        <v>3</v>
      </c>
      <c r="C7" s="65"/>
      <c r="D7" s="65"/>
      <c r="E7" s="65"/>
      <c r="F7" s="65"/>
      <c r="G7" s="65"/>
      <c r="H7" s="70"/>
      <c r="I7" s="70"/>
      <c r="J7" s="65"/>
      <c r="K7" s="65"/>
      <c r="L7" s="65"/>
      <c r="M7" s="65"/>
      <c r="N7" s="65"/>
      <c r="O7" s="65"/>
      <c r="P7" s="65"/>
      <c r="Q7" s="65"/>
      <c r="R7" s="65"/>
      <c r="S7" s="65"/>
      <c r="T7" s="65"/>
      <c r="U7" s="65"/>
      <c r="V7" s="65"/>
      <c r="W7" s="65"/>
      <c r="X7" s="65"/>
      <c r="Y7" s="65"/>
      <c r="Z7" s="65"/>
      <c r="AA7" s="65"/>
      <c r="AB7" s="65"/>
      <c r="AC7" s="65"/>
      <c r="AD7" s="65"/>
    </row>
    <row r="8" spans="1:30" s="60" customFormat="1" x14ac:dyDescent="0.2">
      <c r="A8" s="65"/>
      <c r="B8" s="65"/>
      <c r="C8" s="65"/>
      <c r="D8" s="65" t="str">
        <f>VLOOKUP($B$7,sightLoss,2,FALSE)</f>
        <v>Chart 1c: New CVIs with glaucoma per 100,000 Welsh residents aged 40+</v>
      </c>
      <c r="E8" s="68"/>
      <c r="F8" s="68"/>
      <c r="G8" s="68">
        <f>VLOOKUP($B$7,sightLoss,5,FALSE)</f>
        <v>11.760038275829841</v>
      </c>
      <c r="H8" s="71">
        <f>VLOOKUP($B$7,sightLoss,6,FALSE)</f>
        <v>11.015377836690563</v>
      </c>
      <c r="I8" s="71">
        <f>VLOOKUP($B$7,sightLoss,7,FALSE)</f>
        <v>11.714140623658393</v>
      </c>
      <c r="J8" s="72" t="str">
        <f>VLOOKUP($B$7,sightLoss,8,FALSE)</f>
        <v>Chart 1c shows that the number of new CVIs with glaucoma per 100,000 Welsh residents aged 40 or older has increased by 1 since 2014-15, with there being 12 new CVIs per 100,000 Welsh residents aged 40 or older, during the 2015-16 financial year.</v>
      </c>
      <c r="K8" s="72"/>
      <c r="L8" s="72"/>
      <c r="M8" s="72"/>
      <c r="N8" s="72"/>
      <c r="O8" s="72"/>
      <c r="P8" s="65"/>
      <c r="Q8" s="65"/>
      <c r="R8" s="65"/>
      <c r="S8" s="65"/>
      <c r="T8" s="65"/>
      <c r="U8" s="65"/>
      <c r="V8" s="65"/>
      <c r="W8" s="65"/>
      <c r="X8" s="65"/>
      <c r="Y8" s="65"/>
      <c r="Z8" s="65"/>
      <c r="AA8" s="65"/>
      <c r="AB8" s="65"/>
      <c r="AC8" s="65"/>
      <c r="AD8" s="65"/>
    </row>
    <row r="9" spans="1:30" s="60" customFormat="1" x14ac:dyDescent="0.2">
      <c r="A9" s="65"/>
      <c r="B9" s="65"/>
      <c r="C9" s="65"/>
      <c r="D9" s="65" t="str">
        <f>VLOOKUP($B$7,sightLoss,2,FALSE)</f>
        <v>Chart 1c: New CVIs with glaucoma per 100,000 Welsh residents aged 40+</v>
      </c>
      <c r="E9" s="68"/>
      <c r="F9" s="68"/>
      <c r="G9" s="68"/>
      <c r="H9" s="73"/>
      <c r="I9" s="73"/>
      <c r="J9" s="72"/>
      <c r="K9" s="72"/>
      <c r="L9" s="72"/>
      <c r="M9" s="72"/>
      <c r="N9" s="72"/>
      <c r="O9" s="72"/>
      <c r="P9" s="65"/>
      <c r="Q9" s="65"/>
      <c r="R9" s="65"/>
      <c r="S9" s="65"/>
      <c r="T9" s="65"/>
      <c r="U9" s="65"/>
      <c r="V9" s="65"/>
      <c r="W9" s="65"/>
      <c r="X9" s="65"/>
      <c r="Y9" s="65"/>
      <c r="Z9" s="65"/>
      <c r="AA9" s="65"/>
      <c r="AB9" s="65"/>
      <c r="AC9" s="65"/>
      <c r="AD9" s="65"/>
    </row>
    <row r="10" spans="1:30" x14ac:dyDescent="0.2">
      <c r="A10" s="47"/>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row>
    <row r="11" spans="1:30" s="94" customFormat="1" ht="12.75" x14ac:dyDescent="0.2">
      <c r="A11" s="99" t="s">
        <v>44</v>
      </c>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row>
    <row r="12" spans="1:30" s="94" customFormat="1" x14ac:dyDescent="0.2">
      <c r="C12" s="97"/>
      <c r="D12" s="100" t="s">
        <v>7</v>
      </c>
      <c r="E12" s="100"/>
      <c r="F12" s="100"/>
      <c r="G12" s="100" t="s">
        <v>4</v>
      </c>
      <c r="H12" s="100" t="s">
        <v>3</v>
      </c>
      <c r="I12" s="100" t="s">
        <v>81</v>
      </c>
      <c r="J12" s="97" t="s">
        <v>45</v>
      </c>
      <c r="K12" s="97"/>
      <c r="L12" s="97"/>
      <c r="M12" s="97"/>
      <c r="N12" s="97"/>
      <c r="O12" s="97"/>
      <c r="P12" s="97"/>
      <c r="Q12" s="97"/>
      <c r="R12" s="97"/>
      <c r="S12" s="97"/>
      <c r="T12" s="97"/>
      <c r="U12" s="97"/>
      <c r="V12" s="97"/>
      <c r="W12" s="97"/>
      <c r="X12" s="97"/>
      <c r="Y12" s="97"/>
      <c r="Z12" s="97"/>
      <c r="AA12" s="97"/>
      <c r="AB12" s="97"/>
      <c r="AC12" s="97"/>
      <c r="AD12" s="97"/>
    </row>
    <row r="13" spans="1:30" s="94" customFormat="1" x14ac:dyDescent="0.2">
      <c r="A13" s="97"/>
      <c r="B13" s="101" t="str">
        <f>'Lookup data'!A12</f>
        <v>Sight tests paid by NHS per 1,000 Welsh residents (all ages)</v>
      </c>
      <c r="C13" s="97">
        <v>1</v>
      </c>
      <c r="D13" s="101" t="str">
        <f>'Lookup data'!E12</f>
        <v>Chart 2a: Sight tests paid by NHS per 1,000 Welsh residents (all ages)</v>
      </c>
      <c r="E13" s="102"/>
      <c r="F13" s="102"/>
      <c r="G13" s="102">
        <f>'Lookup data'!B12</f>
        <v>242.63753720849303</v>
      </c>
      <c r="H13" s="102">
        <f>'Lookup data'!C12</f>
        <v>248.26029351879876</v>
      </c>
      <c r="I13" s="102">
        <f>'Lookup data'!D12</f>
        <v>250.66326007087252</v>
      </c>
      <c r="J13" s="101" t="str">
        <f>'Lookup data'!F12</f>
        <v>Chart 2a shows that 3 more sight tests were paid for by the NHS per 1,000 Welsh residents (all ages) in Wales during the 2016-17 financial year than in 2015-16.</v>
      </c>
      <c r="K13" s="102">
        <f>I13</f>
        <v>250.66326007087252</v>
      </c>
      <c r="L13" s="97" t="s">
        <v>21</v>
      </c>
      <c r="M13" s="101" t="str">
        <f>'Lookup data'!G12</f>
        <v>1,000 WELSH</v>
      </c>
      <c r="N13" s="97" t="s">
        <v>31</v>
      </c>
      <c r="O13" s="97" t="s">
        <v>24</v>
      </c>
      <c r="P13" s="97" t="s">
        <v>32</v>
      </c>
      <c r="Q13" s="97" t="s">
        <v>187</v>
      </c>
      <c r="R13" s="97" t="s">
        <v>54</v>
      </c>
      <c r="S13" s="103" t="s">
        <v>57</v>
      </c>
      <c r="T13" s="97"/>
      <c r="U13" s="97"/>
      <c r="V13" s="97"/>
      <c r="W13" s="97"/>
      <c r="X13" s="97"/>
      <c r="Y13" s="97"/>
      <c r="Z13" s="97"/>
      <c r="AA13" s="97"/>
      <c r="AB13" s="97"/>
      <c r="AC13" s="97"/>
      <c r="AD13" s="97"/>
    </row>
    <row r="14" spans="1:30" s="94" customFormat="1" x14ac:dyDescent="0.2">
      <c r="A14" s="97"/>
      <c r="B14" s="101" t="str">
        <f>'Lookup data'!A13</f>
        <v>Sight tests paid by NHS per 1,000 Welsh residents (60+)</v>
      </c>
      <c r="C14" s="97">
        <v>2</v>
      </c>
      <c r="D14" s="101" t="str">
        <f>'Lookup data'!E13</f>
        <v>Chart 2b: Sight tests paid by NHS per 1,000 Welsh residents (60+)</v>
      </c>
      <c r="E14" s="102"/>
      <c r="F14" s="102"/>
      <c r="G14" s="102">
        <f>'Lookup data'!B13</f>
        <v>448.15196481876796</v>
      </c>
      <c r="H14" s="102">
        <f>'Lookup data'!C13</f>
        <v>465.77695922801018</v>
      </c>
      <c r="I14" s="102">
        <f>'Lookup data'!D13</f>
        <v>463.05475219415865</v>
      </c>
      <c r="J14" s="101" t="str">
        <f>'Lookup data'!F13</f>
        <v>Chart 2b shows that in 2016-17 the number of sight test paid for by the NHS per 1,000 Welsh residents aged 60 or over (60+) decreased in comparison to the previous year.</v>
      </c>
      <c r="K14" s="102">
        <f t="shared" ref="K14:K16" si="0">I14</f>
        <v>463.05475219415865</v>
      </c>
      <c r="L14" s="97" t="s">
        <v>21</v>
      </c>
      <c r="M14" s="101" t="str">
        <f>'Lookup data'!G13</f>
        <v>1,000 WELSH</v>
      </c>
      <c r="N14" s="97" t="s">
        <v>25</v>
      </c>
      <c r="O14" s="97" t="s">
        <v>30</v>
      </c>
      <c r="P14" s="97" t="s">
        <v>29</v>
      </c>
      <c r="Q14" s="97" t="s">
        <v>188</v>
      </c>
      <c r="R14" s="97" t="s">
        <v>54</v>
      </c>
      <c r="S14" s="103" t="s">
        <v>57</v>
      </c>
      <c r="T14" s="97"/>
      <c r="U14" s="97"/>
      <c r="V14" s="97"/>
      <c r="W14" s="97"/>
      <c r="X14" s="97"/>
      <c r="Y14" s="97"/>
      <c r="Z14" s="97"/>
      <c r="AA14" s="97"/>
      <c r="AB14" s="97"/>
      <c r="AC14" s="97"/>
      <c r="AD14" s="97"/>
    </row>
    <row r="15" spans="1:30" s="94" customFormat="1" x14ac:dyDescent="0.2">
      <c r="A15" s="97"/>
      <c r="B15" s="101" t="str">
        <f>'Lookup data'!A14</f>
        <v>Sight tests paid by NHS in adults on income support per 1,000 Welsh residents (16-59)</v>
      </c>
      <c r="C15" s="97">
        <v>3</v>
      </c>
      <c r="D15" s="101" t="str">
        <f>'Lookup data'!E14</f>
        <v>Chart 2c: Sight tests paid by NHS in adults on income support* per 1,000 Welsh residents (16-59)</v>
      </c>
      <c r="E15" s="102"/>
      <c r="F15" s="102"/>
      <c r="G15" s="102">
        <f>'Lookup data'!B14</f>
        <v>67.88738494003654</v>
      </c>
      <c r="H15" s="102">
        <f>'Lookup data'!C14</f>
        <v>68.091111393601224</v>
      </c>
      <c r="I15" s="102">
        <f>'Lookup data'!D14</f>
        <v>65.314051147069137</v>
      </c>
      <c r="J15" s="101" t="str">
        <f>'Lookup data'!F14</f>
        <v>Chart 2c shows that between 2015-16 and 2016-17 that the number of Welsh residents on income support who received sight tests paid for by the NHS has decreased in comparison to the size of the population.</v>
      </c>
      <c r="K15" s="102">
        <f t="shared" si="0"/>
        <v>65.314051147069137</v>
      </c>
      <c r="L15" s="97" t="s">
        <v>21</v>
      </c>
      <c r="M15" s="101" t="str">
        <f>'Lookup data'!G14</f>
        <v>1,000 WELSH</v>
      </c>
      <c r="N15" s="97" t="s">
        <v>28</v>
      </c>
      <c r="O15" s="97" t="s">
        <v>53</v>
      </c>
      <c r="P15" s="97" t="s">
        <v>23</v>
      </c>
      <c r="Q15" s="97" t="s">
        <v>189</v>
      </c>
      <c r="R15" s="97" t="s">
        <v>874</v>
      </c>
      <c r="S15" s="103" t="s">
        <v>57</v>
      </c>
      <c r="T15" s="97"/>
      <c r="U15" s="97"/>
      <c r="V15" s="97"/>
      <c r="W15" s="97"/>
      <c r="X15" s="97"/>
      <c r="Y15" s="97"/>
      <c r="Z15" s="97"/>
      <c r="AA15" s="97"/>
      <c r="AB15" s="97"/>
      <c r="AC15" s="97"/>
      <c r="AD15" s="97"/>
    </row>
    <row r="16" spans="1:30" s="94" customFormat="1" x14ac:dyDescent="0.2">
      <c r="A16" s="97"/>
      <c r="B16" s="101" t="str">
        <f>'Lookup data'!A15</f>
        <v>Sight tests paid by NHS per 1,000 Welsh residents (&lt;16)</v>
      </c>
      <c r="C16" s="97">
        <v>4</v>
      </c>
      <c r="D16" s="101" t="str">
        <f>'Lookup data'!E15</f>
        <v>Chart 2d: Sight tests paid by NHS per 1,000 Welsh residents (&lt;16)</v>
      </c>
      <c r="E16" s="102"/>
      <c r="F16" s="102"/>
      <c r="G16" s="102">
        <f>'Lookup data'!B15</f>
        <v>296.73986791049151</v>
      </c>
      <c r="H16" s="102">
        <f>'Lookup data'!C15</f>
        <v>306.55581884706504</v>
      </c>
      <c r="I16" s="102">
        <f>'Lookup data'!D15</f>
        <v>322.74920850270547</v>
      </c>
      <c r="J16" s="101" t="str">
        <f>'Lookup data'!F15</f>
        <v>Chart 2d shows that in 2016-17 the number of sight test paid for by the NHS per 1,000 residents in Wales aged 15 or under (&lt;16) increased in comparison to the previous year.</v>
      </c>
      <c r="K16" s="102">
        <f t="shared" si="0"/>
        <v>322.74920850270547</v>
      </c>
      <c r="L16" s="97" t="s">
        <v>21</v>
      </c>
      <c r="M16" s="101" t="str">
        <f>'Lookup data'!G15</f>
        <v>1,000 WELSH</v>
      </c>
      <c r="N16" s="97" t="s">
        <v>255</v>
      </c>
      <c r="O16" s="97" t="s">
        <v>256</v>
      </c>
      <c r="P16" s="97" t="s">
        <v>29</v>
      </c>
      <c r="Q16" s="97" t="s">
        <v>188</v>
      </c>
      <c r="R16" s="97"/>
      <c r="S16" s="103"/>
      <c r="T16" s="97"/>
      <c r="U16" s="97"/>
      <c r="V16" s="97"/>
      <c r="W16" s="97"/>
      <c r="X16" s="97"/>
      <c r="Y16" s="97"/>
      <c r="Z16" s="97"/>
      <c r="AA16" s="97"/>
      <c r="AB16" s="97"/>
      <c r="AC16" s="97"/>
      <c r="AD16" s="97"/>
    </row>
    <row r="17" spans="1:30" s="94" customFormat="1" x14ac:dyDescent="0.2">
      <c r="A17" s="97" t="s">
        <v>59</v>
      </c>
      <c r="B17" s="101" t="str">
        <f>'Lookup data'!A16</f>
        <v>Number of Eye Examinations Carried Out in Wales</v>
      </c>
      <c r="C17" s="97">
        <v>5</v>
      </c>
      <c r="D17" s="101" t="str">
        <f>'Lookup data'!E16</f>
        <v>Chart 2e: Number of Examinations Carried Out** in Wales</v>
      </c>
      <c r="E17" s="104"/>
      <c r="F17" s="104"/>
      <c r="G17" s="101">
        <f>'Lookup data'!B16</f>
        <v>123697</v>
      </c>
      <c r="H17" s="101">
        <f>'Lookup data'!C16</f>
        <v>121736</v>
      </c>
      <c r="I17" s="101">
        <f>'Lookup data'!D16</f>
        <v>150324</v>
      </c>
      <c r="J17" s="101" t="str">
        <f>'Lookup data'!F16</f>
        <v>Chart 2e shows that there was an increase in the number of EHEW eye examinations carried out in Wales when comparing the figures from 2015-16 to 2016-17. A breakdown by age of patient and band of examinations of the 2016-17 EHEW examinations can be seen on the EHEW page.</v>
      </c>
      <c r="K17" s="105" t="str">
        <f>(MROUND(I17,1000)/1000)&amp;"k"</f>
        <v>150k</v>
      </c>
      <c r="L17" s="95" t="s">
        <v>59</v>
      </c>
      <c r="M17" s="97" t="s">
        <v>73</v>
      </c>
      <c r="N17" s="97" t="s">
        <v>60</v>
      </c>
      <c r="O17" s="101" t="str">
        <f>'Lookup data'!G16</f>
        <v>OUT IN WALES</v>
      </c>
      <c r="P17" s="97" t="s">
        <v>171</v>
      </c>
      <c r="Q17" s="97" t="s">
        <v>54</v>
      </c>
      <c r="R17" s="97" t="s">
        <v>68</v>
      </c>
      <c r="S17" s="97" t="s">
        <v>54</v>
      </c>
      <c r="T17" s="97"/>
      <c r="U17" s="97"/>
      <c r="V17" s="97"/>
      <c r="W17" s="97"/>
      <c r="X17" s="97"/>
      <c r="Y17" s="97"/>
      <c r="Z17" s="97"/>
      <c r="AA17" s="97"/>
      <c r="AB17" s="97"/>
      <c r="AC17" s="97"/>
      <c r="AD17" s="97"/>
    </row>
    <row r="18" spans="1:30" s="94" customFormat="1" x14ac:dyDescent="0.2">
      <c r="A18" s="97"/>
      <c r="B18" s="97">
        <v>3</v>
      </c>
      <c r="C18" s="97"/>
      <c r="D18" s="97"/>
      <c r="E18" s="97"/>
      <c r="F18" s="97"/>
      <c r="G18" s="101"/>
      <c r="H18" s="97"/>
      <c r="J18" s="97"/>
      <c r="K18" s="97"/>
      <c r="L18" s="97"/>
      <c r="M18" s="97"/>
      <c r="N18" s="97"/>
      <c r="O18" s="97"/>
      <c r="P18" s="97"/>
      <c r="Q18" s="97"/>
      <c r="R18" s="97"/>
      <c r="S18" s="97"/>
      <c r="T18" s="97"/>
      <c r="U18" s="97"/>
      <c r="V18" s="97"/>
      <c r="W18" s="97"/>
      <c r="X18" s="97"/>
      <c r="Y18" s="97"/>
      <c r="Z18" s="97"/>
      <c r="AA18" s="97"/>
      <c r="AB18" s="97"/>
      <c r="AC18" s="97"/>
      <c r="AD18" s="97"/>
    </row>
    <row r="19" spans="1:30" s="94" customFormat="1" x14ac:dyDescent="0.2">
      <c r="A19" s="97"/>
      <c r="B19" s="97"/>
      <c r="C19" s="97"/>
      <c r="D19" s="97" t="str">
        <f>VLOOKUP($B$18,sightTest,2,FALSE)</f>
        <v>Chart 2c: Sight tests paid by NHS in adults on income support* per 1,000 Welsh residents (16-59)</v>
      </c>
      <c r="E19" s="105"/>
      <c r="F19" s="105"/>
      <c r="G19" s="105">
        <f>VLOOKUP($B$18,sightTest,5,FALSE)</f>
        <v>67.88738494003654</v>
      </c>
      <c r="H19" s="105">
        <f>VLOOKUP($B$18,sightTest,6,FALSE)</f>
        <v>68.091111393601224</v>
      </c>
      <c r="I19" s="105">
        <f>VLOOKUP($B$18,sightTest,7,FALSE)</f>
        <v>65.314051147069137</v>
      </c>
      <c r="J19" s="106" t="str">
        <f>VLOOKUP($B$18,sightTest,8,FALSE)</f>
        <v>Chart 2c shows that between 2015-16 and 2016-17 that the number of Welsh residents on income support who received sight tests paid for by the NHS has decreased in comparison to the size of the population.</v>
      </c>
      <c r="K19" s="105">
        <f>VLOOKUP($B$18,sightTest,9,FALSE)</f>
        <v>65.314051147069137</v>
      </c>
      <c r="L19" s="106" t="str">
        <f>VLOOKUP($B$18,sightTest,10,FALSE)</f>
        <v>OUT OF</v>
      </c>
      <c r="M19" s="106" t="str">
        <f>VLOOKUP($B$18,sightTest,11,FALSE)</f>
        <v>1,000 WELSH</v>
      </c>
      <c r="N19" s="106" t="str">
        <f>VLOOKUP($B$18,sightTest,12,FALSE)</f>
        <v xml:space="preserve">A D U L T S  O N </v>
      </c>
      <c r="O19" s="106" t="str">
        <f>VLOOKUP($B$18,sightTest,13,FALSE)</f>
        <v>INCOME SUPPORT* HAD</v>
      </c>
      <c r="P19" s="106" t="str">
        <f>VLOOKUP($B$18,sightTest,14,FALSE)</f>
        <v>A SIGHT TEST PAID BY THE</v>
      </c>
      <c r="Q19" s="106" t="str">
        <f>VLOOKUP($B$18,sightTest,15,FALSE)</f>
        <v>NHS IN 2016/17 FINANCIAL YEAR</v>
      </c>
      <c r="R19" s="106" t="str">
        <f>VLOOKUP($B$18,sightTest,16,FALSE)</f>
        <v>* Income support includes: Adults receiving Income Support, Universal Credit, Pension Credit Guarentee Credit, Income related Employment and Support allowance, Tax Credit or Job Seekers Allowance and adults holding a low income certificate</v>
      </c>
      <c r="S19" s="97"/>
      <c r="T19" s="97"/>
      <c r="U19" s="97"/>
      <c r="V19" s="97"/>
      <c r="W19" s="97"/>
      <c r="X19" s="97"/>
      <c r="Y19" s="97"/>
      <c r="Z19" s="97"/>
      <c r="AA19" s="97"/>
      <c r="AB19" s="97"/>
      <c r="AC19" s="97"/>
      <c r="AD19" s="97"/>
    </row>
    <row r="20" spans="1:30" s="94" customFormat="1" x14ac:dyDescent="0.2">
      <c r="A20" s="97"/>
      <c r="B20" s="97"/>
      <c r="C20" s="97"/>
      <c r="D20" s="97"/>
      <c r="E20" s="102"/>
      <c r="F20" s="102"/>
      <c r="G20" s="102"/>
      <c r="H20" s="107"/>
      <c r="I20" s="107"/>
      <c r="J20" s="108" t="str">
        <f>VLOOKUP($B$18,sightTest,17,FALSE)</f>
        <v/>
      </c>
      <c r="K20" s="108"/>
      <c r="L20" s="108"/>
      <c r="M20" s="108"/>
      <c r="N20" s="108"/>
      <c r="O20" s="108"/>
      <c r="P20" s="97"/>
      <c r="Q20" s="97"/>
      <c r="R20" s="97"/>
      <c r="S20" s="97"/>
      <c r="T20" s="97"/>
      <c r="U20" s="97"/>
      <c r="V20" s="97"/>
      <c r="W20" s="97"/>
      <c r="X20" s="97"/>
      <c r="Y20" s="97"/>
      <c r="Z20" s="97"/>
      <c r="AA20" s="97"/>
      <c r="AB20" s="97"/>
      <c r="AC20" s="97"/>
      <c r="AD20" s="97"/>
    </row>
    <row r="21" spans="1:30" x14ac:dyDescent="0.2">
      <c r="A21" s="47"/>
      <c r="B21" s="47"/>
      <c r="C21" s="47"/>
      <c r="D21" s="47"/>
      <c r="E21" s="234"/>
      <c r="F21" s="234"/>
      <c r="G21" s="234"/>
      <c r="H21" s="235"/>
      <c r="I21" s="235"/>
      <c r="J21" s="236"/>
      <c r="K21" s="236"/>
      <c r="L21" s="236"/>
      <c r="M21" s="236"/>
      <c r="N21" s="236"/>
      <c r="O21" s="236"/>
      <c r="P21" s="47"/>
      <c r="Q21" s="47"/>
      <c r="R21" s="47"/>
      <c r="S21" s="47"/>
      <c r="T21" s="47"/>
      <c r="U21" s="47"/>
      <c r="V21" s="47"/>
      <c r="W21" s="47"/>
      <c r="X21" s="47"/>
      <c r="Y21" s="47"/>
      <c r="Z21" s="47"/>
      <c r="AA21" s="47"/>
      <c r="AB21" s="47"/>
      <c r="AC21" s="47"/>
      <c r="AD21" s="47"/>
    </row>
    <row r="22" spans="1:30" s="94" customFormat="1" ht="12.75" x14ac:dyDescent="0.2">
      <c r="A22" s="237" t="s">
        <v>358</v>
      </c>
      <c r="B22" s="97"/>
      <c r="C22" s="97"/>
      <c r="D22" s="97"/>
      <c r="E22" s="102"/>
      <c r="F22" s="102"/>
      <c r="G22" s="102"/>
      <c r="H22" s="107"/>
      <c r="I22" s="107"/>
      <c r="J22" s="108"/>
      <c r="K22" s="108"/>
      <c r="L22" s="108"/>
      <c r="M22" s="108"/>
      <c r="N22" s="108"/>
      <c r="O22" s="108"/>
      <c r="P22" s="97"/>
      <c r="Q22" s="97"/>
      <c r="R22" s="97"/>
      <c r="S22" s="97"/>
      <c r="T22" s="97"/>
      <c r="U22" s="97"/>
      <c r="V22" s="97"/>
      <c r="W22" s="97"/>
      <c r="X22" s="97"/>
      <c r="Y22" s="97"/>
      <c r="Z22" s="97"/>
      <c r="AA22" s="97"/>
      <c r="AB22" s="97"/>
      <c r="AC22" s="97"/>
      <c r="AD22" s="97"/>
    </row>
    <row r="23" spans="1:30" s="94" customFormat="1" x14ac:dyDescent="0.2">
      <c r="A23" s="97"/>
      <c r="B23" s="97"/>
      <c r="C23" s="97"/>
      <c r="D23" s="97"/>
      <c r="E23" s="102"/>
      <c r="F23" s="102"/>
      <c r="G23" s="100" t="s">
        <v>4</v>
      </c>
      <c r="H23" s="100" t="s">
        <v>3</v>
      </c>
      <c r="I23" s="100" t="s">
        <v>81</v>
      </c>
      <c r="J23" s="108"/>
      <c r="K23" s="108"/>
      <c r="L23" s="108"/>
      <c r="M23" s="108"/>
      <c r="N23" s="108"/>
      <c r="O23" s="108"/>
      <c r="P23" s="97"/>
      <c r="Q23" s="97"/>
      <c r="R23" s="97"/>
      <c r="S23" s="97"/>
      <c r="T23" s="97"/>
      <c r="U23" s="97"/>
      <c r="V23" s="97"/>
      <c r="W23" s="97"/>
      <c r="X23" s="97"/>
      <c r="Y23" s="97"/>
      <c r="Z23" s="97"/>
      <c r="AA23" s="97"/>
      <c r="AB23" s="97"/>
      <c r="AC23" s="97"/>
      <c r="AD23" s="97"/>
    </row>
    <row r="24" spans="1:30" s="94" customFormat="1" x14ac:dyDescent="0.2">
      <c r="A24" s="97"/>
      <c r="B24" s="233" t="str">
        <f>'Lookup data'!A20</f>
        <v>Vouchers reimbursed per 1,000 Welsh residents (all ages)</v>
      </c>
      <c r="C24" s="97">
        <v>1</v>
      </c>
      <c r="D24" s="101" t="str">
        <f>'Lookup data'!E20</f>
        <v>Chart 4a: Vouchers reimbursed per 1,000 Welsh residents (all ages)</v>
      </c>
      <c r="E24" s="102"/>
      <c r="F24" s="102"/>
      <c r="G24" s="102">
        <f>'Lookup data'!B20</f>
        <v>95.919646472421405</v>
      </c>
      <c r="H24" s="102">
        <f>'Lookup data'!C20</f>
        <v>94.149049106736626</v>
      </c>
      <c r="I24" s="102">
        <f>'Lookup data'!D20</f>
        <v>93.419479162566006</v>
      </c>
      <c r="J24" s="108" t="str">
        <f>'Lookup data'!F20</f>
        <v>Chart 4a shows that the number of vouchers reimbursed per 1,000 Welsh residents (all ages) decreased between the 2015-16 and 2016-17 financial years.</v>
      </c>
      <c r="K24" s="102">
        <f>I24</f>
        <v>93.419479162566006</v>
      </c>
      <c r="L24" s="97" t="s">
        <v>21</v>
      </c>
      <c r="M24" s="108" t="str">
        <f>'Lookup data'!G20</f>
        <v>1,000 WELSH</v>
      </c>
      <c r="N24" s="97" t="s">
        <v>31</v>
      </c>
      <c r="O24" s="97" t="s">
        <v>398</v>
      </c>
      <c r="P24" s="97" t="s">
        <v>405</v>
      </c>
      <c r="Q24" s="97" t="s">
        <v>187</v>
      </c>
      <c r="R24" s="97" t="str">
        <f>""</f>
        <v/>
      </c>
      <c r="S24" s="97"/>
      <c r="T24" s="97"/>
      <c r="U24" s="97"/>
      <c r="V24" s="97"/>
      <c r="W24" s="97"/>
      <c r="X24" s="97"/>
      <c r="Y24" s="97"/>
      <c r="Z24" s="97"/>
      <c r="AA24" s="97"/>
      <c r="AB24" s="97"/>
      <c r="AC24" s="97"/>
      <c r="AD24" s="97"/>
    </row>
    <row r="25" spans="1:30" s="94" customFormat="1" x14ac:dyDescent="0.2">
      <c r="A25" s="97"/>
      <c r="B25" s="233" t="str">
        <f>'Lookup data'!A21</f>
        <v>Vouchers reimbursed per 1,000 Welsh residents (&lt;16)</v>
      </c>
      <c r="C25" s="97">
        <v>2</v>
      </c>
      <c r="D25" s="101" t="str">
        <f>'Lookup data'!E21</f>
        <v>Chart 4b: Vouchers reimbursed per 1,000 Welsh residents (&lt;16)</v>
      </c>
      <c r="E25" s="102"/>
      <c r="F25" s="102"/>
      <c r="G25" s="102">
        <f>'Lookup data'!B21</f>
        <v>128.01144832483541</v>
      </c>
      <c r="H25" s="102">
        <f>'Lookup data'!C21</f>
        <v>133.37379274575943</v>
      </c>
      <c r="I25" s="102">
        <f>'Lookup data'!D21</f>
        <v>141.84865898658174</v>
      </c>
      <c r="J25" s="108" t="str">
        <f>'Lookup data'!F21</f>
        <v>Chart 4b shows that in 2016-17 the number of vouchers reimbursed per 1,000 Welsh residents aged 15 or under increased in comparison from the previous year.</v>
      </c>
      <c r="K25" s="102">
        <f t="shared" ref="K25:K28" si="1">I25</f>
        <v>141.84865898658174</v>
      </c>
      <c r="L25" s="97" t="s">
        <v>21</v>
      </c>
      <c r="M25" s="108" t="str">
        <f>'Lookup data'!G21</f>
        <v>1,000 WELSH</v>
      </c>
      <c r="N25" s="97" t="s">
        <v>255</v>
      </c>
      <c r="O25" s="97" t="s">
        <v>256</v>
      </c>
      <c r="P25" s="97" t="s">
        <v>399</v>
      </c>
      <c r="Q25" s="97" t="s">
        <v>400</v>
      </c>
      <c r="R25" s="97" t="str">
        <f>""</f>
        <v/>
      </c>
      <c r="S25" s="97"/>
      <c r="T25" s="97"/>
      <c r="U25" s="97"/>
      <c r="V25" s="97"/>
      <c r="W25" s="97"/>
      <c r="X25" s="97"/>
      <c r="Y25" s="97"/>
      <c r="Z25" s="97"/>
      <c r="AA25" s="97"/>
      <c r="AB25" s="97"/>
      <c r="AC25" s="97"/>
      <c r="AD25" s="97"/>
    </row>
    <row r="26" spans="1:30" s="94" customFormat="1" x14ac:dyDescent="0.2">
      <c r="A26" s="97"/>
      <c r="B26" s="233" t="str">
        <f>'Lookup data'!A22</f>
        <v>Vouchers reimbursed in adults on income support per 1,000 Welsh residents (16-59)</v>
      </c>
      <c r="C26" s="97">
        <v>3</v>
      </c>
      <c r="D26" s="101" t="str">
        <f>'Lookup data'!E22</f>
        <v>Chart 4c: Vouchers reimbursed in adults on income support per 1,000 Welsh residents (16-59)</v>
      </c>
      <c r="E26" s="102"/>
      <c r="F26" s="102"/>
      <c r="G26" s="102">
        <f>'Lookup data'!B22</f>
        <v>115.40277189372391</v>
      </c>
      <c r="H26" s="102">
        <f>'Lookup data'!C22</f>
        <v>111.19357454175129</v>
      </c>
      <c r="I26" s="102">
        <f>'Lookup data'!D22</f>
        <v>107.24513321592386</v>
      </c>
      <c r="J26" s="108" t="str">
        <f>'Lookup data'!F22</f>
        <v>Chart 4c shows that between 2015-16 and 2016-17 that the number of Welsh residents on income support who had vouchers reimbursed has decreased in comparison to the size of the population.</v>
      </c>
      <c r="K26" s="102">
        <f t="shared" si="1"/>
        <v>107.24513321592386</v>
      </c>
      <c r="L26" s="97" t="s">
        <v>21</v>
      </c>
      <c r="M26" s="108" t="str">
        <f>'Lookup data'!G22</f>
        <v>1,000 WELSH</v>
      </c>
      <c r="N26" s="97" t="s">
        <v>28</v>
      </c>
      <c r="O26" s="97" t="s">
        <v>53</v>
      </c>
      <c r="P26" s="97" t="s">
        <v>401</v>
      </c>
      <c r="Q26" s="97" t="s">
        <v>187</v>
      </c>
      <c r="R26" s="97" t="s">
        <v>874</v>
      </c>
      <c r="S26" s="97"/>
      <c r="T26" s="97"/>
      <c r="U26" s="97"/>
      <c r="V26" s="97"/>
      <c r="W26" s="97"/>
      <c r="X26" s="97"/>
      <c r="Y26" s="97"/>
      <c r="Z26" s="97"/>
      <c r="AA26" s="97"/>
      <c r="AB26" s="97"/>
      <c r="AC26" s="97"/>
      <c r="AD26" s="97"/>
    </row>
    <row r="27" spans="1:30" s="94" customFormat="1" x14ac:dyDescent="0.2">
      <c r="A27" s="97"/>
      <c r="B27" s="233" t="str">
        <f>'Lookup data'!A23</f>
        <v>Claims for repairs or replacements per 1,000 Welsh residents (all ages)</v>
      </c>
      <c r="C27" s="97">
        <v>4</v>
      </c>
      <c r="D27" s="101" t="str">
        <f>'Lookup data'!E23</f>
        <v>Chart 4d: Claims for repairs or replacements per 1,000 Welsh residents (all ages)</v>
      </c>
      <c r="E27" s="102"/>
      <c r="F27" s="102"/>
      <c r="G27" s="102">
        <f>'Lookup data'!B23</f>
        <v>10.086557853789541</v>
      </c>
      <c r="H27" s="102">
        <f>'Lookup data'!C23</f>
        <v>10.13524632746558</v>
      </c>
      <c r="I27" s="102">
        <f>'Lookup data'!D23</f>
        <v>10.983238283803676</v>
      </c>
      <c r="J27" s="108" t="str">
        <f>'Lookup data'!F23</f>
        <v>Chart 4d shows that the number of claims for repair or replacements per 1,000 Welsh residents has increased between 2015-16 and 2016-17.</v>
      </c>
      <c r="K27" s="102">
        <f t="shared" si="1"/>
        <v>10.983238283803676</v>
      </c>
      <c r="L27" s="97" t="s">
        <v>21</v>
      </c>
      <c r="M27" s="108" t="str">
        <f>'Lookup data'!G23</f>
        <v>1,000 WELSH</v>
      </c>
      <c r="N27" s="97" t="s">
        <v>31</v>
      </c>
      <c r="O27" s="97" t="s">
        <v>402</v>
      </c>
      <c r="P27" s="97" t="s">
        <v>403</v>
      </c>
      <c r="Q27" s="97" t="s">
        <v>187</v>
      </c>
      <c r="R27" s="97" t="str">
        <f>""</f>
        <v/>
      </c>
      <c r="S27" s="97"/>
      <c r="T27" s="97"/>
      <c r="U27" s="97"/>
      <c r="V27" s="97"/>
      <c r="W27" s="97"/>
      <c r="X27" s="97"/>
      <c r="Y27" s="97"/>
      <c r="Z27" s="97"/>
      <c r="AA27" s="97"/>
      <c r="AB27" s="97"/>
      <c r="AC27" s="97"/>
      <c r="AD27" s="97"/>
    </row>
    <row r="28" spans="1:30" s="94" customFormat="1" x14ac:dyDescent="0.2">
      <c r="A28" s="97"/>
      <c r="B28" s="233" t="str">
        <f>'Lookup data'!A24</f>
        <v>Claims for repairs or replacements per 1,000 Welsh residents (&lt;16)</v>
      </c>
      <c r="C28" s="97">
        <v>5</v>
      </c>
      <c r="D28" s="101" t="str">
        <f>'Lookup data'!E24</f>
        <v>Chart 4e: Claims for repairs or replacements per 1,000 Welsh residents (&lt;16)</v>
      </c>
      <c r="E28" s="102"/>
      <c r="F28" s="102"/>
      <c r="G28" s="102">
        <f>'Lookup data'!B24</f>
        <v>55.383434173033351</v>
      </c>
      <c r="H28" s="102">
        <f>'Lookup data'!C24</f>
        <v>55.835790012047781</v>
      </c>
      <c r="I28" s="102">
        <f>'Lookup data'!D24</f>
        <v>60.3883743420093</v>
      </c>
      <c r="J28" s="108" t="str">
        <f>'Lookup data'!F24</f>
        <v>Chart 4e shows that in 2016-17 the number of claims for repairs or replacements per 1,000 Welsh residents aged 15 or under increased in comparison from the previous year.</v>
      </c>
      <c r="K28" s="102">
        <f t="shared" si="1"/>
        <v>60.3883743420093</v>
      </c>
      <c r="L28" s="97" t="s">
        <v>21</v>
      </c>
      <c r="M28" s="108" t="str">
        <f>'Lookup data'!G24</f>
        <v>1,000 WELSH</v>
      </c>
      <c r="N28" s="97" t="s">
        <v>255</v>
      </c>
      <c r="O28" s="97" t="s">
        <v>256</v>
      </c>
      <c r="P28" s="97" t="s">
        <v>402</v>
      </c>
      <c r="Q28" s="97" t="s">
        <v>404</v>
      </c>
      <c r="R28" s="97" t="str">
        <f>""</f>
        <v/>
      </c>
      <c r="S28" s="97"/>
      <c r="T28" s="97"/>
      <c r="U28" s="97"/>
      <c r="V28" s="97"/>
      <c r="W28" s="97"/>
      <c r="X28" s="97"/>
      <c r="Y28" s="97"/>
      <c r="Z28" s="97"/>
      <c r="AA28" s="97"/>
      <c r="AB28" s="97"/>
      <c r="AC28" s="97"/>
      <c r="AD28" s="97"/>
    </row>
    <row r="29" spans="1:30" s="94" customFormat="1" x14ac:dyDescent="0.2">
      <c r="A29" s="97"/>
      <c r="B29" s="97">
        <v>1</v>
      </c>
      <c r="C29" s="97"/>
      <c r="D29" s="97"/>
      <c r="E29" s="102"/>
      <c r="F29" s="102"/>
      <c r="G29" s="102"/>
      <c r="H29" s="107"/>
      <c r="I29" s="107"/>
      <c r="J29" s="108"/>
      <c r="K29" s="108"/>
      <c r="L29" s="108"/>
      <c r="M29" s="108"/>
      <c r="N29" s="108"/>
      <c r="O29" s="108"/>
      <c r="P29" s="97"/>
      <c r="Q29" s="97"/>
      <c r="R29" s="97"/>
      <c r="S29" s="97"/>
      <c r="T29" s="97"/>
      <c r="U29" s="97"/>
      <c r="V29" s="97"/>
      <c r="W29" s="97"/>
      <c r="X29" s="97"/>
      <c r="Y29" s="97"/>
      <c r="Z29" s="97"/>
      <c r="AA29" s="97"/>
      <c r="AB29" s="97"/>
      <c r="AC29" s="97"/>
      <c r="AD29" s="97"/>
    </row>
    <row r="30" spans="1:30" s="94" customFormat="1" x14ac:dyDescent="0.2">
      <c r="A30" s="97"/>
      <c r="B30" s="97"/>
      <c r="C30" s="97"/>
      <c r="D30" s="97" t="str">
        <f>VLOOKUP($B$29,$C$24:$R$28,2,FALSE)</f>
        <v>Chart 4a: Vouchers reimbursed per 1,000 Welsh residents (all ages)</v>
      </c>
      <c r="E30" s="97"/>
      <c r="F30" s="97"/>
      <c r="G30" s="102">
        <f>VLOOKUP($B$29,$C$24:$R$28,5,FALSE)</f>
        <v>95.919646472421405</v>
      </c>
      <c r="H30" s="102">
        <f>VLOOKUP($B$29,$C$24:$R$28,6,FALSE)</f>
        <v>94.149049106736626</v>
      </c>
      <c r="I30" s="102">
        <f>VLOOKUP($B$29,$C$24:$R$28,7,FALSE)</f>
        <v>93.419479162566006</v>
      </c>
      <c r="J30" s="97" t="str">
        <f>VLOOKUP($B$29,$C$24:$R$28,8,FALSE)</f>
        <v>Chart 4a shows that the number of vouchers reimbursed per 1,000 Welsh residents (all ages) decreased between the 2015-16 and 2016-17 financial years.</v>
      </c>
      <c r="K30" s="102">
        <f>VLOOKUP($B$29,$C$24:$R$28,9,FALSE)</f>
        <v>93.419479162566006</v>
      </c>
      <c r="L30" s="97" t="str">
        <f>VLOOKUP($B$29,$C$24:$R$28,10,FALSE)</f>
        <v>OUT OF</v>
      </c>
      <c r="M30" s="97" t="str">
        <f>VLOOKUP($B$29,$C$24:$R$28,11,FALSE)</f>
        <v>1,000 WELSH</v>
      </c>
      <c r="N30" s="97" t="str">
        <f>VLOOKUP($B$29,$C$24:$R$28,12,FALSE)</f>
        <v>R E S I D E N T S</v>
      </c>
      <c r="O30" s="97" t="str">
        <f>VLOOKUP($B$29,$C$24:$R$28,13,FALSE)</f>
        <v xml:space="preserve"> HAD VOUCHERS</v>
      </c>
      <c r="P30" s="97" t="str">
        <f>VLOOKUP($B$29,$C$24:$R$28,14,FALSE)</f>
        <v>R E I M B U R S E D</v>
      </c>
      <c r="Q30" s="97" t="str">
        <f>VLOOKUP($B$29,$C$24:$R$28,15,FALSE)</f>
        <v>IN 2016/17 FINANCIAL YEAR</v>
      </c>
      <c r="R30" s="97" t="str">
        <f>VLOOKUP($B$29,$C$24:$R$28,16,FALSE)</f>
        <v/>
      </c>
      <c r="S30" s="97"/>
      <c r="T30" s="97"/>
      <c r="U30" s="97"/>
      <c r="V30" s="97"/>
      <c r="W30" s="97"/>
      <c r="X30" s="97"/>
      <c r="Y30" s="97"/>
      <c r="Z30" s="97"/>
      <c r="AA30" s="97"/>
      <c r="AB30" s="97"/>
      <c r="AC30" s="97"/>
      <c r="AD30" s="97"/>
    </row>
    <row r="31" spans="1:30" x14ac:dyDescent="0.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s="128" customFormat="1" ht="12.75" x14ac:dyDescent="0.2">
      <c r="A32" s="134" t="s">
        <v>46</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row>
    <row r="33" spans="1:30" s="128" customFormat="1" x14ac:dyDescent="0.2">
      <c r="A33" s="132"/>
      <c r="B33" s="132"/>
      <c r="C33" s="132"/>
      <c r="D33" s="135" t="s">
        <v>11</v>
      </c>
      <c r="E33" s="129" t="s">
        <v>6</v>
      </c>
      <c r="F33" s="129" t="s">
        <v>5</v>
      </c>
      <c r="G33" s="129" t="s">
        <v>4</v>
      </c>
      <c r="H33" s="129" t="s">
        <v>3</v>
      </c>
      <c r="I33" s="129" t="s">
        <v>81</v>
      </c>
      <c r="J33" s="132" t="s">
        <v>45</v>
      </c>
      <c r="K33" s="132"/>
      <c r="L33" s="132"/>
      <c r="M33" s="132"/>
      <c r="N33" s="132"/>
      <c r="O33" s="132"/>
      <c r="P33" s="132"/>
      <c r="Q33" s="132"/>
      <c r="R33" s="132"/>
      <c r="S33" s="132"/>
      <c r="T33" s="132"/>
      <c r="U33" s="132"/>
      <c r="V33" s="132"/>
      <c r="W33" s="132"/>
      <c r="X33" s="132"/>
      <c r="Y33" s="132"/>
      <c r="Z33" s="132"/>
      <c r="AA33" s="132"/>
      <c r="AB33" s="132"/>
      <c r="AC33" s="132"/>
      <c r="AD33" s="132"/>
    </row>
    <row r="34" spans="1:30" s="128" customFormat="1" x14ac:dyDescent="0.2">
      <c r="A34" s="132"/>
      <c r="B34" s="132" t="s">
        <v>76</v>
      </c>
      <c r="C34" s="132">
        <v>1</v>
      </c>
      <c r="D34" s="132" t="s">
        <v>570</v>
      </c>
      <c r="E34" s="136">
        <f>'Lookup data'!B46</f>
        <v>6851</v>
      </c>
      <c r="F34" s="136">
        <f>'Lookup data'!C46</f>
        <v>7237</v>
      </c>
      <c r="G34" s="136">
        <f>'Lookup data'!D46</f>
        <v>7790</v>
      </c>
      <c r="H34" s="136">
        <f>'Lookup data'!E46</f>
        <v>8049</v>
      </c>
      <c r="I34" s="136">
        <f>'Lookup data'!F46</f>
        <v>8792</v>
      </c>
      <c r="J34" s="136" t="str">
        <f>'Lookup data'!G46</f>
        <v>Chart 7a shows that the number of people in Wales who had a low vision assessment has increased over the last 5 years. In 2016-17 the figure reached 8,792 which was over 700 more assessments than in 2015-16.</v>
      </c>
      <c r="K34" s="132"/>
      <c r="L34" s="132"/>
      <c r="M34" s="132"/>
      <c r="N34" s="132"/>
      <c r="O34" s="132"/>
      <c r="P34" s="132"/>
      <c r="Q34" s="132"/>
      <c r="R34" s="132"/>
      <c r="S34" s="132"/>
      <c r="T34" s="132"/>
      <c r="U34" s="132"/>
      <c r="V34" s="132"/>
      <c r="W34" s="132"/>
      <c r="X34" s="132"/>
      <c r="Y34" s="132"/>
      <c r="Z34" s="132"/>
      <c r="AA34" s="132"/>
      <c r="AB34" s="132"/>
      <c r="AC34" s="132"/>
      <c r="AD34" s="132"/>
    </row>
    <row r="35" spans="1:30" s="128" customFormat="1" x14ac:dyDescent="0.2">
      <c r="A35" s="132"/>
      <c r="B35" s="132" t="s">
        <v>77</v>
      </c>
      <c r="C35" s="132">
        <v>2</v>
      </c>
      <c r="D35" s="132" t="s">
        <v>571</v>
      </c>
      <c r="E35" s="136">
        <f>'Lookup data'!B47</f>
        <v>22.286436827824506</v>
      </c>
      <c r="F35" s="136">
        <f>'Lookup data'!C47</f>
        <v>23.478366941213569</v>
      </c>
      <c r="G35" s="136">
        <f>'Lookup data'!D47</f>
        <v>25.193755829492282</v>
      </c>
      <c r="H35" s="136">
        <f>'Lookup data'!E47</f>
        <v>26.031391613810449</v>
      </c>
      <c r="I35" s="136">
        <f>'Lookup data'!F47</f>
        <v>28.369654794994396</v>
      </c>
      <c r="J35" s="136" t="str">
        <f>'Lookup data'!G47</f>
        <v>Chart 7b shows that the number of low vision assessments per 10,000 Welsh residents has increased over the last 5 years. 28 out of 10,000 Welsh residents had a low vision assessment in 2016-17, which was an increase of 2 from the previous year.</v>
      </c>
      <c r="K35" s="132"/>
      <c r="L35" s="132"/>
      <c r="M35" s="132"/>
      <c r="N35" s="132"/>
      <c r="O35" s="132"/>
      <c r="P35" s="132"/>
      <c r="Q35" s="132"/>
      <c r="R35" s="132"/>
      <c r="S35" s="132"/>
      <c r="T35" s="132"/>
      <c r="U35" s="132"/>
      <c r="V35" s="132"/>
      <c r="W35" s="132"/>
      <c r="X35" s="132"/>
      <c r="Y35" s="132"/>
      <c r="Z35" s="132"/>
      <c r="AA35" s="132"/>
      <c r="AB35" s="132"/>
      <c r="AC35" s="132"/>
      <c r="AD35" s="132"/>
    </row>
    <row r="36" spans="1:30" s="128" customFormat="1" x14ac:dyDescent="0.2">
      <c r="A36" s="132"/>
      <c r="B36" s="132" t="s">
        <v>78</v>
      </c>
      <c r="C36" s="132">
        <v>3</v>
      </c>
      <c r="D36" s="132" t="s">
        <v>572</v>
      </c>
      <c r="E36" s="136">
        <f>'Lookup data'!B48</f>
        <v>80.093378281870329</v>
      </c>
      <c r="F36" s="136">
        <f>'Lookup data'!C48</f>
        <v>83.381708129874625</v>
      </c>
      <c r="G36" s="136">
        <f>'Lookup data'!D48</f>
        <v>88.796928753053805</v>
      </c>
      <c r="H36" s="136">
        <f>'Lookup data'!E48</f>
        <v>91.364610859051709</v>
      </c>
      <c r="I36" s="136">
        <f>'Lookup data'!F48</f>
        <v>99.11139379642951</v>
      </c>
      <c r="J36" s="136" t="str">
        <f>'Lookup data'!G48</f>
        <v>Chart 7c shows that the number of low vision assessments in people in Wales aged 60 years or over (60+) per 10,000 of the 60+ population has increased. 8 more assessments for 60+ year olds per 10,000 of the 60+ population were carried out in 2016-17 than in 2015-16.</v>
      </c>
      <c r="K36" s="132"/>
      <c r="L36" s="132"/>
      <c r="M36" s="132"/>
      <c r="N36" s="132"/>
      <c r="O36" s="132"/>
      <c r="P36" s="132"/>
      <c r="Q36" s="132"/>
      <c r="R36" s="132"/>
      <c r="S36" s="132"/>
      <c r="T36" s="132"/>
      <c r="U36" s="132"/>
      <c r="V36" s="132"/>
      <c r="W36" s="132"/>
      <c r="X36" s="132"/>
      <c r="Y36" s="132"/>
      <c r="Z36" s="132"/>
      <c r="AA36" s="132"/>
      <c r="AB36" s="132"/>
      <c r="AC36" s="132"/>
      <c r="AD36" s="132"/>
    </row>
    <row r="37" spans="1:30" s="128" customFormat="1" x14ac:dyDescent="0.2">
      <c r="A37" s="132"/>
      <c r="B37" s="132">
        <v>1</v>
      </c>
      <c r="C37" s="132"/>
      <c r="D37" s="132"/>
      <c r="E37" s="132"/>
      <c r="F37" s="137"/>
      <c r="G37" s="137"/>
      <c r="H37" s="137">
        <f>I34-H34</f>
        <v>743</v>
      </c>
      <c r="I37" s="138">
        <f>I35-H35</f>
        <v>2.3382631811839474</v>
      </c>
      <c r="J37" s="137">
        <f>I36-H36</f>
        <v>7.7467829373778017</v>
      </c>
      <c r="K37" s="132"/>
      <c r="L37" s="132"/>
      <c r="M37" s="132"/>
      <c r="N37" s="132"/>
      <c r="O37" s="132"/>
      <c r="P37" s="132"/>
      <c r="Q37" s="132"/>
      <c r="R37" s="132"/>
      <c r="S37" s="132"/>
      <c r="T37" s="132"/>
      <c r="U37" s="132"/>
      <c r="V37" s="132"/>
      <c r="W37" s="132"/>
      <c r="X37" s="132"/>
      <c r="Y37" s="132"/>
      <c r="Z37" s="132"/>
      <c r="AA37" s="132"/>
      <c r="AB37" s="132"/>
      <c r="AC37" s="132"/>
      <c r="AD37" s="132"/>
    </row>
    <row r="38" spans="1:30" s="128" customFormat="1" x14ac:dyDescent="0.2">
      <c r="A38" s="132"/>
      <c r="B38" s="132"/>
      <c r="C38" s="132"/>
      <c r="D38" s="132" t="str">
        <f>VLOOKUP($B$37,LVS,2,FALSE)</f>
        <v>Chart 7a: Number of people who had a low vision assessment</v>
      </c>
      <c r="E38" s="137">
        <f>VLOOKUP($B$37,LVS,3,FALSE)</f>
        <v>6851</v>
      </c>
      <c r="F38" s="137">
        <f>VLOOKUP($B$37,LVS,4,FALSE)</f>
        <v>7237</v>
      </c>
      <c r="G38" s="137">
        <f>VLOOKUP($B$37,LVS,5,FALSE)</f>
        <v>7790</v>
      </c>
      <c r="H38" s="137">
        <f>VLOOKUP($B$37,LVS,6,FALSE)</f>
        <v>8049</v>
      </c>
      <c r="I38" s="138">
        <f>VLOOKUP($B$37,LVS,7,FALSE)</f>
        <v>8792</v>
      </c>
      <c r="J38" s="139" t="str">
        <f>VLOOKUP($B$37,LVS,8,FALSE)</f>
        <v>Chart 7a shows that the number of people in Wales who had a low vision assessment has increased over the last 5 years. In 2016-17 the figure reached 8,792 which was over 700 more assessments than in 2015-16.</v>
      </c>
      <c r="K38" s="132"/>
      <c r="L38" s="132"/>
      <c r="M38" s="132"/>
      <c r="N38" s="132"/>
      <c r="O38" s="132"/>
      <c r="P38" s="132"/>
      <c r="Q38" s="132"/>
      <c r="R38" s="132"/>
      <c r="S38" s="132"/>
      <c r="T38" s="132"/>
      <c r="U38" s="132"/>
      <c r="V38" s="132"/>
      <c r="W38" s="132"/>
      <c r="X38" s="132"/>
      <c r="Y38" s="132"/>
      <c r="Z38" s="132"/>
      <c r="AA38" s="132"/>
      <c r="AB38" s="132"/>
      <c r="AC38" s="132"/>
      <c r="AD38" s="132"/>
    </row>
    <row r="40" spans="1:30" s="154" customFormat="1" ht="10.15" x14ac:dyDescent="0.2">
      <c r="A40" s="156" t="s">
        <v>300</v>
      </c>
      <c r="E40" s="206">
        <v>2012</v>
      </c>
      <c r="F40" s="206">
        <v>2013</v>
      </c>
      <c r="G40" s="206">
        <v>2014</v>
      </c>
      <c r="H40" s="206">
        <v>2015</v>
      </c>
      <c r="I40" s="206">
        <v>2016</v>
      </c>
      <c r="J40" s="158" t="str">
        <f>VLOOKUP('Lookup data'!B1,'All data'!D113:E120,2,FALSE)</f>
        <v>Wales</v>
      </c>
    </row>
    <row r="41" spans="1:30" s="154" customFormat="1" ht="10.15" x14ac:dyDescent="0.2">
      <c r="A41" s="159"/>
      <c r="E41" s="160"/>
      <c r="F41" s="160"/>
      <c r="G41" s="161"/>
      <c r="H41" s="161"/>
      <c r="I41" s="160"/>
      <c r="J41" s="162"/>
    </row>
    <row r="42" spans="1:30" s="154" customFormat="1" ht="10.15" x14ac:dyDescent="0.2">
      <c r="A42" s="159"/>
      <c r="B42" s="205" t="s">
        <v>294</v>
      </c>
      <c r="C42" s="154">
        <v>1</v>
      </c>
      <c r="D42" s="154" t="s">
        <v>193</v>
      </c>
      <c r="E42" s="160">
        <f>'Lookup data'!B60</f>
        <v>395</v>
      </c>
      <c r="F42" s="160">
        <f>'Lookup data'!C60</f>
        <v>395</v>
      </c>
      <c r="G42" s="160">
        <f>'Lookup data'!D60</f>
        <v>407</v>
      </c>
      <c r="H42" s="160">
        <f>'Lookup data'!E60</f>
        <v>433</v>
      </c>
      <c r="I42" s="160">
        <f>'Lookup data'!F60</f>
        <v>441</v>
      </c>
      <c r="J42" s="164">
        <f>I42/I44</f>
        <v>0.53846153846153844</v>
      </c>
      <c r="K42" s="154" t="s">
        <v>308</v>
      </c>
      <c r="L42" s="154" t="str">
        <f>'Lookup data'!H59</f>
        <v>The number of male ophthalmic practitioners in Wales in 2016 decreased from the figure in 2015 while the number of females increased. This lead to an overall increase in the number of ophthalmic practitioners in Wales in 2016.</v>
      </c>
    </row>
    <row r="43" spans="1:30" s="154" customFormat="1" ht="10.15" x14ac:dyDescent="0.2">
      <c r="B43" s="205" t="s">
        <v>295</v>
      </c>
      <c r="C43" s="154">
        <v>1.1000000000000001</v>
      </c>
      <c r="D43" s="159" t="s">
        <v>192</v>
      </c>
      <c r="E43" s="160">
        <f>'Lookup data'!B59</f>
        <v>414</v>
      </c>
      <c r="F43" s="160">
        <f>'Lookup data'!C59</f>
        <v>386</v>
      </c>
      <c r="G43" s="160">
        <f>'Lookup data'!D59</f>
        <v>369</v>
      </c>
      <c r="H43" s="160">
        <f>'Lookup data'!E59</f>
        <v>385</v>
      </c>
      <c r="I43" s="160">
        <f>'Lookup data'!F59</f>
        <v>378</v>
      </c>
      <c r="J43" s="163">
        <f>I43/I44</f>
        <v>0.46153846153846156</v>
      </c>
    </row>
    <row r="44" spans="1:30" s="154" customFormat="1" ht="10.15" x14ac:dyDescent="0.2">
      <c r="D44" s="154" t="s">
        <v>196</v>
      </c>
      <c r="E44" s="160">
        <f>'Lookup data'!B61</f>
        <v>809</v>
      </c>
      <c r="F44" s="160">
        <f>'Lookup data'!C61</f>
        <v>781</v>
      </c>
      <c r="G44" s="160">
        <f>'Lookup data'!D61</f>
        <v>776</v>
      </c>
      <c r="H44" s="160">
        <f>'Lookup data'!E61</f>
        <v>818</v>
      </c>
      <c r="I44" s="160">
        <f>'Lookup data'!F61</f>
        <v>819</v>
      </c>
    </row>
    <row r="45" spans="1:30" s="154" customFormat="1" ht="10.15" x14ac:dyDescent="0.2">
      <c r="B45" s="154">
        <v>1</v>
      </c>
      <c r="C45" s="154">
        <v>2</v>
      </c>
      <c r="D45" s="154" t="s">
        <v>194</v>
      </c>
      <c r="E45" s="160">
        <f>'Lookup data'!B62</f>
        <v>795</v>
      </c>
      <c r="F45" s="160">
        <f>'Lookup data'!C62</f>
        <v>773</v>
      </c>
      <c r="G45" s="160">
        <f>'Lookup data'!D62</f>
        <v>769</v>
      </c>
      <c r="H45" s="160">
        <f>'Lookup data'!E62</f>
        <v>811</v>
      </c>
      <c r="I45" s="160">
        <f>'Lookup data'!F62</f>
        <v>813</v>
      </c>
      <c r="J45" s="164">
        <f>I45/I44</f>
        <v>0.9926739926739927</v>
      </c>
      <c r="K45" s="154" t="s">
        <v>309</v>
      </c>
      <c r="L45" s="154" t="str">
        <f>'Lookup data'!H62</f>
        <v>The number of optometrists in Wales in 2016 increased from the figure in 2015 while the number of ophthalmic medical practitioners decreased. This lead to an overall increase in the number of ophthalmic practitioners in Wales in 2016.</v>
      </c>
    </row>
    <row r="46" spans="1:30" s="154" customFormat="1" ht="10.15" x14ac:dyDescent="0.2">
      <c r="B46" s="154">
        <f>B45+0.1</f>
        <v>1.1000000000000001</v>
      </c>
      <c r="C46" s="154">
        <v>2.1</v>
      </c>
      <c r="D46" s="154" t="s">
        <v>195</v>
      </c>
      <c r="E46" s="160">
        <f>'Lookup data'!B63</f>
        <v>14</v>
      </c>
      <c r="F46" s="160">
        <f>'Lookup data'!C63</f>
        <v>8</v>
      </c>
      <c r="G46" s="160">
        <f>'Lookup data'!D63</f>
        <v>7</v>
      </c>
      <c r="H46" s="160">
        <f>'Lookup data'!E63</f>
        <v>7</v>
      </c>
      <c r="I46" s="160">
        <f>'Lookup data'!F63</f>
        <v>6</v>
      </c>
      <c r="J46" s="164">
        <f>I46/I45</f>
        <v>7.3800738007380072E-3</v>
      </c>
    </row>
    <row r="47" spans="1:30" s="154" customFormat="1" ht="10.15" x14ac:dyDescent="0.2">
      <c r="D47" s="154" t="s">
        <v>196</v>
      </c>
      <c r="E47" s="160">
        <f>E44</f>
        <v>809</v>
      </c>
      <c r="F47" s="160">
        <f>F44</f>
        <v>781</v>
      </c>
      <c r="G47" s="160">
        <f>G44</f>
        <v>776</v>
      </c>
      <c r="H47" s="160">
        <f>H44</f>
        <v>818</v>
      </c>
      <c r="I47" s="160">
        <f>I44</f>
        <v>819</v>
      </c>
      <c r="J47" s="164"/>
    </row>
    <row r="48" spans="1:30" s="154" customFormat="1" ht="10.15" x14ac:dyDescent="0.2">
      <c r="E48" s="160"/>
      <c r="F48" s="160"/>
      <c r="G48" s="160"/>
      <c r="H48" s="160"/>
      <c r="I48" s="160"/>
      <c r="J48" s="164"/>
    </row>
    <row r="49" spans="1:12" s="154" customFormat="1" ht="10.15" x14ac:dyDescent="0.2">
      <c r="A49" s="154">
        <v>1</v>
      </c>
      <c r="B49" s="154" t="s">
        <v>621</v>
      </c>
      <c r="D49" s="154" t="str">
        <f>VLOOKUP($B$45,$C$42:$J$47,2,FALSE)</f>
        <v>Female</v>
      </c>
      <c r="E49" s="154">
        <f>VLOOKUP($B$45,$C$42:$J$47,3,FALSE)</f>
        <v>395</v>
      </c>
      <c r="F49" s="154">
        <f>VLOOKUP($B$45,$C$42:$J$47,4,FALSE)</f>
        <v>395</v>
      </c>
      <c r="G49" s="154">
        <f>VLOOKUP($B$45,$C$42:$J$47,5,FALSE)</f>
        <v>407</v>
      </c>
      <c r="H49" s="154">
        <f>VLOOKUP($B$45,$C$42:$J$47,6,FALSE)</f>
        <v>433</v>
      </c>
      <c r="I49" s="154">
        <f>VLOOKUP($B$45,$C$42:$J$47,7,FALSE)</f>
        <v>441</v>
      </c>
      <c r="J49" s="164">
        <f>VLOOKUP($B$45,$C$42:$J$47,8,FALSE)</f>
        <v>0.53846153846153844</v>
      </c>
      <c r="K49" s="164" t="str">
        <f>VLOOKUP($B$45,$C$42:$K$47,9,FALSE)</f>
        <v>female</v>
      </c>
      <c r="L49" s="164" t="str">
        <f>VLOOKUP($B$45,$C$42:$L$47,10,FALSE)</f>
        <v>The number of male ophthalmic practitioners in Wales in 2016 decreased from the figure in 2015 while the number of females increased. This lead to an overall increase in the number of ophthalmic practitioners in Wales in 2016.</v>
      </c>
    </row>
    <row r="50" spans="1:12" s="154" customFormat="1" ht="10.15" x14ac:dyDescent="0.2">
      <c r="A50" s="154">
        <v>2</v>
      </c>
      <c r="B50" s="205" t="s">
        <v>620</v>
      </c>
      <c r="D50" s="154" t="str">
        <f>VLOOKUP($B$46,$C$42:$J$47,2,FALSE)</f>
        <v>Male</v>
      </c>
      <c r="E50" s="154">
        <f>VLOOKUP($B$46,$C$42:$J$47,3,FALSE)</f>
        <v>414</v>
      </c>
      <c r="F50" s="154">
        <f>VLOOKUP($B$46,$C$42:$J$47,4,FALSE)</f>
        <v>386</v>
      </c>
      <c r="G50" s="154">
        <f>VLOOKUP($B$46,$C$42:$J$47,5,FALSE)</f>
        <v>369</v>
      </c>
      <c r="H50" s="154">
        <f>VLOOKUP($B$46,$C$42:$J$47,6,FALSE)</f>
        <v>385</v>
      </c>
      <c r="I50" s="154">
        <f>VLOOKUP($B$46,$C$42:$J$47,7,FALSE)</f>
        <v>378</v>
      </c>
      <c r="J50" s="164">
        <f>VLOOKUP($B$46,$C$42:$J$47,8,FALSE)</f>
        <v>0.46153846153846156</v>
      </c>
      <c r="K50" s="154" t="str">
        <f>"in "&amp;J40</f>
        <v>in Wales</v>
      </c>
    </row>
    <row r="51" spans="1:12" s="154" customFormat="1" ht="10.15" x14ac:dyDescent="0.2">
      <c r="B51" s="154" t="str">
        <f>VLOOKUP(B45,A48:B51,2,FALSE)</f>
        <v>Chart 9a: Number of Ophthalmic Practitioners by gender</v>
      </c>
    </row>
    <row r="53" spans="1:12" s="154" customFormat="1" ht="10.15" x14ac:dyDescent="0.2">
      <c r="A53" s="211" t="s">
        <v>301</v>
      </c>
    </row>
    <row r="54" spans="1:12" s="154" customFormat="1" ht="10.15" x14ac:dyDescent="0.2">
      <c r="E54" s="206">
        <v>2012</v>
      </c>
      <c r="F54" s="206">
        <v>2013</v>
      </c>
      <c r="G54" s="206">
        <v>2014</v>
      </c>
      <c r="H54" s="206">
        <v>2015</v>
      </c>
      <c r="I54" s="206">
        <v>2016</v>
      </c>
    </row>
    <row r="55" spans="1:12" s="154" customFormat="1" ht="10.15" x14ac:dyDescent="0.2">
      <c r="B55" s="154" t="s">
        <v>296</v>
      </c>
      <c r="C55" s="154">
        <v>1</v>
      </c>
      <c r="D55" s="154" t="s">
        <v>595</v>
      </c>
      <c r="E55" s="209">
        <f>'Lookup data'!B64</f>
        <v>143.61364</v>
      </c>
      <c r="F55" s="209">
        <f>'Lookup data'!C64</f>
        <v>143.62272999999999</v>
      </c>
      <c r="G55" s="209">
        <f>'Lookup data'!D64</f>
        <v>143.02841000000001</v>
      </c>
      <c r="H55" s="209">
        <f>'Lookup data'!E64</f>
        <v>134.14090999999999</v>
      </c>
      <c r="I55" s="209">
        <f>'Lookup data'!F64</f>
        <v>137.69091</v>
      </c>
      <c r="J55" s="154" t="str">
        <f>'Lookup data'!H64</f>
        <v>Chart 10a shows that the number of WTE ophthalmology doctors directly employed by the NHS in Wales has decreased since 2012. In 2016 there were 137.7 WTE ophthalmology doctors directly employed by this NHS in Wales which is 3.6 more than in 2015.</v>
      </c>
    </row>
    <row r="56" spans="1:12" s="154" customFormat="1" ht="10.15" x14ac:dyDescent="0.2">
      <c r="B56" s="154" t="s">
        <v>304</v>
      </c>
      <c r="C56" s="154">
        <v>2</v>
      </c>
      <c r="D56" s="154" t="s">
        <v>597</v>
      </c>
      <c r="E56" s="209">
        <f>'Lookup data'!B66</f>
        <v>109.89091000000001</v>
      </c>
      <c r="F56" s="209">
        <f>'Lookup data'!C66</f>
        <v>117.59090999999999</v>
      </c>
      <c r="G56" s="209">
        <f>'Lookup data'!D66</f>
        <v>122.8</v>
      </c>
      <c r="H56" s="209">
        <f>'Lookup data'!E66</f>
        <v>127.437</v>
      </c>
      <c r="I56" s="209">
        <f>'Lookup data'!F66</f>
        <v>133.55000000000001</v>
      </c>
      <c r="J56" s="154" t="str">
        <f>'Lookup data'!H65</f>
        <v>Chart 10b shows that the number of WTE staff in the area of otolaryngology directly employed by the NHS in Wales has increased since 2012. In 2016 there were 133.6 WTE staff in the area of otolaryngology directly employed by this NHS in Wales which is 6.2 more than in 2015.</v>
      </c>
    </row>
    <row r="57" spans="1:12" s="154" customFormat="1" ht="10.15" x14ac:dyDescent="0.2">
      <c r="B57" s="154" t="s">
        <v>303</v>
      </c>
      <c r="C57" s="154">
        <v>3</v>
      </c>
      <c r="D57" s="154" t="s">
        <v>596</v>
      </c>
      <c r="E57" s="209">
        <f>'Lookup data'!B65</f>
        <v>1.3</v>
      </c>
      <c r="F57" s="209">
        <f>'Lookup data'!C65</f>
        <v>0.3</v>
      </c>
      <c r="G57" s="209">
        <f>'Lookup data'!D65</f>
        <v>0.3</v>
      </c>
      <c r="H57" s="209">
        <f>'Lookup data'!E65</f>
        <v>1.7</v>
      </c>
      <c r="I57" s="209">
        <f>'Lookup data'!F65</f>
        <v>1.9</v>
      </c>
      <c r="J57" s="154" t="str">
        <f>'Lookup data'!H66</f>
        <v>Chart 10c shows that the number of WTE staff in the area of audiovestibular medicine directly employed by the NHS in Wales has increased since 2012. In 2016 there were 1.9 WTE staff in the area of audiovestibular medicine directly employed by this NHS in Wales which is 0.2 more than in 2015.</v>
      </c>
    </row>
    <row r="58" spans="1:12" s="154" customFormat="1" x14ac:dyDescent="0.2">
      <c r="B58" s="154">
        <v>1</v>
      </c>
    </row>
    <row r="59" spans="1:12" s="154" customFormat="1" x14ac:dyDescent="0.2">
      <c r="D59" s="154" t="str">
        <f>VLOOKUP($B$58,$C$55:$I$57,2,FALSE)</f>
        <v xml:space="preserve">Chart 10a: Ophthalmology doctors directly employed by the NHS </v>
      </c>
      <c r="E59" s="208">
        <f>VLOOKUP($B$58,$C$55:$I$57,3,FALSE)</f>
        <v>143.61364</v>
      </c>
      <c r="F59" s="208">
        <f>VLOOKUP($B$58,$C$55:$I$57,4,FALSE)</f>
        <v>143.62272999999999</v>
      </c>
      <c r="G59" s="208">
        <f>VLOOKUP($B$58,$C$55:$I$57,5,FALSE)</f>
        <v>143.02841000000001</v>
      </c>
      <c r="H59" s="208">
        <f>VLOOKUP($B$58,$C$55:$I$57,6,FALSE)</f>
        <v>134.14090999999999</v>
      </c>
      <c r="I59" s="208">
        <f>VLOOKUP($B$58,$C$55:$I$57,7,FALSE)</f>
        <v>137.69091</v>
      </c>
      <c r="J59" s="208" t="str">
        <f>VLOOKUP($B$58,$C$55:$J$57,8,FALSE)</f>
        <v>Chart 10a shows that the number of WTE ophthalmology doctors directly employed by the NHS in Wales has decreased since 2012. In 2016 there were 137.7 WTE ophthalmology doctors directly employed by this NHS in Wales which is 3.6 more than in 2015.</v>
      </c>
    </row>
    <row r="60" spans="1:12" x14ac:dyDescent="0.2">
      <c r="B60" s="203"/>
      <c r="C60" s="203"/>
      <c r="D60" s="203"/>
      <c r="E60" s="203"/>
      <c r="F60" s="203"/>
      <c r="G60" s="204"/>
    </row>
    <row r="61" spans="1:12" s="176" customFormat="1" ht="12.75" x14ac:dyDescent="0.2">
      <c r="A61" s="177" t="s">
        <v>197</v>
      </c>
      <c r="E61" s="178" t="s">
        <v>200</v>
      </c>
      <c r="F61" s="178" t="s">
        <v>201</v>
      </c>
      <c r="G61" s="178" t="s">
        <v>202</v>
      </c>
    </row>
    <row r="62" spans="1:12" s="176" customFormat="1" x14ac:dyDescent="0.2"/>
    <row r="63" spans="1:12" s="176" customFormat="1" x14ac:dyDescent="0.2">
      <c r="B63" s="201" t="s">
        <v>269</v>
      </c>
      <c r="C63" s="182">
        <v>1</v>
      </c>
      <c r="D63" s="176" t="s">
        <v>198</v>
      </c>
      <c r="E63" s="182">
        <f>'Lookup data'!B70</f>
        <v>421</v>
      </c>
      <c r="F63" s="182">
        <f>'Lookup data'!C70</f>
        <v>3940</v>
      </c>
      <c r="G63" s="182">
        <f>'Lookup data'!D70</f>
        <v>10132</v>
      </c>
      <c r="H63" s="182">
        <f>'Lookup data'!E72</f>
        <v>29518</v>
      </c>
      <c r="I63" s="182" t="str">
        <f>'Lookup data'!F72</f>
        <v>Wales</v>
      </c>
      <c r="J63" s="176" t="s">
        <v>227</v>
      </c>
      <c r="K63" s="176" t="s">
        <v>228</v>
      </c>
    </row>
    <row r="64" spans="1:12" s="176" customFormat="1" x14ac:dyDescent="0.2">
      <c r="B64" s="201" t="s">
        <v>291</v>
      </c>
      <c r="C64" s="202">
        <v>1.1000000000000001</v>
      </c>
      <c r="D64" s="176" t="s">
        <v>199</v>
      </c>
      <c r="E64" s="182">
        <f>'Lookup data'!B71</f>
        <v>184</v>
      </c>
      <c r="F64" s="182">
        <f>'Lookup data'!C71</f>
        <v>3038</v>
      </c>
      <c r="G64" s="182">
        <f>'Lookup data'!D71</f>
        <v>10258</v>
      </c>
    </row>
    <row r="65" spans="1:11" s="176" customFormat="1" x14ac:dyDescent="0.2">
      <c r="B65" s="201" t="s">
        <v>292</v>
      </c>
      <c r="C65" s="202">
        <v>1.2</v>
      </c>
      <c r="D65" s="176" t="s">
        <v>203</v>
      </c>
      <c r="E65" s="182">
        <f>'Lookup data'!B72</f>
        <v>15</v>
      </c>
      <c r="F65" s="182">
        <f>'Lookup data'!C72</f>
        <v>195</v>
      </c>
      <c r="G65" s="182">
        <f>'Lookup data'!D72</f>
        <v>1335</v>
      </c>
    </row>
    <row r="66" spans="1:11" s="176" customFormat="1" x14ac:dyDescent="0.2">
      <c r="B66" s="201" t="s">
        <v>293</v>
      </c>
      <c r="C66" s="182">
        <v>2</v>
      </c>
      <c r="D66" s="176" t="s">
        <v>265</v>
      </c>
      <c r="E66" s="182">
        <f>'Lookup data'!B73</f>
        <v>262</v>
      </c>
      <c r="F66" s="182">
        <f>'Lookup data'!C73</f>
        <v>2006</v>
      </c>
      <c r="G66" s="182">
        <f>'Lookup data'!D73</f>
        <v>5274</v>
      </c>
      <c r="H66" s="182">
        <f>SUM(E68:G68)</f>
        <v>14493</v>
      </c>
      <c r="I66" s="182" t="str">
        <f>I63</f>
        <v>Wales</v>
      </c>
      <c r="J66" s="176" t="s">
        <v>282</v>
      </c>
      <c r="K66" s="176" t="s">
        <v>288</v>
      </c>
    </row>
    <row r="67" spans="1:11" s="176" customFormat="1" x14ac:dyDescent="0.2">
      <c r="B67" s="201"/>
      <c r="C67" s="202">
        <v>2.1</v>
      </c>
      <c r="D67" s="176" t="s">
        <v>267</v>
      </c>
      <c r="E67" s="182">
        <f>'Lookup data'!B74</f>
        <v>159</v>
      </c>
      <c r="F67" s="182">
        <f>'Lookup data'!C74</f>
        <v>1934</v>
      </c>
      <c r="G67" s="182">
        <f>'Lookup data'!D74</f>
        <v>4858</v>
      </c>
    </row>
    <row r="68" spans="1:11" s="176" customFormat="1" x14ac:dyDescent="0.2">
      <c r="B68" s="201">
        <f>G138</f>
        <v>1</v>
      </c>
      <c r="C68" s="202">
        <v>2.2000000000000002</v>
      </c>
      <c r="D68" s="176" t="s">
        <v>270</v>
      </c>
      <c r="E68" s="182">
        <f>'Lookup data'!B75</f>
        <v>421</v>
      </c>
      <c r="F68" s="182">
        <f>'Lookup data'!C75</f>
        <v>3940</v>
      </c>
      <c r="G68" s="182">
        <f>'Lookup data'!D75</f>
        <v>10132</v>
      </c>
    </row>
    <row r="69" spans="1:11" s="176" customFormat="1" x14ac:dyDescent="0.2">
      <c r="B69" s="201">
        <f>B68+0.1</f>
        <v>1.1000000000000001</v>
      </c>
      <c r="C69" s="182">
        <v>3</v>
      </c>
      <c r="D69" s="176" t="s">
        <v>268</v>
      </c>
      <c r="E69" s="182">
        <f>'Lookup data'!B76</f>
        <v>76</v>
      </c>
      <c r="F69" s="182">
        <f>'Lookup data'!C76</f>
        <v>1207</v>
      </c>
      <c r="G69" s="182">
        <f>'Lookup data'!D76</f>
        <v>981</v>
      </c>
      <c r="H69" s="182">
        <f>SUM(E71:G71)</f>
        <v>13480</v>
      </c>
      <c r="I69" s="182" t="str">
        <f>I66</f>
        <v>Wales</v>
      </c>
      <c r="J69" s="176" t="s">
        <v>283</v>
      </c>
      <c r="K69" s="176" t="s">
        <v>287</v>
      </c>
    </row>
    <row r="70" spans="1:11" s="176" customFormat="1" x14ac:dyDescent="0.2">
      <c r="B70" s="201">
        <f>B68+0.2</f>
        <v>1.2</v>
      </c>
      <c r="C70" s="202">
        <v>3.1</v>
      </c>
      <c r="D70" s="176" t="s">
        <v>271</v>
      </c>
      <c r="E70" s="182">
        <f>'Lookup data'!B77</f>
        <v>108</v>
      </c>
      <c r="F70" s="182">
        <f>'Lookup data'!C77</f>
        <v>1831</v>
      </c>
      <c r="G70" s="182">
        <f>'Lookup data'!D77</f>
        <v>9277</v>
      </c>
    </row>
    <row r="71" spans="1:11" s="176" customFormat="1" x14ac:dyDescent="0.2">
      <c r="B71" s="201"/>
      <c r="C71" s="202">
        <v>3.2</v>
      </c>
      <c r="D71" s="176" t="s">
        <v>286</v>
      </c>
      <c r="E71" s="182">
        <f>'Lookup data'!B78</f>
        <v>184</v>
      </c>
      <c r="F71" s="182">
        <f>'Lookup data'!C78</f>
        <v>3038</v>
      </c>
      <c r="G71" s="182">
        <f>'Lookup data'!D78</f>
        <v>10258</v>
      </c>
    </row>
    <row r="72" spans="1:11" s="176" customFormat="1" x14ac:dyDescent="0.2">
      <c r="B72" s="201"/>
      <c r="C72" s="182">
        <v>4</v>
      </c>
      <c r="D72" s="176" t="s">
        <v>273</v>
      </c>
      <c r="E72" s="182">
        <f>'Lookup data'!B79</f>
        <v>10</v>
      </c>
      <c r="F72" s="182">
        <f>'Lookup data'!C79</f>
        <v>127</v>
      </c>
      <c r="G72" s="182">
        <f>'Lookup data'!D79</f>
        <v>702</v>
      </c>
      <c r="H72" s="182">
        <f>'Lookup data'!E81</f>
        <v>1545</v>
      </c>
      <c r="I72" s="182" t="str">
        <f>I69</f>
        <v>Wales</v>
      </c>
      <c r="J72" s="176" t="s">
        <v>284</v>
      </c>
      <c r="K72" s="176" t="s">
        <v>285</v>
      </c>
    </row>
    <row r="73" spans="1:11" s="176" customFormat="1" x14ac:dyDescent="0.2">
      <c r="B73" s="201"/>
      <c r="C73" s="202">
        <v>4.0999999999999996</v>
      </c>
      <c r="D73" s="176" t="s">
        <v>289</v>
      </c>
      <c r="E73" s="182">
        <f>'Lookup data'!B80</f>
        <v>0</v>
      </c>
      <c r="F73" s="182">
        <f>'Lookup data'!C80</f>
        <v>17</v>
      </c>
      <c r="G73" s="182">
        <f>'Lookup data'!D80</f>
        <v>50</v>
      </c>
    </row>
    <row r="74" spans="1:11" s="176" customFormat="1" x14ac:dyDescent="0.2">
      <c r="B74" s="190"/>
      <c r="C74" s="202">
        <v>4.2</v>
      </c>
      <c r="D74" s="176" t="s">
        <v>290</v>
      </c>
      <c r="E74" s="182">
        <f>'Lookup data'!B81</f>
        <v>5</v>
      </c>
      <c r="F74" s="182">
        <f>'Lookup data'!C81</f>
        <v>51</v>
      </c>
      <c r="G74" s="182">
        <f>'Lookup data'!D81</f>
        <v>583</v>
      </c>
    </row>
    <row r="75" spans="1:11" s="176" customFormat="1" x14ac:dyDescent="0.2">
      <c r="B75" s="190"/>
      <c r="C75" s="182"/>
      <c r="E75" s="182"/>
      <c r="F75" s="182"/>
      <c r="G75" s="182"/>
    </row>
    <row r="76" spans="1:11" s="176" customFormat="1" x14ac:dyDescent="0.2">
      <c r="B76" s="190"/>
      <c r="C76" s="182"/>
      <c r="D76" s="176" t="str">
        <f>VLOOKUP($B$68,$C$63:$K$74,2,FALSE)</f>
        <v>Sight impaired only</v>
      </c>
      <c r="E76" s="176">
        <f>VLOOKUP($B$68,$C$63:$K$74,3,FALSE)</f>
        <v>421</v>
      </c>
      <c r="F76" s="176">
        <f>VLOOKUP($B$68,$C$63:$K$74,4,FALSE)</f>
        <v>3940</v>
      </c>
      <c r="G76" s="176">
        <f>VLOOKUP($B$68,$C$63:$K$74,5,FALSE)</f>
        <v>10132</v>
      </c>
      <c r="H76" s="176">
        <f>VLOOKUP($B$68,$C$63:$K$74,6,FALSE)</f>
        <v>29518</v>
      </c>
      <c r="I76" s="176" t="str">
        <f>VLOOKUP($B$68,$C$63:$K$74,7,FALSE)</f>
        <v>Wales</v>
      </c>
      <c r="J76" s="176" t="str">
        <f>VLOOKUP($B$68,$C$63:$K$74,8,FALSE)</f>
        <v>sight impaired,</v>
      </c>
      <c r="K76" s="176" t="str">
        <f>VLOOKUP($B$68,$C$63:$K$74,9,FALSE)</f>
        <v>hearing impaired or both</v>
      </c>
    </row>
    <row r="77" spans="1:11" s="176" customFormat="1" x14ac:dyDescent="0.2">
      <c r="B77" s="190"/>
      <c r="C77" s="182"/>
      <c r="D77" s="176" t="str">
        <f>VLOOKUP($B$69,$C$63:$K$74,2,FALSE)</f>
        <v>Hearing impaired only</v>
      </c>
      <c r="E77" s="176">
        <f>VLOOKUP($B$69,$C$63:$K$74,3,FALSE)</f>
        <v>184</v>
      </c>
      <c r="F77" s="176">
        <f>VLOOKUP($B$69,$C$63:$K$74,4,FALSE)</f>
        <v>3038</v>
      </c>
      <c r="G77" s="176">
        <f>VLOOKUP($B$69,$C$63:$K$74,5,FALSE)</f>
        <v>10258</v>
      </c>
    </row>
    <row r="78" spans="1:11" s="176" customFormat="1" x14ac:dyDescent="0.2">
      <c r="B78" s="190"/>
      <c r="C78" s="182"/>
      <c r="D78" s="176" t="str">
        <f>VLOOKUP($B$70,$C$63:$K$74,2,FALSE)</f>
        <v>Hearing and sight impaired</v>
      </c>
      <c r="E78" s="176">
        <f>VLOOKUP($B$70,$C$63:$K$74,3,FALSE)</f>
        <v>15</v>
      </c>
      <c r="F78" s="176">
        <f>VLOOKUP($B$70,$C$63:$K$74,4,FALSE)</f>
        <v>195</v>
      </c>
      <c r="G78" s="176">
        <f>VLOOKUP($B$70,$C$63:$K$74,5,FALSE)</f>
        <v>1335</v>
      </c>
    </row>
    <row r="79" spans="1:11" x14ac:dyDescent="0.2">
      <c r="B79" s="186"/>
      <c r="C79" s="186"/>
      <c r="D79" s="186"/>
      <c r="E79" s="186"/>
    </row>
    <row r="80" spans="1:11" s="167" customFormat="1" x14ac:dyDescent="0.2">
      <c r="A80" s="169" t="s">
        <v>328</v>
      </c>
    </row>
    <row r="81" spans="1:17" s="167" customFormat="1" x14ac:dyDescent="0.2">
      <c r="B81" s="218" t="s">
        <v>338</v>
      </c>
      <c r="C81" s="167">
        <v>1</v>
      </c>
      <c r="E81" s="217" t="s">
        <v>6</v>
      </c>
      <c r="F81" s="217" t="s">
        <v>5</v>
      </c>
      <c r="G81" s="217" t="s">
        <v>4</v>
      </c>
      <c r="H81" s="217" t="s">
        <v>3</v>
      </c>
      <c r="I81" s="217" t="s">
        <v>81</v>
      </c>
    </row>
    <row r="82" spans="1:17" s="167" customFormat="1" x14ac:dyDescent="0.2">
      <c r="B82" s="167" t="s">
        <v>339</v>
      </c>
      <c r="C82" s="167">
        <v>1.1000000000000001</v>
      </c>
      <c r="D82" s="167" t="s">
        <v>329</v>
      </c>
      <c r="E82" s="183">
        <f>'Lookup data'!B92</f>
        <v>77701</v>
      </c>
      <c r="F82" s="183">
        <f>'Lookup data'!C92</f>
        <v>73170</v>
      </c>
      <c r="G82" s="183">
        <f>'Lookup data'!D92</f>
        <v>68306</v>
      </c>
      <c r="H82" s="183">
        <f>'Lookup data'!E92</f>
        <v>65787</v>
      </c>
      <c r="I82" s="183">
        <f>'Lookup data'!F92</f>
        <v>67847</v>
      </c>
      <c r="J82" s="223" t="str">
        <f>'Lookup data'!G92</f>
        <v>Chart 13a shows that the number of closed pathways for ophthalmology in Wales was 103,895 in 2016-17. 65 per cent of patients in 2016-17 were treated in less than 26 weeks, compared to 76 per cent in 2012-13.</v>
      </c>
      <c r="K82" s="224"/>
      <c r="L82" s="224"/>
      <c r="M82" s="224"/>
      <c r="N82" s="224"/>
      <c r="O82" s="224"/>
      <c r="P82" s="224"/>
    </row>
    <row r="83" spans="1:17" s="167" customFormat="1" x14ac:dyDescent="0.2">
      <c r="C83" s="167">
        <v>1.2</v>
      </c>
      <c r="D83" s="167" t="s">
        <v>330</v>
      </c>
      <c r="E83" s="183">
        <f>'Lookup data'!B93</f>
        <v>19263</v>
      </c>
      <c r="F83" s="183">
        <f>'Lookup data'!C93</f>
        <v>13754</v>
      </c>
      <c r="G83" s="183">
        <f>'Lookup data'!D93</f>
        <v>13405</v>
      </c>
      <c r="H83" s="183">
        <f>'Lookup data'!E93</f>
        <v>11286</v>
      </c>
      <c r="I83" s="183">
        <f>'Lookup data'!F93</f>
        <v>17728</v>
      </c>
      <c r="J83" s="224"/>
      <c r="K83" s="224"/>
      <c r="L83" s="224"/>
      <c r="M83" s="224"/>
      <c r="N83" s="224"/>
      <c r="O83" s="224"/>
      <c r="P83" s="224"/>
    </row>
    <row r="84" spans="1:17" s="167" customFormat="1" x14ac:dyDescent="0.2">
      <c r="B84" s="167">
        <v>2</v>
      </c>
      <c r="C84" s="167">
        <v>1.3</v>
      </c>
      <c r="D84" s="167" t="s">
        <v>331</v>
      </c>
      <c r="E84" s="183">
        <f>'Lookup data'!B94</f>
        <v>4650</v>
      </c>
      <c r="F84" s="183">
        <f>'Lookup data'!C94</f>
        <v>10922</v>
      </c>
      <c r="G84" s="183">
        <f>'Lookup data'!D94</f>
        <v>14307</v>
      </c>
      <c r="H84" s="183">
        <f>'Lookup data'!E94</f>
        <v>20702</v>
      </c>
      <c r="I84" s="183">
        <f>'Lookup data'!F94</f>
        <v>18320</v>
      </c>
      <c r="J84" s="225">
        <f>I82/SUM(I82:I84)</f>
        <v>0.65303431348958085</v>
      </c>
      <c r="K84" s="224" t="s">
        <v>55</v>
      </c>
      <c r="L84" s="224" t="s">
        <v>347</v>
      </c>
      <c r="M84" s="224" t="s">
        <v>350</v>
      </c>
      <c r="N84" s="224" t="s">
        <v>343</v>
      </c>
      <c r="O84" s="224" t="s">
        <v>344</v>
      </c>
      <c r="P84" s="224" t="str">
        <f>""</f>
        <v/>
      </c>
      <c r="Q84" s="167" t="str">
        <f>""</f>
        <v/>
      </c>
    </row>
    <row r="85" spans="1:17" s="167" customFormat="1" x14ac:dyDescent="0.2">
      <c r="B85" s="167">
        <f>B84+0.1</f>
        <v>2.1</v>
      </c>
      <c r="C85" s="167">
        <v>2</v>
      </c>
      <c r="E85" s="168">
        <v>2013</v>
      </c>
      <c r="F85" s="168">
        <v>2014</v>
      </c>
      <c r="G85" s="168">
        <v>2015</v>
      </c>
      <c r="H85" s="168">
        <v>2016</v>
      </c>
      <c r="I85" s="168">
        <v>2017</v>
      </c>
      <c r="J85" s="224"/>
      <c r="K85" s="224"/>
      <c r="L85" s="224"/>
      <c r="M85" s="224"/>
      <c r="N85" s="224"/>
      <c r="O85" s="224"/>
      <c r="P85" s="224"/>
    </row>
    <row r="86" spans="1:17" s="167" customFormat="1" x14ac:dyDescent="0.2">
      <c r="B86" s="167">
        <f>B84+0.2</f>
        <v>2.2000000000000002</v>
      </c>
      <c r="C86" s="167">
        <v>2.1</v>
      </c>
      <c r="D86" s="167" t="s">
        <v>329</v>
      </c>
      <c r="E86" s="183">
        <f>'Lookup data'!B96</f>
        <v>28987</v>
      </c>
      <c r="F86" s="183">
        <f>'Lookup data'!C96</f>
        <v>30583</v>
      </c>
      <c r="G86" s="183">
        <f>'Lookup data'!D96</f>
        <v>29799</v>
      </c>
      <c r="H86" s="183">
        <f>'Lookup data'!E96</f>
        <v>32479</v>
      </c>
      <c r="I86" s="183">
        <f>'Lookup data'!F96</f>
        <v>35633</v>
      </c>
      <c r="J86" s="223" t="str">
        <f>'Lookup data'!G96</f>
        <v>Chart 13b shows that there were 41,790 patient pathways were waiting for ophthalmology treatment in Wales as at March 2017. Overall 2 per cent of patient pathways had waited more than 36 weeks on their pathway as at 31 March 2017.</v>
      </c>
      <c r="K86" s="224"/>
      <c r="L86" s="224"/>
      <c r="M86" s="224"/>
      <c r="N86" s="224"/>
      <c r="O86" s="224"/>
      <c r="P86" s="224"/>
    </row>
    <row r="87" spans="1:17" s="167" customFormat="1" x14ac:dyDescent="0.2">
      <c r="B87" s="167">
        <f>B84+0.3</f>
        <v>2.2999999999999998</v>
      </c>
      <c r="C87" s="167">
        <v>2.2000000000000002</v>
      </c>
      <c r="D87" s="167" t="s">
        <v>330</v>
      </c>
      <c r="E87" s="183">
        <f>'Lookup data'!B97</f>
        <v>3891</v>
      </c>
      <c r="F87" s="183">
        <f>'Lookup data'!C97</f>
        <v>4331</v>
      </c>
      <c r="G87" s="183">
        <f>'Lookup data'!D97</f>
        <v>5455</v>
      </c>
      <c r="H87" s="183">
        <f>'Lookup data'!E97</f>
        <v>5234</v>
      </c>
      <c r="I87" s="183">
        <f>'Lookup data'!F97</f>
        <v>5401</v>
      </c>
      <c r="J87" s="224"/>
      <c r="K87" s="224"/>
      <c r="L87" s="224"/>
      <c r="M87" s="224"/>
      <c r="N87" s="224"/>
      <c r="O87" s="224"/>
      <c r="P87" s="224"/>
    </row>
    <row r="88" spans="1:17" s="167" customFormat="1" x14ac:dyDescent="0.2">
      <c r="C88" s="167">
        <v>2.2999999999999998</v>
      </c>
      <c r="D88" s="167" t="s">
        <v>331</v>
      </c>
      <c r="E88" s="183">
        <f>'Lookup data'!B98</f>
        <v>905</v>
      </c>
      <c r="F88" s="183">
        <f>'Lookup data'!C98</f>
        <v>1417</v>
      </c>
      <c r="G88" s="183">
        <f>'Lookup data'!D98</f>
        <v>3515</v>
      </c>
      <c r="H88" s="183">
        <f>'Lookup data'!E98</f>
        <v>2809</v>
      </c>
      <c r="I88" s="183">
        <f>'Lookup data'!F98</f>
        <v>756</v>
      </c>
      <c r="J88" s="226">
        <f>SUM(I86:I88)</f>
        <v>41790</v>
      </c>
      <c r="K88" s="224" t="s">
        <v>800</v>
      </c>
      <c r="L88" s="224" t="str">
        <f>'Lookup data'!G91</f>
        <v>Wales</v>
      </c>
      <c r="M88" s="224" t="s">
        <v>307</v>
      </c>
      <c r="N88" s="224" t="s">
        <v>348</v>
      </c>
      <c r="O88" s="224" t="s">
        <v>345</v>
      </c>
      <c r="P88" s="224" t="s">
        <v>346</v>
      </c>
      <c r="Q88" s="224" t="s">
        <v>349</v>
      </c>
    </row>
    <row r="89" spans="1:17" s="167" customFormat="1" x14ac:dyDescent="0.2">
      <c r="A89" s="167">
        <v>1</v>
      </c>
      <c r="B89" s="218" t="s">
        <v>618</v>
      </c>
      <c r="E89" s="183"/>
      <c r="F89" s="183"/>
      <c r="G89" s="183"/>
      <c r="H89" s="183"/>
      <c r="I89" s="183"/>
      <c r="J89" s="224"/>
      <c r="K89" s="224"/>
      <c r="L89" s="224"/>
      <c r="M89" s="224"/>
      <c r="N89" s="224"/>
      <c r="O89" s="224"/>
      <c r="P89" s="224"/>
    </row>
    <row r="90" spans="1:17" s="167" customFormat="1" x14ac:dyDescent="0.2">
      <c r="A90" s="167">
        <v>2</v>
      </c>
      <c r="B90" s="167" t="s">
        <v>619</v>
      </c>
      <c r="E90" s="219">
        <f>VLOOKUP($B84,$C$81:$I$88,3,FALSE)</f>
        <v>2013</v>
      </c>
      <c r="F90" s="219">
        <f>VLOOKUP($B84,$C$81:$I$88,4,FALSE)</f>
        <v>2014</v>
      </c>
      <c r="G90" s="219">
        <f>VLOOKUP($B84,$C$81:$I$88,5,FALSE)</f>
        <v>2015</v>
      </c>
      <c r="H90" s="219">
        <f>VLOOKUP($B84,$C$81:$I$88,6,FALSE)</f>
        <v>2016</v>
      </c>
      <c r="I90" s="219">
        <f>VLOOKUP($B84,$C$81:$I$88,7,FALSE)</f>
        <v>2017</v>
      </c>
      <c r="J90" s="224"/>
      <c r="K90" s="224"/>
      <c r="L90" s="224"/>
      <c r="M90" s="224"/>
      <c r="N90" s="224"/>
      <c r="O90" s="224"/>
      <c r="P90" s="224"/>
    </row>
    <row r="91" spans="1:17" s="167" customFormat="1" x14ac:dyDescent="0.2">
      <c r="D91" s="167" t="s">
        <v>329</v>
      </c>
      <c r="E91" s="183">
        <f>VLOOKUP($B85,$C$81:$I$88,3,FALSE)</f>
        <v>28987</v>
      </c>
      <c r="F91" s="183">
        <f>VLOOKUP($B85,$C$81:$I$88,4,FALSE)</f>
        <v>30583</v>
      </c>
      <c r="G91" s="183">
        <f>VLOOKUP($B85,$C$81:$I$88,5,FALSE)</f>
        <v>29799</v>
      </c>
      <c r="H91" s="183">
        <f>VLOOKUP($B85,$C$81:$I$88,6,FALSE)</f>
        <v>32479</v>
      </c>
      <c r="I91" s="183">
        <f>VLOOKUP($B85,$C$81:$I$88,7,FALSE)</f>
        <v>35633</v>
      </c>
      <c r="J91" s="223" t="str">
        <f>VLOOKUP($B85,$C$81:$J$88,8,FALSE)</f>
        <v>Chart 13b shows that there were 41,790 patient pathways were waiting for ophthalmology treatment in Wales as at March 2017. Overall 2 per cent of patient pathways had waited more than 36 weeks on their pathway as at 31 March 2017.</v>
      </c>
      <c r="K91" s="224"/>
      <c r="L91" s="224"/>
      <c r="M91" s="224"/>
      <c r="N91" s="224"/>
      <c r="O91" s="224"/>
      <c r="P91" s="224"/>
    </row>
    <row r="92" spans="1:17" s="167" customFormat="1" x14ac:dyDescent="0.2">
      <c r="B92" s="167" t="str">
        <f>VLOOKUP($B$84,$A$89:$B$90,2,FALSE)</f>
        <v xml:space="preserve">Chart 13b: Patient pathways for ophthalmology waiting to start treatment, by grouped weeks wait as at 31 March </v>
      </c>
      <c r="D92" s="167" t="s">
        <v>330</v>
      </c>
      <c r="E92" s="183">
        <f>VLOOKUP($B86,$C$81:$I$88,3,FALSE)</f>
        <v>3891</v>
      </c>
      <c r="F92" s="183">
        <f>VLOOKUP($B86,$C$81:$I$88,4,FALSE)</f>
        <v>4331</v>
      </c>
      <c r="G92" s="183">
        <f>VLOOKUP($B86,$C$81:$I$88,5,FALSE)</f>
        <v>5455</v>
      </c>
      <c r="H92" s="183">
        <f>VLOOKUP($B86,$C$81:$I$88,6,FALSE)</f>
        <v>5234</v>
      </c>
      <c r="I92" s="183">
        <f>VLOOKUP($B86,$C$81:$I$88,7,FALSE)</f>
        <v>5401</v>
      </c>
      <c r="J92" s="224"/>
      <c r="K92" s="224"/>
      <c r="L92" s="224"/>
      <c r="M92" s="224"/>
      <c r="N92" s="224"/>
      <c r="O92" s="224"/>
      <c r="P92" s="224"/>
    </row>
    <row r="93" spans="1:17" s="167" customFormat="1" x14ac:dyDescent="0.2">
      <c r="D93" s="167" t="s">
        <v>331</v>
      </c>
      <c r="E93" s="183">
        <f>VLOOKUP($B87,$C$81:$I$88,3,FALSE)</f>
        <v>905</v>
      </c>
      <c r="F93" s="183">
        <f>VLOOKUP($B87,$C$81:$I$88,4,FALSE)</f>
        <v>1417</v>
      </c>
      <c r="G93" s="183">
        <f>VLOOKUP($B87,$C$81:$I$88,5,FALSE)</f>
        <v>3515</v>
      </c>
      <c r="H93" s="183">
        <f>VLOOKUP($B87,$C$81:$I$88,6,FALSE)</f>
        <v>2809</v>
      </c>
      <c r="I93" s="183">
        <f>VLOOKUP($B87,$C$81:$I$88,7,FALSE)</f>
        <v>756</v>
      </c>
      <c r="J93" s="223">
        <f>VLOOKUP($B87,$C$81:$J$88,8,FALSE)</f>
        <v>41790</v>
      </c>
      <c r="K93" s="223" t="str">
        <f>VLOOKUP($B87,$C$81:$N$88,9,FALSE)</f>
        <v>patients in</v>
      </c>
      <c r="L93" s="223" t="str">
        <f>VLOOKUP($B87,$C$81:$N$88,10,FALSE)</f>
        <v>Wales</v>
      </c>
      <c r="M93" s="223" t="str">
        <f>VLOOKUP($B87,$C$81:$Q$88,11,FALSE)</f>
        <v>were</v>
      </c>
      <c r="N93" s="223" t="str">
        <f>VLOOKUP($B87,$C$81:$Q$88,12,FALSE)</f>
        <v xml:space="preserve"> waiting for</v>
      </c>
      <c r="O93" s="223" t="str">
        <f>VLOOKUP($B87,$C$81:$Q$88,13,FALSE)</f>
        <v xml:space="preserve"> ophthalmology</v>
      </c>
      <c r="P93" s="223" t="str">
        <f>VLOOKUP($B87,$C$81:$Q$88,14,FALSE)</f>
        <v xml:space="preserve"> treatment</v>
      </c>
      <c r="Q93" s="223" t="str">
        <f>VLOOKUP($B87,$C$81:$Q$88,15,FALSE)</f>
        <v xml:space="preserve"> as at March 2017</v>
      </c>
    </row>
    <row r="94" spans="1:17" ht="11.25" customHeight="1" x14ac:dyDescent="0.2"/>
    <row r="95" spans="1:17" s="172" customFormat="1" ht="12.75" x14ac:dyDescent="0.2">
      <c r="A95" s="171" t="s">
        <v>211</v>
      </c>
    </row>
    <row r="96" spans="1:17" s="172" customFormat="1" x14ac:dyDescent="0.2">
      <c r="E96" s="173" t="s">
        <v>214</v>
      </c>
      <c r="F96" s="173" t="s">
        <v>6</v>
      </c>
      <c r="G96" s="173" t="s">
        <v>5</v>
      </c>
      <c r="H96" s="173" t="s">
        <v>4</v>
      </c>
      <c r="I96" s="185" t="s">
        <v>3</v>
      </c>
      <c r="J96" s="172" t="s">
        <v>45</v>
      </c>
      <c r="K96" s="172" t="s">
        <v>262</v>
      </c>
    </row>
    <row r="97" spans="1:19" s="172" customFormat="1" x14ac:dyDescent="0.2">
      <c r="B97" s="172" t="s">
        <v>261</v>
      </c>
      <c r="C97" s="172">
        <v>1</v>
      </c>
      <c r="D97" s="172" t="s">
        <v>614</v>
      </c>
      <c r="E97" s="184">
        <f>'Lookup data'!B102</f>
        <v>16119</v>
      </c>
      <c r="F97" s="184">
        <f>'Lookup data'!C102</f>
        <v>16033</v>
      </c>
      <c r="G97" s="184">
        <f>'Lookup data'!D102</f>
        <v>16927</v>
      </c>
      <c r="H97" s="184">
        <f>'Lookup data'!E102</f>
        <v>16319</v>
      </c>
      <c r="I97" s="184">
        <f>'Lookup data'!F102</f>
        <v>18150</v>
      </c>
      <c r="J97" s="172" t="str">
        <f>'Lookup data'!G102</f>
        <v>Chart 14a shows that the number of hospital admissions for cataract procedures (1st and 2nd eye) in Wales increased by 2,031 from 2011-12 to 2015-16. Between 2014-15 and 2015-16 there was an increase of 1,831.</v>
      </c>
      <c r="K97" s="172" t="str">
        <f>""</f>
        <v/>
      </c>
    </row>
    <row r="98" spans="1:19" s="172" customFormat="1" x14ac:dyDescent="0.2">
      <c r="B98" s="172" t="s">
        <v>260</v>
      </c>
      <c r="C98" s="172">
        <v>2</v>
      </c>
      <c r="D98" s="172" t="s">
        <v>615</v>
      </c>
      <c r="E98" s="184">
        <f>'Lookup data'!B103</f>
        <v>85770</v>
      </c>
      <c r="F98" s="184">
        <f>'Lookup data'!C103</f>
        <v>83169</v>
      </c>
      <c r="G98" s="184">
        <f>'Lookup data'!D103</f>
        <v>80582</v>
      </c>
      <c r="H98" s="184">
        <f>'Lookup data'!E103</f>
        <v>76346</v>
      </c>
      <c r="I98" s="184">
        <f>'Lookup data'!F103</f>
        <v>78656</v>
      </c>
      <c r="J98" s="172" t="str">
        <f>'Lookup data'!G103</f>
        <v>Chart 14b shows that the number of outpatient attendances (new and follow up) for ophthalmology in Wales has decreased over 5 years. Between 2014-15 and 2015-16, the number of new outpatient attendances increased by 2,310, while the number of follow up outpatient attendances decreased by 2,783.</v>
      </c>
      <c r="K98" s="172" t="str">
        <f>""</f>
        <v/>
      </c>
    </row>
    <row r="99" spans="1:19" s="172" customFormat="1" x14ac:dyDescent="0.2">
      <c r="B99" s="172" t="s">
        <v>235</v>
      </c>
      <c r="E99" s="184">
        <f>'Lookup data'!B104</f>
        <v>254434</v>
      </c>
      <c r="F99" s="184">
        <f>'Lookup data'!C104</f>
        <v>247697</v>
      </c>
      <c r="G99" s="184">
        <f>'Lookup data'!D104</f>
        <v>249110</v>
      </c>
      <c r="H99" s="184">
        <f>'Lookup data'!E104</f>
        <v>246266</v>
      </c>
      <c r="I99" s="184">
        <f>'Lookup data'!F104</f>
        <v>243483</v>
      </c>
    </row>
    <row r="100" spans="1:19" s="172" customFormat="1" x14ac:dyDescent="0.2">
      <c r="B100" s="172" t="s">
        <v>236</v>
      </c>
      <c r="C100" s="172">
        <v>3</v>
      </c>
      <c r="D100" s="172" t="s">
        <v>616</v>
      </c>
      <c r="E100" s="184">
        <f>'Lookup data'!B105</f>
        <v>3305</v>
      </c>
      <c r="F100" s="184">
        <f>'Lookup data'!C105</f>
        <v>2872</v>
      </c>
      <c r="G100" s="184">
        <f>'Lookup data'!D105</f>
        <v>2968</v>
      </c>
      <c r="H100" s="184">
        <f>'Lookup data'!E105</f>
        <v>3119</v>
      </c>
      <c r="I100" s="184">
        <f>'Lookup data'!F105</f>
        <v>3086</v>
      </c>
      <c r="J100" s="172" t="str">
        <f>'Lookup data'!G105</f>
        <v>Chart 14c shows that the number of admissions for procedures relating to hearing loss in Wales has gone down over 5 years. In 2015-16 the figure was 3,086 which was 33 less than in 2014-15.</v>
      </c>
      <c r="K100" s="172" t="s">
        <v>263</v>
      </c>
    </row>
    <row r="101" spans="1:19" s="172" customFormat="1" x14ac:dyDescent="0.2">
      <c r="C101" s="172">
        <v>4</v>
      </c>
      <c r="D101" s="172" t="s">
        <v>617</v>
      </c>
      <c r="E101" s="184">
        <f>'Lookup data'!B106</f>
        <v>4641</v>
      </c>
      <c r="F101" s="184">
        <f>'Lookup data'!C106</f>
        <v>4715</v>
      </c>
      <c r="G101" s="184">
        <f>'Lookup data'!D106</f>
        <v>4902</v>
      </c>
      <c r="H101" s="184">
        <f>'Lookup data'!E106</f>
        <v>5617</v>
      </c>
      <c r="I101" s="184">
        <f>'Lookup data'!F106</f>
        <v>6165</v>
      </c>
      <c r="J101" s="172" t="str">
        <f>'Lookup data'!G106</f>
        <v>Chart 14d shows that the number of admissions for a diagnosis relating to hearing loss in Wales has increased over 5 years. The figure in 2015-16 reached 6,165 which was 548 more than in 2014-15.</v>
      </c>
      <c r="K101" s="172" t="s">
        <v>264</v>
      </c>
    </row>
    <row r="102" spans="1:19" s="172" customFormat="1" x14ac:dyDescent="0.2">
      <c r="B102" s="172">
        <f>Y135</f>
        <v>2</v>
      </c>
      <c r="E102" s="184"/>
      <c r="F102" s="184"/>
      <c r="G102" s="184"/>
      <c r="H102" s="184"/>
      <c r="I102" s="184"/>
    </row>
    <row r="103" spans="1:19" s="172" customFormat="1" x14ac:dyDescent="0.2">
      <c r="C103" s="172" t="s">
        <v>623</v>
      </c>
      <c r="D103" s="172" t="str">
        <f>VLOOKUP($B$102,$C$97:$J$101,2,FALSE)</f>
        <v>Chart 14b: Number of outpatient attendances (new and follow up) for ophthalmology</v>
      </c>
      <c r="E103" s="184">
        <f>VLOOKUP($B$102,$C$97:$J$101,3,FALSE)</f>
        <v>85770</v>
      </c>
      <c r="F103" s="184">
        <f>VLOOKUP($B$102,$C$97:$J$101,4,FALSE)</f>
        <v>83169</v>
      </c>
      <c r="G103" s="184">
        <f>VLOOKUP($B$102,$C$97:$J$101,5,FALSE)</f>
        <v>80582</v>
      </c>
      <c r="H103" s="184">
        <f>VLOOKUP($B$102,$C$97:$J$101,6,FALSE)</f>
        <v>76346</v>
      </c>
      <c r="I103" s="184">
        <f>VLOOKUP($B$102,$C$97:$J$101,7,FALSE)</f>
        <v>78656</v>
      </c>
      <c r="J103" s="172" t="str">
        <f>VLOOKUP($B$102,$C$97:$J$101,8,FALSE)</f>
        <v>Chart 14b shows that the number of outpatient attendances (new and follow up) for ophthalmology in Wales has decreased over 5 years. Between 2014-15 and 2015-16, the number of new outpatient attendances increased by 2,310, while the number of follow up outpatient attendances decreased by 2,783.</v>
      </c>
      <c r="K103" s="172" t="str">
        <f>VLOOKUP($B$102,$C$97:$K$101,9,FALSE)</f>
        <v/>
      </c>
    </row>
    <row r="104" spans="1:19" s="172" customFormat="1" x14ac:dyDescent="0.2">
      <c r="C104" s="172" t="s">
        <v>624</v>
      </c>
      <c r="E104" s="184">
        <f>IF($B$102=2,E99,0)</f>
        <v>254434</v>
      </c>
      <c r="F104" s="184">
        <f>IF($B$102=2,F99,0)</f>
        <v>247697</v>
      </c>
      <c r="G104" s="184">
        <f>IF($B$102=2,G99,0)</f>
        <v>249110</v>
      </c>
      <c r="H104" s="184">
        <f>IF($B$102=2,H99,0)</f>
        <v>246266</v>
      </c>
      <c r="I104" s="184">
        <f>IF($B$102=2,I99,0)</f>
        <v>243483</v>
      </c>
    </row>
    <row r="106" spans="1:19" ht="12.75" x14ac:dyDescent="0.2">
      <c r="E106" s="186"/>
      <c r="F106" s="186"/>
      <c r="G106" s="186"/>
      <c r="H106" s="186"/>
      <c r="I106" s="186"/>
      <c r="L106" s="227"/>
      <c r="M106" s="171" t="s">
        <v>211</v>
      </c>
      <c r="N106" s="172"/>
      <c r="O106" s="200"/>
      <c r="P106" s="200"/>
      <c r="Q106" s="200"/>
      <c r="R106" s="200"/>
      <c r="S106" s="227"/>
    </row>
    <row r="107" spans="1:19" x14ac:dyDescent="0.2">
      <c r="K107" s="259"/>
      <c r="L107" s="260"/>
      <c r="M107" s="260"/>
      <c r="N107" s="227"/>
      <c r="O107" s="227"/>
      <c r="P107" s="227"/>
      <c r="Q107" s="227"/>
      <c r="R107" s="227"/>
      <c r="S107" s="227"/>
    </row>
    <row r="108" spans="1:19" ht="12.75" x14ac:dyDescent="0.2">
      <c r="A108" s="262" t="s">
        <v>197</v>
      </c>
      <c r="B108" s="263"/>
      <c r="C108" s="263"/>
      <c r="K108" s="259"/>
      <c r="L108" s="260"/>
      <c r="M108" s="260"/>
      <c r="N108" s="227"/>
      <c r="O108" s="227"/>
      <c r="P108" s="227"/>
      <c r="Q108" s="227"/>
      <c r="R108" s="227"/>
      <c r="S108" s="227"/>
    </row>
    <row r="109" spans="1:19" x14ac:dyDescent="0.2">
      <c r="A109" s="227"/>
      <c r="K109" s="261"/>
      <c r="L109" s="261"/>
      <c r="M109" s="261"/>
      <c r="N109" s="227"/>
      <c r="O109" s="227"/>
      <c r="P109" s="227"/>
      <c r="Q109" s="227"/>
      <c r="R109" s="227"/>
      <c r="S109" s="227"/>
    </row>
    <row r="110" spans="1:19" x14ac:dyDescent="0.2">
      <c r="A110" s="227"/>
      <c r="K110" s="261"/>
      <c r="L110" s="261"/>
      <c r="M110" s="261"/>
      <c r="N110" s="227"/>
      <c r="O110" s="227"/>
      <c r="P110" s="227"/>
      <c r="Q110" s="227"/>
      <c r="R110" s="227"/>
      <c r="S110" s="227"/>
    </row>
    <row r="111" spans="1:19" x14ac:dyDescent="0.2">
      <c r="A111" s="227"/>
      <c r="L111" s="227"/>
      <c r="M111" s="227"/>
      <c r="N111" s="227"/>
      <c r="O111" s="227"/>
      <c r="P111" s="227"/>
      <c r="Q111" s="227"/>
      <c r="R111" s="227"/>
      <c r="S111" s="227"/>
    </row>
    <row r="112" spans="1:19" x14ac:dyDescent="0.2">
      <c r="A112" s="227"/>
      <c r="L112" s="227"/>
      <c r="M112" s="227"/>
      <c r="N112" s="227"/>
      <c r="O112" s="227"/>
      <c r="P112" s="227"/>
      <c r="Q112" s="227"/>
      <c r="R112" s="227"/>
      <c r="S112" s="227"/>
    </row>
    <row r="113" spans="1:19" x14ac:dyDescent="0.2">
      <c r="A113" s="227"/>
      <c r="L113" s="227"/>
      <c r="M113" s="227"/>
      <c r="N113" s="227"/>
      <c r="O113" s="227"/>
      <c r="P113" s="227"/>
      <c r="Q113" s="227"/>
      <c r="R113" s="227"/>
      <c r="S113" s="227"/>
    </row>
    <row r="114" spans="1:19" x14ac:dyDescent="0.2">
      <c r="A114" s="227"/>
      <c r="L114" s="227"/>
      <c r="M114" s="227"/>
      <c r="N114" s="227"/>
      <c r="O114" s="227"/>
      <c r="P114" s="227"/>
      <c r="Q114" s="227"/>
      <c r="R114" s="227"/>
      <c r="S114" s="227"/>
    </row>
    <row r="115" spans="1:19" x14ac:dyDescent="0.2">
      <c r="A115" s="227"/>
      <c r="L115" s="227"/>
      <c r="M115" s="227"/>
      <c r="N115" s="227"/>
      <c r="O115" s="227"/>
      <c r="P115" s="227"/>
      <c r="Q115" s="227"/>
      <c r="R115" s="227"/>
      <c r="S115" s="227"/>
    </row>
    <row r="116" spans="1:19" x14ac:dyDescent="0.2">
      <c r="A116" s="227"/>
      <c r="L116" s="227"/>
      <c r="M116" s="227"/>
      <c r="N116" s="227"/>
      <c r="O116" s="227"/>
      <c r="P116" s="227"/>
      <c r="Q116" s="227"/>
      <c r="R116" s="227"/>
      <c r="S116" s="227"/>
    </row>
    <row r="117" spans="1:19" x14ac:dyDescent="0.2">
      <c r="A117" s="227"/>
      <c r="L117" s="227"/>
      <c r="M117" s="227"/>
      <c r="N117" s="227"/>
      <c r="O117" s="227"/>
      <c r="P117" s="227"/>
      <c r="Q117" s="227"/>
      <c r="R117" s="227"/>
      <c r="S117" s="227"/>
    </row>
    <row r="118" spans="1:19" x14ac:dyDescent="0.2">
      <c r="A118" s="227"/>
      <c r="L118" s="227"/>
      <c r="M118" s="227"/>
      <c r="N118" s="227"/>
      <c r="O118" s="227"/>
      <c r="P118" s="227"/>
      <c r="Q118" s="227"/>
      <c r="R118" s="227"/>
      <c r="S118" s="227"/>
    </row>
    <row r="119" spans="1:19" x14ac:dyDescent="0.2">
      <c r="A119" s="227"/>
      <c r="L119" s="227"/>
      <c r="M119" s="227"/>
      <c r="N119" s="227"/>
      <c r="O119" s="227"/>
      <c r="P119" s="227"/>
      <c r="Q119" s="227"/>
      <c r="R119" s="227"/>
      <c r="S119" s="227"/>
    </row>
    <row r="120" spans="1:19" x14ac:dyDescent="0.2">
      <c r="A120" s="227"/>
      <c r="L120" s="227"/>
      <c r="M120" s="227"/>
      <c r="N120" s="227"/>
      <c r="O120" s="227"/>
      <c r="P120" s="227"/>
      <c r="Q120" s="227"/>
      <c r="R120" s="227"/>
      <c r="S120" s="227"/>
    </row>
    <row r="121" spans="1:19" x14ac:dyDescent="0.2">
      <c r="A121" s="227"/>
      <c r="L121" s="227"/>
      <c r="M121" s="227"/>
      <c r="N121" s="227"/>
      <c r="O121" s="227"/>
      <c r="P121" s="227"/>
      <c r="Q121" s="227"/>
      <c r="R121" s="227"/>
      <c r="S121" s="227"/>
    </row>
    <row r="122" spans="1:19" x14ac:dyDescent="0.2">
      <c r="A122" s="227"/>
      <c r="L122" s="227"/>
      <c r="M122" s="227"/>
      <c r="N122" s="227"/>
      <c r="O122" s="227"/>
      <c r="P122" s="227"/>
      <c r="Q122" s="227"/>
      <c r="R122" s="227"/>
      <c r="S122" s="227"/>
    </row>
    <row r="123" spans="1:19" x14ac:dyDescent="0.2">
      <c r="A123" s="227"/>
      <c r="L123" s="227"/>
      <c r="M123" s="227"/>
      <c r="N123" s="227"/>
      <c r="O123" s="227"/>
      <c r="P123" s="227"/>
      <c r="Q123" s="227"/>
      <c r="R123" s="227"/>
      <c r="S123" s="227"/>
    </row>
    <row r="124" spans="1:19" x14ac:dyDescent="0.2">
      <c r="A124" s="227"/>
      <c r="L124" s="227"/>
      <c r="M124" s="227"/>
      <c r="N124" s="227"/>
      <c r="O124" s="227"/>
      <c r="P124" s="227"/>
      <c r="Q124" s="227"/>
      <c r="R124" s="227"/>
      <c r="S124" s="227"/>
    </row>
    <row r="125" spans="1:19" x14ac:dyDescent="0.2">
      <c r="A125" s="227"/>
      <c r="L125" s="227"/>
      <c r="M125" s="227"/>
      <c r="N125" s="227"/>
      <c r="O125" s="227"/>
      <c r="P125" s="227"/>
      <c r="Q125" s="227"/>
      <c r="R125" s="227"/>
      <c r="S125" s="227"/>
    </row>
    <row r="126" spans="1:19" x14ac:dyDescent="0.2">
      <c r="A126" s="227"/>
      <c r="L126" s="227"/>
      <c r="M126" s="227"/>
      <c r="N126" s="227"/>
      <c r="O126" s="227"/>
      <c r="P126" s="227"/>
      <c r="Q126" s="227"/>
      <c r="R126" s="227"/>
      <c r="S126" s="227"/>
    </row>
    <row r="127" spans="1:19" x14ac:dyDescent="0.2">
      <c r="A127" s="227"/>
      <c r="L127" s="227"/>
      <c r="M127" s="227"/>
      <c r="N127" s="227"/>
      <c r="O127" s="227"/>
      <c r="P127" s="227"/>
      <c r="Q127" s="227"/>
      <c r="R127" s="227"/>
      <c r="S127" s="227"/>
    </row>
    <row r="128" spans="1:19" x14ac:dyDescent="0.2">
      <c r="A128" s="227"/>
      <c r="L128" s="227"/>
      <c r="M128" s="227"/>
      <c r="N128" s="227"/>
      <c r="O128" s="227"/>
      <c r="P128" s="227"/>
      <c r="Q128" s="227"/>
      <c r="R128" s="227"/>
      <c r="S128" s="227"/>
    </row>
    <row r="129" spans="1:25" x14ac:dyDescent="0.2">
      <c r="A129" s="227"/>
      <c r="L129" s="227"/>
      <c r="M129" s="260"/>
      <c r="N129" s="227"/>
      <c r="O129" s="227"/>
      <c r="P129" s="227"/>
      <c r="Q129" s="227"/>
      <c r="R129" s="227"/>
      <c r="S129" s="227"/>
    </row>
    <row r="130" spans="1:25" x14ac:dyDescent="0.2">
      <c r="A130" s="227"/>
      <c r="L130" s="227"/>
      <c r="M130" s="260"/>
      <c r="N130" s="227"/>
      <c r="O130" s="227"/>
      <c r="P130" s="227"/>
      <c r="Q130" s="227"/>
      <c r="R130" s="227"/>
      <c r="S130" s="227"/>
    </row>
    <row r="131" spans="1:25" x14ac:dyDescent="0.2">
      <c r="A131" s="227"/>
      <c r="L131" s="227"/>
      <c r="M131" s="261"/>
      <c r="N131" s="227"/>
      <c r="O131" s="227"/>
      <c r="P131" s="227"/>
      <c r="Q131" s="227"/>
      <c r="R131" s="227"/>
      <c r="S131" s="227"/>
    </row>
    <row r="132" spans="1:25" x14ac:dyDescent="0.2">
      <c r="A132" s="227"/>
      <c r="L132" s="227"/>
      <c r="M132" s="261"/>
      <c r="N132" s="227"/>
      <c r="O132" s="227"/>
      <c r="P132" s="227"/>
      <c r="Q132" s="227"/>
      <c r="R132" s="227"/>
      <c r="S132" s="227"/>
    </row>
    <row r="133" spans="1:25" x14ac:dyDescent="0.2">
      <c r="A133" s="227"/>
      <c r="L133" s="227"/>
      <c r="M133" s="227"/>
      <c r="N133" s="227"/>
      <c r="O133" s="227"/>
      <c r="P133" s="227"/>
      <c r="Q133" s="227"/>
      <c r="R133" s="227"/>
      <c r="S133" s="227"/>
    </row>
    <row r="134" spans="1:25" x14ac:dyDescent="0.2">
      <c r="A134" s="227"/>
      <c r="L134" s="227"/>
      <c r="M134" s="227"/>
      <c r="N134" s="227"/>
      <c r="O134" s="227"/>
      <c r="P134" s="227"/>
      <c r="Q134" s="227"/>
      <c r="R134" s="227"/>
      <c r="S134" s="227"/>
    </row>
    <row r="135" spans="1:25" x14ac:dyDescent="0.2">
      <c r="A135" s="227"/>
      <c r="L135" s="227"/>
      <c r="M135" s="227"/>
      <c r="N135" s="227"/>
      <c r="O135" s="227"/>
      <c r="P135" s="227"/>
      <c r="Q135" s="227"/>
      <c r="R135" s="227"/>
      <c r="S135" s="227"/>
      <c r="Y135" s="36">
        <v>2</v>
      </c>
    </row>
    <row r="136" spans="1:25" x14ac:dyDescent="0.2">
      <c r="A136" s="227"/>
      <c r="L136" s="227"/>
      <c r="M136" s="227"/>
      <c r="N136" s="227"/>
      <c r="O136" s="227"/>
      <c r="P136" s="227"/>
      <c r="Q136" s="227"/>
      <c r="R136" s="227"/>
      <c r="S136" s="227"/>
    </row>
    <row r="137" spans="1:25" x14ac:dyDescent="0.2">
      <c r="A137" s="227"/>
      <c r="L137" s="227"/>
      <c r="M137" s="227"/>
      <c r="N137" s="227"/>
      <c r="O137" s="227"/>
      <c r="P137" s="227"/>
      <c r="Q137" s="227"/>
      <c r="R137" s="227"/>
      <c r="S137" s="227"/>
    </row>
    <row r="138" spans="1:25" x14ac:dyDescent="0.2">
      <c r="A138" s="227"/>
      <c r="E138" s="36" t="b">
        <v>0</v>
      </c>
      <c r="F138" s="36" t="b">
        <v>0</v>
      </c>
      <c r="G138" s="36">
        <f>IF(AND(E138=TRUE,F138=TRUE),4,IF(AND(E138=FALSE,F138=TRUE),3,IF(AND(E138=TRUE,F138=FALSE),2,IF(AND(E138=FALSE,F138=FALSE),1,"Error"))))</f>
        <v>1</v>
      </c>
      <c r="L138" s="227"/>
      <c r="M138" s="227"/>
      <c r="N138" s="227"/>
      <c r="O138" s="227"/>
      <c r="P138" s="227"/>
      <c r="Q138" s="227"/>
      <c r="R138" s="227"/>
      <c r="S138" s="227"/>
    </row>
    <row r="139" spans="1:25" x14ac:dyDescent="0.2">
      <c r="A139" s="227"/>
      <c r="L139" s="227"/>
      <c r="M139" s="227"/>
      <c r="N139" s="227"/>
      <c r="O139" s="227"/>
      <c r="P139" s="227"/>
      <c r="Q139" s="227"/>
      <c r="R139" s="227"/>
      <c r="S139" s="227"/>
    </row>
    <row r="140" spans="1:25" x14ac:dyDescent="0.2">
      <c r="A140" s="227"/>
      <c r="L140" s="227"/>
      <c r="M140" s="227"/>
      <c r="N140" s="227"/>
      <c r="O140" s="227"/>
      <c r="P140" s="227"/>
      <c r="Q140" s="227"/>
      <c r="R140" s="227"/>
      <c r="S140" s="227"/>
    </row>
    <row r="141" spans="1:25" x14ac:dyDescent="0.2">
      <c r="A141" s="227"/>
      <c r="L141" s="227"/>
      <c r="M141" s="227"/>
      <c r="N141" s="227"/>
      <c r="O141" s="227"/>
      <c r="P141" s="227"/>
      <c r="Q141" s="227"/>
      <c r="R141" s="227"/>
      <c r="S141" s="227"/>
    </row>
    <row r="142" spans="1:25" x14ac:dyDescent="0.2">
      <c r="A142" s="227"/>
      <c r="L142" s="227"/>
      <c r="M142" s="227"/>
      <c r="N142" s="227"/>
      <c r="O142" s="227"/>
      <c r="P142" s="227"/>
      <c r="Q142" s="227"/>
      <c r="R142" s="227"/>
      <c r="S142" s="227"/>
    </row>
    <row r="143" spans="1:25" x14ac:dyDescent="0.2">
      <c r="A143" s="227"/>
      <c r="L143" s="227"/>
      <c r="M143" s="227"/>
      <c r="N143" s="227"/>
      <c r="O143" s="227"/>
      <c r="P143" s="227"/>
      <c r="Q143" s="227"/>
      <c r="R143" s="227"/>
      <c r="S143" s="227"/>
    </row>
    <row r="144" spans="1:25" x14ac:dyDescent="0.2">
      <c r="A144" s="227"/>
      <c r="L144" s="227"/>
      <c r="M144" s="227"/>
      <c r="N144" s="227"/>
      <c r="O144" s="227"/>
      <c r="P144" s="227"/>
      <c r="Q144" s="227"/>
      <c r="R144" s="227"/>
      <c r="S144" s="227"/>
    </row>
    <row r="145" spans="1:19" x14ac:dyDescent="0.2">
      <c r="A145" s="227"/>
      <c r="L145" s="227"/>
      <c r="M145" s="227"/>
      <c r="N145" s="227"/>
      <c r="O145" s="227"/>
      <c r="P145" s="227"/>
      <c r="Q145" s="227"/>
      <c r="R145" s="227"/>
      <c r="S145" s="227"/>
    </row>
    <row r="146" spans="1:19" x14ac:dyDescent="0.2">
      <c r="A146" s="227"/>
      <c r="L146" s="227"/>
      <c r="M146" s="227"/>
      <c r="N146" s="227"/>
      <c r="O146" s="227"/>
      <c r="P146" s="227"/>
      <c r="Q146" s="227"/>
      <c r="R146" s="227"/>
      <c r="S146" s="227"/>
    </row>
    <row r="147" spans="1:19" x14ac:dyDescent="0.2">
      <c r="A147" s="227"/>
      <c r="L147" s="227"/>
      <c r="M147" s="227"/>
      <c r="N147" s="227"/>
      <c r="O147" s="227"/>
      <c r="P147" s="227"/>
      <c r="Q147" s="227"/>
      <c r="R147" s="227"/>
      <c r="S147" s="227"/>
    </row>
    <row r="148" spans="1:19" x14ac:dyDescent="0.2">
      <c r="A148" s="227"/>
      <c r="L148" s="227"/>
      <c r="M148" s="227"/>
      <c r="N148" s="227"/>
      <c r="O148" s="227"/>
      <c r="P148" s="227"/>
      <c r="Q148" s="227"/>
      <c r="R148" s="227"/>
      <c r="S148" s="227"/>
    </row>
    <row r="149" spans="1:19" x14ac:dyDescent="0.2">
      <c r="A149" s="227"/>
      <c r="L149" s="227"/>
      <c r="M149" s="227"/>
      <c r="N149" s="227"/>
      <c r="O149" s="227"/>
      <c r="P149" s="227"/>
      <c r="Q149" s="227"/>
      <c r="R149" s="227"/>
      <c r="S149" s="227"/>
    </row>
    <row r="150" spans="1:19" x14ac:dyDescent="0.2">
      <c r="A150" s="227"/>
      <c r="L150" s="227"/>
      <c r="M150" s="227"/>
      <c r="N150" s="227"/>
      <c r="O150" s="227"/>
      <c r="P150" s="227"/>
      <c r="Q150" s="227"/>
      <c r="R150" s="227"/>
      <c r="S150" s="227"/>
    </row>
    <row r="151" spans="1:19" x14ac:dyDescent="0.2">
      <c r="A151" s="227"/>
      <c r="L151" s="227"/>
      <c r="M151" s="260"/>
      <c r="N151" s="227"/>
      <c r="O151" s="227"/>
      <c r="P151" s="227"/>
      <c r="Q151" s="227"/>
      <c r="R151" s="227"/>
      <c r="S151" s="227"/>
    </row>
    <row r="152" spans="1:19" x14ac:dyDescent="0.2">
      <c r="A152" s="227"/>
      <c r="L152" s="227"/>
      <c r="M152" s="260"/>
      <c r="N152" s="227"/>
      <c r="O152" s="227"/>
      <c r="P152" s="227"/>
      <c r="Q152" s="227"/>
      <c r="R152" s="227"/>
      <c r="S152" s="227"/>
    </row>
    <row r="153" spans="1:19" x14ac:dyDescent="0.2">
      <c r="A153" s="227"/>
      <c r="L153" s="227"/>
      <c r="M153" s="261"/>
      <c r="N153" s="227"/>
      <c r="O153" s="227"/>
      <c r="P153" s="227"/>
      <c r="Q153" s="227"/>
      <c r="R153" s="227"/>
      <c r="S153" s="227"/>
    </row>
    <row r="154" spans="1:19" x14ac:dyDescent="0.2">
      <c r="A154" s="227"/>
      <c r="L154" s="227"/>
      <c r="M154" s="261"/>
      <c r="N154" s="227"/>
      <c r="O154" s="227"/>
      <c r="P154" s="227"/>
      <c r="Q154" s="227"/>
      <c r="R154" s="227"/>
      <c r="S154" s="227"/>
    </row>
    <row r="155" spans="1:19" x14ac:dyDescent="0.2">
      <c r="A155" s="227"/>
      <c r="L155" s="227"/>
      <c r="M155" s="227"/>
      <c r="N155" s="227"/>
      <c r="O155" s="227"/>
      <c r="P155" s="227"/>
      <c r="Q155" s="227"/>
      <c r="R155" s="227"/>
      <c r="S155" s="227"/>
    </row>
    <row r="156" spans="1:19" x14ac:dyDescent="0.2">
      <c r="A156" s="227"/>
      <c r="L156" s="227"/>
      <c r="M156" s="227"/>
      <c r="N156" s="227"/>
      <c r="O156" s="227"/>
      <c r="P156" s="227"/>
      <c r="Q156" s="227"/>
      <c r="R156" s="227"/>
      <c r="S156" s="227"/>
    </row>
    <row r="157" spans="1:19" x14ac:dyDescent="0.2">
      <c r="A157" s="227"/>
      <c r="L157" s="227"/>
      <c r="M157" s="227"/>
      <c r="N157" s="227"/>
      <c r="O157" s="227"/>
      <c r="P157" s="227"/>
      <c r="Q157" s="227"/>
      <c r="R157" s="227"/>
      <c r="S157" s="227"/>
    </row>
    <row r="158" spans="1:19" x14ac:dyDescent="0.2">
      <c r="A158" s="227"/>
      <c r="L158" s="227"/>
      <c r="M158" s="227"/>
      <c r="N158" s="227"/>
      <c r="O158" s="227"/>
      <c r="P158" s="227"/>
      <c r="Q158" s="227"/>
      <c r="R158" s="227"/>
      <c r="S158" s="227"/>
    </row>
    <row r="159" spans="1:19" x14ac:dyDescent="0.2">
      <c r="A159" s="227"/>
      <c r="L159" s="227"/>
      <c r="M159" s="227"/>
      <c r="N159" s="227"/>
      <c r="O159" s="227"/>
      <c r="P159" s="227"/>
      <c r="Q159" s="227"/>
      <c r="R159" s="227"/>
      <c r="S159" s="227"/>
    </row>
    <row r="160" spans="1:19" x14ac:dyDescent="0.2">
      <c r="A160" s="227"/>
      <c r="L160" s="227"/>
      <c r="M160" s="227"/>
      <c r="N160" s="227"/>
      <c r="O160" s="227"/>
      <c r="P160" s="227"/>
      <c r="Q160" s="227"/>
      <c r="R160" s="227"/>
      <c r="S160" s="227"/>
    </row>
    <row r="161" spans="1:19" x14ac:dyDescent="0.2">
      <c r="A161" s="227"/>
      <c r="L161" s="227"/>
      <c r="M161" s="227"/>
      <c r="N161" s="227"/>
      <c r="O161" s="227"/>
      <c r="P161" s="227"/>
      <c r="Q161" s="227"/>
      <c r="R161" s="227"/>
      <c r="S161" s="227"/>
    </row>
    <row r="162" spans="1:19" x14ac:dyDescent="0.2">
      <c r="A162" s="227"/>
      <c r="L162" s="227"/>
      <c r="M162" s="227"/>
      <c r="N162" s="227"/>
      <c r="O162" s="227"/>
      <c r="P162" s="227"/>
      <c r="Q162" s="227"/>
      <c r="R162" s="227"/>
      <c r="S162" s="227"/>
    </row>
    <row r="163" spans="1:19" x14ac:dyDescent="0.2">
      <c r="A163" s="227"/>
      <c r="L163" s="227"/>
      <c r="M163" s="227"/>
      <c r="N163" s="227"/>
      <c r="O163" s="227"/>
      <c r="P163" s="227"/>
      <c r="Q163" s="227"/>
      <c r="R163" s="227"/>
      <c r="S163" s="227"/>
    </row>
    <row r="164" spans="1:19" x14ac:dyDescent="0.2">
      <c r="A164" s="227"/>
      <c r="L164" s="227"/>
      <c r="M164" s="227"/>
      <c r="N164" s="227"/>
      <c r="O164" s="227"/>
      <c r="P164" s="227"/>
      <c r="Q164" s="227"/>
      <c r="R164" s="227"/>
      <c r="S164" s="227"/>
    </row>
    <row r="165" spans="1:19" x14ac:dyDescent="0.2">
      <c r="A165" s="227"/>
      <c r="L165" s="227"/>
      <c r="M165" s="227"/>
      <c r="N165" s="227"/>
      <c r="O165" s="227"/>
      <c r="P165" s="227"/>
      <c r="Q165" s="227"/>
      <c r="R165" s="227"/>
      <c r="S165" s="227"/>
    </row>
    <row r="166" spans="1:19" x14ac:dyDescent="0.2">
      <c r="A166" s="227"/>
      <c r="L166" s="227"/>
      <c r="M166" s="227"/>
      <c r="N166" s="227"/>
      <c r="O166" s="227"/>
      <c r="P166" s="227"/>
      <c r="Q166" s="227"/>
      <c r="R166" s="227"/>
      <c r="S166" s="227"/>
    </row>
    <row r="167" spans="1:19" x14ac:dyDescent="0.2">
      <c r="A167" s="227"/>
      <c r="L167" s="227"/>
      <c r="M167" s="227"/>
      <c r="N167" s="227"/>
      <c r="O167" s="227"/>
      <c r="P167" s="227"/>
      <c r="Q167" s="227"/>
      <c r="R167" s="227"/>
      <c r="S167" s="227"/>
    </row>
    <row r="168" spans="1:19" x14ac:dyDescent="0.2">
      <c r="A168" s="227"/>
      <c r="L168" s="227"/>
      <c r="M168" s="227"/>
      <c r="N168" s="227"/>
      <c r="O168" s="227"/>
      <c r="P168" s="227"/>
      <c r="Q168" s="227"/>
      <c r="R168" s="227"/>
      <c r="S168" s="227"/>
    </row>
    <row r="169" spans="1:19" x14ac:dyDescent="0.2">
      <c r="A169" s="227"/>
      <c r="L169" s="227"/>
      <c r="M169" s="227"/>
      <c r="N169" s="227"/>
      <c r="O169" s="227"/>
      <c r="P169" s="227"/>
      <c r="Q169" s="227"/>
      <c r="R169" s="227"/>
      <c r="S169" s="227"/>
    </row>
    <row r="170" spans="1:19" x14ac:dyDescent="0.2">
      <c r="A170" s="227"/>
      <c r="L170" s="227"/>
      <c r="M170" s="227"/>
      <c r="N170" s="227"/>
      <c r="O170" s="227"/>
      <c r="P170" s="227"/>
      <c r="Q170" s="227"/>
      <c r="R170" s="227"/>
      <c r="S170" s="227"/>
    </row>
    <row r="171" spans="1:19" x14ac:dyDescent="0.2">
      <c r="A171" s="227"/>
      <c r="L171" s="227"/>
      <c r="M171" s="227"/>
      <c r="N171" s="227"/>
      <c r="O171" s="227"/>
      <c r="P171" s="227"/>
      <c r="Q171" s="227"/>
      <c r="R171" s="227"/>
      <c r="S171" s="227"/>
    </row>
    <row r="172" spans="1:19" x14ac:dyDescent="0.2">
      <c r="A172" s="227"/>
      <c r="L172" s="227"/>
      <c r="M172" s="227"/>
      <c r="N172" s="227"/>
      <c r="O172" s="227"/>
      <c r="P172" s="227"/>
      <c r="Q172" s="227"/>
      <c r="R172" s="227"/>
      <c r="S172" s="227"/>
    </row>
    <row r="173" spans="1:19" x14ac:dyDescent="0.2">
      <c r="A173" s="227"/>
      <c r="L173" s="227"/>
      <c r="M173" s="260"/>
      <c r="N173" s="227"/>
      <c r="O173" s="227"/>
      <c r="P173" s="227"/>
      <c r="Q173" s="227"/>
      <c r="R173" s="227"/>
      <c r="S173" s="227"/>
    </row>
    <row r="174" spans="1:19" x14ac:dyDescent="0.2">
      <c r="A174" s="227"/>
      <c r="L174" s="227"/>
      <c r="M174" s="260"/>
      <c r="N174" s="227"/>
      <c r="O174" s="227"/>
      <c r="P174" s="227"/>
      <c r="Q174" s="227"/>
      <c r="R174" s="227"/>
      <c r="S174" s="227"/>
    </row>
    <row r="175" spans="1:19" x14ac:dyDescent="0.2">
      <c r="A175" s="227"/>
      <c r="L175" s="227"/>
      <c r="M175" s="261"/>
      <c r="N175" s="227"/>
      <c r="O175" s="227"/>
      <c r="P175" s="227"/>
      <c r="Q175" s="227"/>
      <c r="R175" s="227"/>
      <c r="S175" s="227"/>
    </row>
    <row r="176" spans="1:19" x14ac:dyDescent="0.2">
      <c r="A176" s="227"/>
      <c r="L176" s="227"/>
      <c r="M176" s="261"/>
      <c r="N176" s="227"/>
      <c r="O176" s="227"/>
      <c r="P176" s="227"/>
      <c r="Q176" s="227"/>
      <c r="R176" s="227"/>
      <c r="S176" s="227"/>
    </row>
    <row r="177" spans="1:19" x14ac:dyDescent="0.2">
      <c r="A177" s="227"/>
      <c r="L177" s="227"/>
      <c r="M177" s="227"/>
      <c r="N177" s="227"/>
      <c r="O177" s="227"/>
      <c r="P177" s="227"/>
      <c r="Q177" s="227"/>
      <c r="R177" s="227"/>
      <c r="S177" s="227"/>
    </row>
    <row r="178" spans="1:19" x14ac:dyDescent="0.2">
      <c r="A178" s="227"/>
      <c r="L178" s="227"/>
      <c r="M178" s="227"/>
      <c r="N178" s="227"/>
      <c r="O178" s="227"/>
      <c r="P178" s="227"/>
      <c r="Q178" s="227"/>
      <c r="R178" s="227"/>
      <c r="S178" s="227"/>
    </row>
    <row r="179" spans="1:19" x14ac:dyDescent="0.2">
      <c r="A179" s="227"/>
      <c r="L179" s="227"/>
      <c r="M179" s="227"/>
      <c r="N179" s="227"/>
      <c r="O179" s="227"/>
      <c r="P179" s="227"/>
      <c r="Q179" s="227"/>
      <c r="R179" s="227"/>
      <c r="S179" s="227"/>
    </row>
    <row r="180" spans="1:19" x14ac:dyDescent="0.2">
      <c r="A180" s="227"/>
      <c r="L180" s="227"/>
      <c r="M180" s="227"/>
      <c r="N180" s="227"/>
      <c r="O180" s="227"/>
      <c r="P180" s="227"/>
      <c r="Q180" s="227"/>
      <c r="R180" s="227"/>
      <c r="S180" s="227"/>
    </row>
    <row r="181" spans="1:19" x14ac:dyDescent="0.2">
      <c r="A181" s="227"/>
      <c r="L181" s="227"/>
      <c r="M181" s="227"/>
      <c r="N181" s="227"/>
      <c r="O181" s="227"/>
      <c r="P181" s="227"/>
      <c r="Q181" s="227"/>
      <c r="R181" s="227"/>
      <c r="S181" s="227"/>
    </row>
    <row r="182" spans="1:19" x14ac:dyDescent="0.2">
      <c r="A182" s="227"/>
      <c r="L182" s="227"/>
      <c r="M182" s="227"/>
      <c r="N182" s="227"/>
      <c r="O182" s="227"/>
      <c r="P182" s="227"/>
      <c r="Q182" s="227"/>
      <c r="R182" s="227"/>
      <c r="S182" s="227"/>
    </row>
    <row r="183" spans="1:19" x14ac:dyDescent="0.2">
      <c r="A183" s="227"/>
      <c r="L183" s="227"/>
      <c r="M183" s="227"/>
      <c r="N183" s="227"/>
      <c r="O183" s="227"/>
      <c r="P183" s="227"/>
      <c r="Q183" s="227"/>
      <c r="R183" s="227"/>
      <c r="S183" s="227"/>
    </row>
    <row r="184" spans="1:19" x14ac:dyDescent="0.2">
      <c r="A184" s="227"/>
      <c r="L184" s="227"/>
      <c r="M184" s="227"/>
      <c r="N184" s="227"/>
      <c r="O184" s="227"/>
      <c r="P184" s="227"/>
      <c r="Q184" s="227"/>
      <c r="R184" s="227"/>
      <c r="S184" s="227"/>
    </row>
    <row r="185" spans="1:19" x14ac:dyDescent="0.2">
      <c r="A185" s="227"/>
      <c r="L185" s="227"/>
      <c r="M185" s="227"/>
      <c r="N185" s="227"/>
      <c r="O185" s="227"/>
      <c r="P185" s="227"/>
      <c r="Q185" s="227"/>
      <c r="R185" s="227"/>
      <c r="S185" s="227"/>
    </row>
    <row r="186" spans="1:19" x14ac:dyDescent="0.2">
      <c r="A186" s="227"/>
      <c r="L186" s="227"/>
      <c r="M186" s="227"/>
      <c r="N186" s="227"/>
      <c r="O186" s="227"/>
      <c r="P186" s="227"/>
      <c r="Q186" s="227"/>
      <c r="R186" s="227"/>
      <c r="S186" s="227"/>
    </row>
    <row r="187" spans="1:19" x14ac:dyDescent="0.2">
      <c r="A187" s="227"/>
      <c r="L187" s="227"/>
      <c r="M187" s="227"/>
      <c r="N187" s="227"/>
      <c r="O187" s="227"/>
      <c r="P187" s="227"/>
      <c r="Q187" s="227"/>
      <c r="R187" s="227"/>
      <c r="S187" s="227"/>
    </row>
    <row r="188" spans="1:19" x14ac:dyDescent="0.2">
      <c r="A188" s="227"/>
      <c r="L188" s="227"/>
      <c r="M188" s="227"/>
      <c r="N188" s="227"/>
      <c r="O188" s="227"/>
      <c r="P188" s="227"/>
      <c r="Q188" s="227"/>
      <c r="R188" s="227"/>
      <c r="S188" s="227"/>
    </row>
    <row r="189" spans="1:19" x14ac:dyDescent="0.2">
      <c r="A189" s="227"/>
      <c r="L189" s="227"/>
      <c r="M189" s="227"/>
      <c r="N189" s="227"/>
      <c r="O189" s="227"/>
      <c r="P189" s="227"/>
      <c r="Q189" s="227"/>
      <c r="R189" s="227"/>
      <c r="S189" s="227"/>
    </row>
    <row r="190" spans="1:19" x14ac:dyDescent="0.2">
      <c r="A190" s="227"/>
      <c r="L190" s="227"/>
      <c r="M190" s="227"/>
      <c r="N190" s="227"/>
      <c r="O190" s="227"/>
      <c r="P190" s="227"/>
      <c r="Q190" s="227"/>
      <c r="R190" s="227"/>
      <c r="S190" s="227"/>
    </row>
    <row r="191" spans="1:19" x14ac:dyDescent="0.2">
      <c r="A191" s="227"/>
      <c r="L191" s="227"/>
      <c r="M191" s="227"/>
      <c r="N191" s="227"/>
      <c r="O191" s="227"/>
      <c r="P191" s="227"/>
      <c r="Q191" s="227"/>
      <c r="R191" s="227"/>
      <c r="S191" s="227"/>
    </row>
    <row r="192" spans="1:19" x14ac:dyDescent="0.2">
      <c r="A192" s="227"/>
      <c r="L192" s="227"/>
      <c r="M192" s="227"/>
      <c r="N192" s="227"/>
      <c r="O192" s="227"/>
      <c r="P192" s="227"/>
      <c r="Q192" s="227"/>
      <c r="R192" s="227"/>
      <c r="S192" s="227"/>
    </row>
    <row r="193" spans="1:19" x14ac:dyDescent="0.2">
      <c r="A193" s="227"/>
      <c r="L193" s="227"/>
      <c r="M193" s="227"/>
      <c r="N193" s="227"/>
      <c r="O193" s="227"/>
      <c r="P193" s="227"/>
      <c r="Q193" s="227"/>
      <c r="R193" s="227"/>
      <c r="S193" s="227"/>
    </row>
    <row r="194" spans="1:19" x14ac:dyDescent="0.2">
      <c r="A194" s="227"/>
      <c r="L194" s="227"/>
      <c r="M194" s="227"/>
      <c r="N194" s="227"/>
      <c r="O194" s="227"/>
      <c r="P194" s="227"/>
      <c r="Q194" s="227"/>
      <c r="R194" s="227"/>
      <c r="S194" s="227"/>
    </row>
    <row r="195" spans="1:19" x14ac:dyDescent="0.2">
      <c r="A195" s="227"/>
      <c r="L195" s="227"/>
      <c r="M195" s="227"/>
      <c r="N195" s="227"/>
      <c r="O195" s="227"/>
      <c r="P195" s="227"/>
      <c r="Q195" s="227"/>
      <c r="R195" s="227"/>
      <c r="S195" s="227"/>
    </row>
    <row r="196" spans="1:19" x14ac:dyDescent="0.2">
      <c r="A196" s="227"/>
    </row>
    <row r="207" spans="1:19" x14ac:dyDescent="0.2">
      <c r="B207" s="227"/>
      <c r="C207" s="265"/>
      <c r="D207" s="265"/>
      <c r="E207" s="265"/>
    </row>
    <row r="208" spans="1:19" x14ac:dyDescent="0.2">
      <c r="B208" s="227"/>
      <c r="C208" s="266"/>
      <c r="D208" s="266"/>
      <c r="E208" s="266"/>
    </row>
    <row r="209" spans="2:5" x14ac:dyDescent="0.2">
      <c r="B209" s="227"/>
      <c r="C209" s="266"/>
      <c r="D209" s="266"/>
      <c r="E209" s="266"/>
    </row>
    <row r="210" spans="2:5" x14ac:dyDescent="0.2">
      <c r="B210" s="227"/>
      <c r="C210" s="266"/>
      <c r="D210" s="266"/>
      <c r="E210" s="266"/>
    </row>
    <row r="211" spans="2:5" x14ac:dyDescent="0.2">
      <c r="B211" s="227"/>
      <c r="C211" s="266"/>
      <c r="D211" s="266"/>
      <c r="E211" s="266"/>
    </row>
    <row r="212" spans="2:5" x14ac:dyDescent="0.2">
      <c r="B212" s="227"/>
      <c r="C212" s="266"/>
      <c r="D212" s="266"/>
      <c r="E212" s="266"/>
    </row>
    <row r="213" spans="2:5" x14ac:dyDescent="0.2">
      <c r="B213" s="227"/>
      <c r="C213" s="266"/>
      <c r="D213" s="266"/>
      <c r="E213" s="266"/>
    </row>
    <row r="214" spans="2:5" x14ac:dyDescent="0.2">
      <c r="B214" s="227"/>
      <c r="C214" s="266"/>
      <c r="D214" s="266"/>
      <c r="E214" s="266"/>
    </row>
    <row r="215" spans="2:5" x14ac:dyDescent="0.2">
      <c r="B215" s="227"/>
      <c r="C215" s="266"/>
      <c r="D215" s="266"/>
      <c r="E215" s="266"/>
    </row>
  </sheetData>
  <pageMargins left="0.7" right="0.7" top="0.75" bottom="0.75" header="0.3" footer="0.3"/>
  <pageSetup paperSize="9" orientation="portrait" horizontalDpi="300" verticalDpi="300"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U218"/>
  <sheetViews>
    <sheetView topLeftCell="A10" workbookViewId="0">
      <selection activeCell="C5" sqref="C5"/>
    </sheetView>
  </sheetViews>
  <sheetFormatPr defaultRowHeight="15" x14ac:dyDescent="0.2"/>
  <cols>
    <col min="1" max="1" width="24.6640625" customWidth="1"/>
    <col min="2" max="6" width="11.33203125" customWidth="1"/>
    <col min="7" max="7" width="11.21875" customWidth="1"/>
    <col min="8" max="8" width="11.6640625" customWidth="1"/>
    <col min="9" max="9" width="10.44140625" customWidth="1"/>
  </cols>
  <sheetData>
    <row r="1" spans="1:21" s="295" customFormat="1" ht="67.5" customHeight="1" x14ac:dyDescent="0.2">
      <c r="B1" s="298" t="s">
        <v>696</v>
      </c>
      <c r="C1" s="298" t="s">
        <v>697</v>
      </c>
      <c r="D1" s="298" t="s">
        <v>707</v>
      </c>
      <c r="E1" s="298" t="s">
        <v>698</v>
      </c>
      <c r="F1" s="298" t="s">
        <v>699</v>
      </c>
      <c r="G1" s="298" t="s">
        <v>686</v>
      </c>
      <c r="H1" s="298" t="s">
        <v>678</v>
      </c>
      <c r="I1" s="298" t="s">
        <v>679</v>
      </c>
      <c r="J1" s="491" t="s">
        <v>842</v>
      </c>
      <c r="K1" s="491"/>
      <c r="L1" s="491" t="s">
        <v>688</v>
      </c>
      <c r="M1" s="491"/>
      <c r="N1" s="491"/>
      <c r="O1" s="491"/>
      <c r="P1" s="491"/>
      <c r="Q1" s="491" t="s">
        <v>689</v>
      </c>
      <c r="R1" s="491"/>
      <c r="S1" s="491"/>
      <c r="T1" s="491"/>
    </row>
    <row r="2" spans="1:21" s="295" customFormat="1" x14ac:dyDescent="0.2">
      <c r="A2" s="292"/>
      <c r="B2" s="294" t="s">
        <v>3</v>
      </c>
      <c r="C2" s="294" t="s">
        <v>81</v>
      </c>
      <c r="D2" s="294" t="s">
        <v>81</v>
      </c>
      <c r="E2" s="294" t="s">
        <v>81</v>
      </c>
      <c r="F2" s="294" t="s">
        <v>81</v>
      </c>
      <c r="G2" s="294" t="s">
        <v>81</v>
      </c>
      <c r="H2" s="294">
        <v>2016</v>
      </c>
      <c r="I2" s="294">
        <v>2016</v>
      </c>
      <c r="J2" s="294" t="s">
        <v>59</v>
      </c>
      <c r="K2" s="294" t="s">
        <v>118</v>
      </c>
      <c r="L2" s="328" t="s">
        <v>205</v>
      </c>
      <c r="M2" s="328" t="s">
        <v>206</v>
      </c>
      <c r="N2" s="328" t="s">
        <v>207</v>
      </c>
      <c r="O2" s="328" t="s">
        <v>208</v>
      </c>
      <c r="P2" s="328" t="s">
        <v>196</v>
      </c>
      <c r="Q2" s="328" t="s">
        <v>329</v>
      </c>
      <c r="R2" s="328" t="s">
        <v>330</v>
      </c>
      <c r="S2" s="328" t="s">
        <v>331</v>
      </c>
      <c r="T2" s="328" t="s">
        <v>196</v>
      </c>
    </row>
    <row r="3" spans="1:21" s="295" customFormat="1" x14ac:dyDescent="0.2">
      <c r="A3" s="293" t="s">
        <v>82</v>
      </c>
      <c r="B3" s="299">
        <f>'All data'!D3</f>
        <v>47.950028294836514</v>
      </c>
      <c r="C3" s="299">
        <f>'All data'!D14</f>
        <v>224.80211613698444</v>
      </c>
      <c r="D3" s="299">
        <f>'All data'!P14/'Comparison data'!B13*10000</f>
        <v>361.22354648776837</v>
      </c>
      <c r="E3" s="299">
        <f>'All data'!E36/'Comparison data'!B13*100000</f>
        <v>1977.4706864053751</v>
      </c>
      <c r="F3" s="299">
        <f>'All data'!K47</f>
        <v>25.645345463394545</v>
      </c>
      <c r="G3" s="300">
        <f>'All data'!M58</f>
        <v>0.84967068177772498</v>
      </c>
      <c r="H3" s="301">
        <f>('All data'!F69+'All data'!K69)/'Comparison data'!B13*10000</f>
        <v>2.6206922371352088</v>
      </c>
      <c r="I3" s="299">
        <f>'All data'!AG80/'Comparison data'!B13*100000</f>
        <v>696.49935994631903</v>
      </c>
      <c r="J3" s="300">
        <f>'All data'!D25</f>
        <v>0.92592592592592593</v>
      </c>
      <c r="K3" s="300">
        <f>'All data'!J25</f>
        <v>0.50617283950617287</v>
      </c>
      <c r="L3" s="299">
        <f>'All data'!F91</f>
        <v>882</v>
      </c>
      <c r="M3" s="299">
        <f>'All data'!K91</f>
        <v>138</v>
      </c>
      <c r="N3" s="299" t="str">
        <f>'All data'!P91</f>
        <v>.</v>
      </c>
      <c r="O3" s="299" t="str">
        <f>'All data'!U91</f>
        <v>.</v>
      </c>
      <c r="P3" s="299">
        <f t="shared" ref="P3:P10" si="0">SUM(L3:O3)</f>
        <v>1020</v>
      </c>
      <c r="Q3" s="299">
        <f>'All data'!AQ91</f>
        <v>7786</v>
      </c>
      <c r="R3" s="299">
        <f>'All data'!AV91</f>
        <v>1223</v>
      </c>
      <c r="S3" s="299">
        <f>'All data'!BA91</f>
        <v>106</v>
      </c>
      <c r="T3" s="299">
        <f t="shared" ref="T3:T10" si="1">SUM(Q3:S3)</f>
        <v>9115</v>
      </c>
    </row>
    <row r="4" spans="1:21" s="295" customFormat="1" x14ac:dyDescent="0.2">
      <c r="A4" s="293" t="s">
        <v>83</v>
      </c>
      <c r="B4" s="299">
        <f>'All data'!D4</f>
        <v>58.804903424254761</v>
      </c>
      <c r="C4" s="299">
        <f>'All data'!D15</f>
        <v>205.25173022119688</v>
      </c>
      <c r="D4" s="299">
        <f>'All data'!P15/'Comparison data'!B14*10000</f>
        <v>438.09653051069796</v>
      </c>
      <c r="E4" s="299">
        <f>'All data'!E37/'Comparison data'!B14*100000</f>
        <v>2435.8800379970144</v>
      </c>
      <c r="F4" s="299">
        <f>'All data'!K48</f>
        <v>23.748134075179806</v>
      </c>
      <c r="G4" s="300">
        <f>'All data'!M59</f>
        <v>0.91464932909116059</v>
      </c>
      <c r="H4" s="301">
        <f>('All data'!F70+'All data'!K70)/'Comparison data'!B14*10000</f>
        <v>2.5632906620828999</v>
      </c>
      <c r="I4" s="299">
        <f>'All data'!AG81/'Comparison data'!B14*100000</f>
        <v>1606.5801179113705</v>
      </c>
      <c r="J4" s="300">
        <f>'All data'!D26</f>
        <v>0.94736842105263153</v>
      </c>
      <c r="K4" s="300">
        <f>'All data'!J26</f>
        <v>0.78947368421052633</v>
      </c>
      <c r="L4" s="299">
        <f>'All data'!F92</f>
        <v>185</v>
      </c>
      <c r="M4" s="299">
        <f>'All data'!K92</f>
        <v>54</v>
      </c>
      <c r="N4" s="299">
        <f>'All data'!P92</f>
        <v>7</v>
      </c>
      <c r="O4" s="299" t="str">
        <f>'All data'!U92</f>
        <v>.</v>
      </c>
      <c r="P4" s="299">
        <f t="shared" si="0"/>
        <v>246</v>
      </c>
      <c r="Q4" s="299">
        <f>'All data'!AQ92</f>
        <v>615</v>
      </c>
      <c r="R4" s="299" t="str">
        <f>'All data'!AV92</f>
        <v>.</v>
      </c>
      <c r="S4" s="299" t="str">
        <f>'All data'!BA92</f>
        <v>.</v>
      </c>
      <c r="T4" s="299">
        <f t="shared" si="1"/>
        <v>615</v>
      </c>
    </row>
    <row r="5" spans="1:21" s="295" customFormat="1" x14ac:dyDescent="0.2">
      <c r="A5" s="293" t="s">
        <v>84</v>
      </c>
      <c r="B5" s="299">
        <f>'All data'!D5</f>
        <v>40.184850311432591</v>
      </c>
      <c r="C5" s="299">
        <f>'All data'!D16</f>
        <v>271.957497997281</v>
      </c>
      <c r="D5" s="299">
        <f>'All data'!P16/'Comparison data'!B15*10000</f>
        <v>505.36363375423048</v>
      </c>
      <c r="E5" s="299">
        <f>'All data'!E38/'Comparison data'!B15*100000</f>
        <v>4692.4945659122877</v>
      </c>
      <c r="F5" s="299">
        <f>'All data'!K49</f>
        <v>37.627632564341425</v>
      </c>
      <c r="G5" s="300">
        <f>'All data'!M60</f>
        <v>0.84439890710382515</v>
      </c>
      <c r="H5" s="301">
        <f>('All data'!F71+'All data'!K71)/'Comparison data'!B15*10000</f>
        <v>2.2179949847219285</v>
      </c>
      <c r="I5" s="299">
        <f>'All data'!AG82/'Comparison data'!B15*100000</f>
        <v>1134.5696698318759</v>
      </c>
      <c r="J5" s="300">
        <f>'All data'!D27</f>
        <v>0.93478260869565222</v>
      </c>
      <c r="K5" s="300">
        <f>'All data'!J27</f>
        <v>0.69565217391304346</v>
      </c>
      <c r="L5" s="299">
        <f>'All data'!F93</f>
        <v>475</v>
      </c>
      <c r="M5" s="299">
        <f>'All data'!K93</f>
        <v>258</v>
      </c>
      <c r="N5" s="299">
        <f>'All data'!P93</f>
        <v>257</v>
      </c>
      <c r="O5" s="299">
        <f>'All data'!U93</f>
        <v>114</v>
      </c>
      <c r="P5" s="299">
        <f t="shared" si="0"/>
        <v>1104</v>
      </c>
      <c r="Q5" s="299">
        <f>'All data'!AQ93</f>
        <v>5057</v>
      </c>
      <c r="R5" s="299">
        <f>'All data'!AV93</f>
        <v>660</v>
      </c>
      <c r="S5" s="299">
        <f>'All data'!BA93</f>
        <v>418</v>
      </c>
      <c r="T5" s="299">
        <f t="shared" si="1"/>
        <v>6135</v>
      </c>
    </row>
    <row r="6" spans="1:21" s="295" customFormat="1" x14ac:dyDescent="0.2">
      <c r="A6" s="293" t="s">
        <v>103</v>
      </c>
      <c r="B6" s="299">
        <f>'All data'!D6</f>
        <v>51.953884742304922</v>
      </c>
      <c r="C6" s="299">
        <f>'All data'!D17</f>
        <v>256.99474371319934</v>
      </c>
      <c r="D6" s="299">
        <f>'All data'!P17/'Comparison data'!B16*10000</f>
        <v>437.53544472905958</v>
      </c>
      <c r="E6" s="299">
        <f>'All data'!E39/'Comparison data'!B16*100000</f>
        <v>3298.405605690949</v>
      </c>
      <c r="F6" s="299">
        <f>'All data'!K50</f>
        <v>27.822922891300294</v>
      </c>
      <c r="G6" s="300">
        <f>'All data'!M61</f>
        <v>0.88775116597117509</v>
      </c>
      <c r="H6" s="301">
        <f>('All data'!F72+'All data'!K72)/'Comparison data'!B16*10000</f>
        <v>2.2265950603844971</v>
      </c>
      <c r="I6" s="299">
        <f>'All data'!AG83/'Comparison data'!B16*100000</f>
        <v>1247.6544628957915</v>
      </c>
      <c r="J6" s="300">
        <f>'All data'!D28</f>
        <v>0.85185185185185186</v>
      </c>
      <c r="K6" s="300">
        <f>'All data'!J28</f>
        <v>0.46296296296296297</v>
      </c>
      <c r="L6" s="299">
        <f>'All data'!F94</f>
        <v>603</v>
      </c>
      <c r="M6" s="299">
        <f>'All data'!K94</f>
        <v>127</v>
      </c>
      <c r="N6" s="299" t="str">
        <f>'All data'!P94</f>
        <v>.</v>
      </c>
      <c r="O6" s="299" t="str">
        <f>'All data'!U94</f>
        <v>.</v>
      </c>
      <c r="P6" s="299">
        <f t="shared" si="0"/>
        <v>730</v>
      </c>
      <c r="Q6" s="299">
        <f>'All data'!AQ94</f>
        <v>6544</v>
      </c>
      <c r="R6" s="299">
        <f>'All data'!AV94</f>
        <v>868</v>
      </c>
      <c r="S6" s="299">
        <f>'All data'!BA94</f>
        <v>63</v>
      </c>
      <c r="T6" s="299">
        <f t="shared" si="1"/>
        <v>7475</v>
      </c>
    </row>
    <row r="7" spans="1:21" s="295" customFormat="1" x14ac:dyDescent="0.2">
      <c r="A7" s="293" t="s">
        <v>85</v>
      </c>
      <c r="B7" s="299">
        <f>'All data'!D7</f>
        <v>41.788127453788732</v>
      </c>
      <c r="C7" s="299">
        <f>'All data'!D18</f>
        <v>286.65307429187652</v>
      </c>
      <c r="D7" s="299">
        <f>'All data'!P18/'Comparison data'!B17*10000</f>
        <v>599.96292988693608</v>
      </c>
      <c r="E7" s="299">
        <f>'All data'!E40/'Comparison data'!B17*100000</f>
        <v>2482.3495711661922</v>
      </c>
      <c r="F7" s="299">
        <f>'All data'!K51</f>
        <v>21.264764857532818</v>
      </c>
      <c r="G7" s="300">
        <f>'All data'!M62</f>
        <v>0.84593057694585949</v>
      </c>
      <c r="H7" s="301">
        <f>('All data'!F73+'All data'!K73)/'Comparison data'!B17*10000</f>
        <v>2.5949079144691387</v>
      </c>
      <c r="I7" s="299">
        <f>'All data'!AG84/'Comparison data'!B17*100000</f>
        <v>1401.2502738133351</v>
      </c>
      <c r="J7" s="300">
        <f>'All data'!D29</f>
        <v>0.9642857142857143</v>
      </c>
      <c r="K7" s="300">
        <f>'All data'!J29</f>
        <v>0.6428571428571429</v>
      </c>
      <c r="L7" s="299">
        <f>'All data'!F95</f>
        <v>390</v>
      </c>
      <c r="M7" s="299">
        <f>'All data'!K95</f>
        <v>118</v>
      </c>
      <c r="N7" s="299" t="str">
        <f>'All data'!P95</f>
        <v>.</v>
      </c>
      <c r="O7" s="299" t="str">
        <f>'All data'!U95</f>
        <v>.</v>
      </c>
      <c r="P7" s="299">
        <f t="shared" si="0"/>
        <v>508</v>
      </c>
      <c r="Q7" s="299">
        <f>'All data'!AQ95</f>
        <v>3508</v>
      </c>
      <c r="R7" s="299">
        <f>'All data'!AV95</f>
        <v>429</v>
      </c>
      <c r="S7" s="299" t="str">
        <f>'All data'!BA95</f>
        <v>.</v>
      </c>
      <c r="T7" s="299">
        <f t="shared" si="1"/>
        <v>3937</v>
      </c>
    </row>
    <row r="8" spans="1:21" s="295" customFormat="1" x14ac:dyDescent="0.2">
      <c r="A8" s="293" t="s">
        <v>86</v>
      </c>
      <c r="B8" s="299">
        <f>'All data'!D8</f>
        <v>44.00220698569413</v>
      </c>
      <c r="C8" s="299">
        <f>'All data'!D19</f>
        <v>261.01387272705404</v>
      </c>
      <c r="D8" s="299">
        <f>'All data'!P19/'Comparison data'!B18*10000</f>
        <v>525.89512692745996</v>
      </c>
      <c r="E8" s="299">
        <f>'All data'!E41/'Comparison data'!B18*100000</f>
        <v>3056.262665674325</v>
      </c>
      <c r="F8" s="299">
        <f>'All data'!K52</f>
        <v>30.268705664768497</v>
      </c>
      <c r="G8" s="300">
        <f>'All data'!M63</f>
        <v>0.82420138377741792</v>
      </c>
      <c r="H8" s="301">
        <f>('All data'!F74+'All data'!K74)/'Comparison data'!B18*10000</f>
        <v>2.7329495745020962</v>
      </c>
      <c r="I8" s="299">
        <f>'All data'!AG85/'Comparison data'!B18*100000</f>
        <v>861.65259226283069</v>
      </c>
      <c r="J8" s="300">
        <f>'All data'!D30</f>
        <v>0.94117647058823528</v>
      </c>
      <c r="K8" s="300">
        <f>'All data'!J30</f>
        <v>0.63235294117647056</v>
      </c>
      <c r="L8" s="299">
        <f>'All data'!F96</f>
        <v>728</v>
      </c>
      <c r="M8" s="299">
        <f>'All data'!K96</f>
        <v>312</v>
      </c>
      <c r="N8" s="299" t="str">
        <f>'All data'!P96</f>
        <v>.</v>
      </c>
      <c r="O8" s="299" t="str">
        <f>'All data'!U96</f>
        <v>.</v>
      </c>
      <c r="P8" s="299">
        <f t="shared" si="0"/>
        <v>1040</v>
      </c>
      <c r="Q8" s="299">
        <f>'All data'!AQ96</f>
        <v>6593</v>
      </c>
      <c r="R8" s="299">
        <f>'All data'!AV96</f>
        <v>943</v>
      </c>
      <c r="S8" s="299">
        <f>'All data'!BA96</f>
        <v>53</v>
      </c>
      <c r="T8" s="299">
        <f t="shared" si="1"/>
        <v>7589</v>
      </c>
    </row>
    <row r="9" spans="1:21" s="295" customFormat="1" x14ac:dyDescent="0.2">
      <c r="A9" s="293" t="s">
        <v>87</v>
      </c>
      <c r="B9" s="299">
        <f>'All data'!D9</f>
        <v>32.593986203254453</v>
      </c>
      <c r="C9" s="299">
        <f>'All data'!D20</f>
        <v>241.98765554345317</v>
      </c>
      <c r="D9" s="299">
        <f>'All data'!P20/'Comparison data'!B19*10000</f>
        <v>591.43644585272466</v>
      </c>
      <c r="E9" s="299">
        <f>'All data'!E42/'Comparison data'!B19*100000</f>
        <v>2974.7169686767666</v>
      </c>
      <c r="F9" s="299">
        <f>'All data'!K53</f>
        <v>28.880747268706479</v>
      </c>
      <c r="G9" s="300">
        <f>'All data'!M64</f>
        <v>0.81102290768881835</v>
      </c>
      <c r="H9" s="301">
        <f>('All data'!F75+'All data'!K75)/'Comparison data'!B19*10000</f>
        <v>3.8163844605076411</v>
      </c>
      <c r="I9" s="299">
        <f>'All data'!AG86/'Comparison data'!B19*100000</f>
        <v>510.57035350034658</v>
      </c>
      <c r="J9" s="300">
        <f>'All data'!D31</f>
        <v>0.94202898550724634</v>
      </c>
      <c r="K9" s="300">
        <f>'All data'!J31</f>
        <v>0.52173913043478259</v>
      </c>
      <c r="L9" s="299">
        <f>'All data'!F97</f>
        <v>179</v>
      </c>
      <c r="M9" s="299">
        <f>'All data'!K97</f>
        <v>112</v>
      </c>
      <c r="N9" s="299">
        <f>'All data'!P97</f>
        <v>12</v>
      </c>
      <c r="O9" s="299" t="str">
        <f>'All data'!U97</f>
        <v>.</v>
      </c>
      <c r="P9" s="299">
        <f t="shared" si="0"/>
        <v>303</v>
      </c>
      <c r="Q9" s="299">
        <f>'All data'!AQ97</f>
        <v>5530</v>
      </c>
      <c r="R9" s="299">
        <f>'All data'!AV97</f>
        <v>1278</v>
      </c>
      <c r="S9" s="299">
        <f>'All data'!BA97</f>
        <v>116</v>
      </c>
      <c r="T9" s="299">
        <f t="shared" si="1"/>
        <v>6924</v>
      </c>
    </row>
    <row r="10" spans="1:21" s="295" customFormat="1" x14ac:dyDescent="0.2">
      <c r="A10" s="293" t="s">
        <v>88</v>
      </c>
      <c r="B10" s="299">
        <f>'All data'!D10</f>
        <v>44.787398607202256</v>
      </c>
      <c r="C10" s="299">
        <f>'All data'!D21</f>
        <v>250.66326007087252</v>
      </c>
      <c r="D10" s="299">
        <f>'All data'!P21/'Comparison data'!B20*10000</f>
        <v>485.05914324416943</v>
      </c>
      <c r="E10" s="299">
        <f>'All data'!E43/'Comparison data'!B20*100000</f>
        <v>2963.6479916981975</v>
      </c>
      <c r="F10" s="299">
        <f>'All data'!K54</f>
        <v>28.369654794994396</v>
      </c>
      <c r="G10" s="300">
        <f>'All data'!M65</f>
        <v>0.84759957152595189</v>
      </c>
      <c r="H10" s="301">
        <f>('All data'!F76+'All data'!K76)/'Comparison data'!B20*10000</f>
        <v>2.6427146584509109</v>
      </c>
      <c r="I10" s="299">
        <f>'All data'!AG87/'Comparison data'!B20*100000</f>
        <v>952.47437470273496</v>
      </c>
      <c r="J10" s="300">
        <f>'All data'!D32</f>
        <v>0.92602739726027394</v>
      </c>
      <c r="K10" s="300">
        <f>'All data'!J32</f>
        <v>0.57534246575342463</v>
      </c>
      <c r="L10" s="299">
        <f>'All data'!F98</f>
        <v>3442</v>
      </c>
      <c r="M10" s="299">
        <f>'All data'!K98</f>
        <v>1119</v>
      </c>
      <c r="N10" s="299">
        <f>'All data'!P98</f>
        <v>276</v>
      </c>
      <c r="O10" s="299">
        <f>'All data'!U98</f>
        <v>114</v>
      </c>
      <c r="P10" s="299">
        <f t="shared" si="0"/>
        <v>4951</v>
      </c>
      <c r="Q10" s="299">
        <f>'All data'!AQ98</f>
        <v>35633</v>
      </c>
      <c r="R10" s="299">
        <f>'All data'!AV98</f>
        <v>5401</v>
      </c>
      <c r="S10" s="299">
        <f>'All data'!BA98</f>
        <v>756</v>
      </c>
      <c r="T10" s="299">
        <f t="shared" si="1"/>
        <v>41790</v>
      </c>
    </row>
    <row r="12" spans="1:21" x14ac:dyDescent="0.2">
      <c r="A12" s="195" t="s">
        <v>677</v>
      </c>
      <c r="C12" s="35">
        <v>1</v>
      </c>
      <c r="D12" s="310" t="s">
        <v>693</v>
      </c>
      <c r="E12" s="295"/>
      <c r="F12" s="295"/>
      <c r="G12" s="295"/>
      <c r="H12" s="295"/>
      <c r="I12" s="195" t="str">
        <f>J34</f>
        <v>In 2015-16 there were 45 new CVIs per 100,000 Welsh residents. Out of the health boards, Powys had the highest rate with 59 new CVIs per 100,000 Powys residents and the lowest rate was in Cardiff &amp; Vale with 33 new CVIs per 100,000 Cardiif &amp; Vale residents.</v>
      </c>
    </row>
    <row r="13" spans="1:21" x14ac:dyDescent="0.2">
      <c r="A13" s="302" t="s">
        <v>231</v>
      </c>
      <c r="B13" s="297">
        <v>694473</v>
      </c>
      <c r="C13" s="35">
        <v>2</v>
      </c>
      <c r="D13" s="310" t="s">
        <v>694</v>
      </c>
      <c r="E13" s="295"/>
      <c r="F13" s="295"/>
      <c r="G13" s="295"/>
      <c r="H13" s="295"/>
      <c r="I13" s="195" t="str">
        <f>J50</f>
        <v>251 out of 1,000 Welsh residents had a sight test paid by the NHS during the 2016-17 financial year. The lowest rate was in Powys, 205 out of 1,000 Powys residents had a sight test paid by the NHS during the year and the highest rate was in Cwm Taf with 287 out of 1,000 Cwm Taf residents had a sight test paid by the NHS during that year.</v>
      </c>
      <c r="N13" s="314"/>
      <c r="O13" s="315"/>
      <c r="P13" s="316"/>
      <c r="Q13" s="316"/>
      <c r="R13" s="316"/>
      <c r="S13" s="316"/>
      <c r="T13" s="315"/>
      <c r="U13" s="315"/>
    </row>
    <row r="14" spans="1:21" x14ac:dyDescent="0.2">
      <c r="A14" s="303" t="s">
        <v>232</v>
      </c>
      <c r="B14" s="297">
        <v>132642</v>
      </c>
      <c r="C14" s="35">
        <v>3</v>
      </c>
      <c r="D14" s="310" t="s">
        <v>706</v>
      </c>
      <c r="E14" s="295"/>
      <c r="F14" s="295"/>
      <c r="G14" s="295"/>
      <c r="H14" s="295"/>
      <c r="I14" s="195" t="str">
        <f>J66</f>
        <v>There were 485 EHEW examinations per 10,000 Welsh residents in the 2016-17 financial year. The highest rate was in Cwm Taf with 600 EHEW examinations per 10,000 Cwm Taf residents and the lowest rate was in Betsi Cadwaladr with 361 EHEW examinations per 10,000 Betsi Cadwaladr residents.</v>
      </c>
    </row>
    <row r="15" spans="1:21" x14ac:dyDescent="0.2">
      <c r="A15" s="304" t="s">
        <v>625</v>
      </c>
      <c r="B15" s="297">
        <v>383229</v>
      </c>
      <c r="C15" s="35">
        <v>4</v>
      </c>
      <c r="D15" s="310" t="s">
        <v>695</v>
      </c>
      <c r="E15" s="295"/>
      <c r="F15" s="295"/>
      <c r="G15" s="295"/>
      <c r="H15" s="295"/>
      <c r="I15" s="195" t="str">
        <f>J82</f>
        <v>There were 2,975 total referrals to the hospital eye service per 100,000 Welsh residents in the 2016-17 financial year. The highest rate was in Hywel Dda with 4,692 referrals per 100,000 Hywel Dda residents and the lowest rate (excluding Betsi Cadwaladr) was in Powys with 2,436 referrals per 100,000 Powys residents. Betsi Cadwaladr have been unable to submit data for part of the health board for November 2016-March 2017 due to moving to the national Welsh Patient Administration System (WPAS).</v>
      </c>
    </row>
    <row r="16" spans="1:21" ht="15" customHeight="1" x14ac:dyDescent="0.2">
      <c r="A16" s="305" t="s">
        <v>675</v>
      </c>
      <c r="B16" s="297">
        <v>525466</v>
      </c>
      <c r="C16" s="35">
        <v>5</v>
      </c>
      <c r="D16" s="310" t="s">
        <v>705</v>
      </c>
      <c r="E16" s="295"/>
      <c r="F16" s="295"/>
      <c r="G16" s="295"/>
      <c r="H16" s="295"/>
      <c r="I16" s="195" t="str">
        <f>J98</f>
        <v>There were 28 Low Vision Assessments per 10,000 Welsh residents in the 2016-17 financial year. The highest rate was in Hywel Dda with 38 Low Vision assessments per 10,000 Hywel Dda residents and the lowest rate was in Cwm Taf with 21 Low Vision assessments per 10,000 Cwm Taf residents.</v>
      </c>
    </row>
    <row r="17" spans="1:11" x14ac:dyDescent="0.2">
      <c r="A17" s="306" t="s">
        <v>234</v>
      </c>
      <c r="B17" s="297">
        <v>296735</v>
      </c>
      <c r="C17" s="35">
        <v>6</v>
      </c>
      <c r="D17" s="310" t="s">
        <v>685</v>
      </c>
      <c r="E17" s="295"/>
      <c r="F17" s="295"/>
      <c r="G17" s="295"/>
      <c r="H17" s="295"/>
      <c r="I17" s="195" t="str">
        <f>J114</f>
        <v>85 per cent of scheduled DESW appointments (invitations) in Wales had results reported in 2016-17. The lowest per cent of scheduled DESW appointments (invitations) where results reported in 2016-17 was in Cardiff &amp; Vale at 81 per cent and the highest was in Powys at 91 per cent.</v>
      </c>
    </row>
    <row r="18" spans="1:11" x14ac:dyDescent="0.2">
      <c r="A18" s="307" t="s">
        <v>230</v>
      </c>
      <c r="B18" s="297">
        <v>581789</v>
      </c>
      <c r="C18" s="35">
        <v>7</v>
      </c>
      <c r="D18" s="310" t="s">
        <v>680</v>
      </c>
      <c r="E18" s="295"/>
      <c r="F18" s="295"/>
      <c r="G18" s="295"/>
      <c r="H18" s="295"/>
      <c r="I18" s="195" t="str">
        <f>J130</f>
        <v>There are 2.64 ophthalmic practitioners per 10,000 population in Wales. The highest rate was 3.82 per 10,000 population in Cardiff &amp; Vale and the lowest rate was 2.22 per 10,000 population in Hywel Dda.</v>
      </c>
    </row>
    <row r="19" spans="1:11" x14ac:dyDescent="0.2">
      <c r="A19" s="308" t="s">
        <v>676</v>
      </c>
      <c r="B19" s="297">
        <v>484752</v>
      </c>
      <c r="C19" s="35">
        <v>8</v>
      </c>
      <c r="D19" s="310" t="s">
        <v>681</v>
      </c>
      <c r="E19" s="295"/>
      <c r="F19" s="295"/>
      <c r="G19" s="295"/>
      <c r="H19" s="295"/>
      <c r="I19" s="195" t="str">
        <f>J146</f>
        <v>There were 952 people with visual and/or hearing impairments per 100,000 Welsh residents at 31 March 2016. The highest rate is in Powys with 1,607 people having a visual and/or hearing impairment per 100,000 Powys residents and the lowest rate is in Cardiff &amp; Vale with 511 people having a visual and/or hearing impairment per 100,000 Cardiff &amp; Vale residents.</v>
      </c>
    </row>
    <row r="20" spans="1:11" x14ac:dyDescent="0.2">
      <c r="A20" s="309" t="s">
        <v>88</v>
      </c>
      <c r="B20" s="297">
        <v>3099086</v>
      </c>
      <c r="C20" s="35">
        <v>9</v>
      </c>
      <c r="D20" s="311" t="s">
        <v>853</v>
      </c>
      <c r="E20" s="295"/>
      <c r="F20" s="295"/>
      <c r="G20" s="295"/>
      <c r="H20" s="295"/>
      <c r="I20" s="195" t="str">
        <f>J163</f>
        <v>338 (93 per cent) optometry practices were accredited to provide Eye Health Examinations Wales services in Wales in the 2016-17 financial year and 210 (58 per cent) of optometry practices were accredited to provide Low Vision Service Wales services in Wales in the 2016-17 financial year. Cwm Taf had the highest proportion of practices providing EHEW services and Powys had the highest proportion of practices providing LVSW services.</v>
      </c>
    </row>
    <row r="21" spans="1:11" x14ac:dyDescent="0.2">
      <c r="C21" s="35">
        <v>10</v>
      </c>
      <c r="D21" s="310" t="s">
        <v>682</v>
      </c>
      <c r="E21" s="295"/>
      <c r="F21" s="295"/>
      <c r="G21" s="295"/>
      <c r="H21" s="295"/>
      <c r="I21" s="195" t="str">
        <f>J178</f>
        <v>Of the patients waiting for a hearing aid in Wales 30.5 per cent had been waiting more than 8 weeks. In Hywel Dda 57.0 per cent of those waiting had waited longer than 8 weeks as of 31 March 2017 and in Betsi Cadwaladr only 13.5 per cent of patients there had been waiting for more than 8 weeks on 31 March 2017</v>
      </c>
    </row>
    <row r="22" spans="1:11" x14ac:dyDescent="0.2">
      <c r="A22">
        <v>1</v>
      </c>
      <c r="C22" s="35">
        <v>11</v>
      </c>
      <c r="D22" s="310" t="s">
        <v>683</v>
      </c>
      <c r="E22" s="295"/>
      <c r="F22" s="295"/>
      <c r="G22" s="295"/>
      <c r="H22" s="295"/>
      <c r="I22" s="195" t="str">
        <f>J194</f>
        <v>In Wales 14.7 per cent of patients waiting for ophthamology had been waiting more than 26 weeks as of 31 March 2017. The highest per cent was seen in Cardiff &amp; Vale at 20.1 per cent of patients waiting more than 26 weeks and in Powys no patient had been waiting more that 26 weeks for ophthamology as of 31 March 2017.</v>
      </c>
    </row>
    <row r="23" spans="1:11" x14ac:dyDescent="0.2">
      <c r="A23" s="312"/>
      <c r="B23" s="312"/>
      <c r="C23" s="312"/>
      <c r="D23" s="312"/>
      <c r="E23" s="312"/>
      <c r="F23" s="312"/>
      <c r="G23" s="312"/>
      <c r="H23" s="312"/>
      <c r="I23" s="317" t="str">
        <f>VLOOKUP(A22,C12:I22,7,FALSE)</f>
        <v>In 2015-16 there were 45 new CVIs per 100,000 Welsh residents. Out of the health boards, Powys had the highest rate with 59 new CVIs per 100,000 Powys residents and the lowest rate was in Cardiff &amp; Vale with 33 new CVIs per 100,000 Cardiif &amp; Vale residents.</v>
      </c>
    </row>
    <row r="24" spans="1:11" x14ac:dyDescent="0.2">
      <c r="A24" s="267"/>
      <c r="B24" s="9"/>
      <c r="C24" s="9"/>
      <c r="D24" s="9"/>
      <c r="E24" s="9"/>
      <c r="F24" s="9"/>
      <c r="G24" s="9"/>
      <c r="H24" s="9"/>
      <c r="I24" s="312"/>
      <c r="J24" s="35"/>
      <c r="K24" s="35" t="s">
        <v>700</v>
      </c>
    </row>
    <row r="25" spans="1:11" x14ac:dyDescent="0.2">
      <c r="A25" s="267"/>
      <c r="B25" s="9"/>
      <c r="C25" s="9"/>
      <c r="D25" s="9"/>
      <c r="E25" s="9"/>
      <c r="F25" s="9"/>
      <c r="G25" s="9"/>
      <c r="H25" s="9"/>
      <c r="I25" s="312"/>
      <c r="J25" s="35" t="s">
        <v>229</v>
      </c>
      <c r="K25" s="187">
        <v>32.593986203254453</v>
      </c>
    </row>
    <row r="26" spans="1:11" x14ac:dyDescent="0.2">
      <c r="A26" s="267"/>
      <c r="B26" s="9"/>
      <c r="C26" s="9"/>
      <c r="D26" s="9"/>
      <c r="E26" s="9"/>
      <c r="F26" s="9"/>
      <c r="G26" s="9"/>
      <c r="H26" s="9"/>
      <c r="I26" s="312"/>
      <c r="J26" s="35" t="s">
        <v>625</v>
      </c>
      <c r="K26" s="187">
        <v>40.184850311432591</v>
      </c>
    </row>
    <row r="27" spans="1:11" x14ac:dyDescent="0.2">
      <c r="A27" s="267"/>
      <c r="B27" s="9"/>
      <c r="C27" s="9"/>
      <c r="D27" s="9"/>
      <c r="E27" s="9"/>
      <c r="F27" s="9"/>
      <c r="G27" s="9"/>
      <c r="H27" s="9"/>
      <c r="I27" s="312"/>
      <c r="J27" s="35" t="s">
        <v>234</v>
      </c>
      <c r="K27" s="187">
        <v>41.788127453788732</v>
      </c>
    </row>
    <row r="28" spans="1:11" x14ac:dyDescent="0.2">
      <c r="A28" s="267"/>
      <c r="B28" s="9"/>
      <c r="C28" s="9"/>
      <c r="D28" s="9"/>
      <c r="E28" s="9"/>
      <c r="F28" s="9"/>
      <c r="G28" s="9"/>
      <c r="H28" s="9"/>
      <c r="I28" s="312"/>
      <c r="J28" s="35" t="s">
        <v>230</v>
      </c>
      <c r="K28" s="187">
        <v>44.00220698569413</v>
      </c>
    </row>
    <row r="29" spans="1:11" x14ac:dyDescent="0.2">
      <c r="A29" s="267"/>
      <c r="B29" s="9"/>
      <c r="C29" s="9"/>
      <c r="D29" s="9"/>
      <c r="E29" s="9"/>
      <c r="F29" s="9"/>
      <c r="G29" s="9"/>
      <c r="H29" s="9"/>
      <c r="I29" s="312"/>
      <c r="J29" s="35" t="s">
        <v>88</v>
      </c>
      <c r="K29" s="187">
        <v>44.787398607202256</v>
      </c>
    </row>
    <row r="30" spans="1:11" x14ac:dyDescent="0.2">
      <c r="A30" s="267"/>
      <c r="B30" s="9"/>
      <c r="C30" s="9"/>
      <c r="D30" s="9"/>
      <c r="E30" s="9"/>
      <c r="F30" s="9"/>
      <c r="G30" s="9"/>
      <c r="H30" s="9"/>
      <c r="I30" s="312"/>
      <c r="J30" s="35" t="s">
        <v>231</v>
      </c>
      <c r="K30" s="187">
        <v>47.950028294836514</v>
      </c>
    </row>
    <row r="31" spans="1:11" x14ac:dyDescent="0.2">
      <c r="A31" s="267"/>
      <c r="B31" s="9"/>
      <c r="C31" s="9"/>
      <c r="D31" s="9"/>
      <c r="E31" s="9"/>
      <c r="F31" s="9"/>
      <c r="G31" s="9"/>
      <c r="H31" s="9"/>
      <c r="I31" s="312"/>
      <c r="J31" s="35" t="s">
        <v>626</v>
      </c>
      <c r="K31" s="187">
        <v>51.953884742304922</v>
      </c>
    </row>
    <row r="32" spans="1:11" x14ac:dyDescent="0.2">
      <c r="A32" s="312"/>
      <c r="B32" s="9"/>
      <c r="C32" s="9"/>
      <c r="D32" s="9"/>
      <c r="E32" s="9"/>
      <c r="F32" s="9"/>
      <c r="G32" s="9"/>
      <c r="H32" s="9"/>
      <c r="I32" s="312"/>
      <c r="J32" s="35" t="s">
        <v>232</v>
      </c>
      <c r="K32" s="187">
        <v>58.804903424254761</v>
      </c>
    </row>
    <row r="33" spans="1:12" x14ac:dyDescent="0.2">
      <c r="A33" s="312"/>
      <c r="B33" s="9"/>
      <c r="C33" s="9"/>
      <c r="D33" s="9"/>
      <c r="E33" s="9"/>
      <c r="F33" s="9"/>
      <c r="G33" s="9"/>
      <c r="H33" s="9"/>
      <c r="I33" s="312"/>
    </row>
    <row r="34" spans="1:12" x14ac:dyDescent="0.2">
      <c r="A34" s="312"/>
      <c r="B34" s="9"/>
      <c r="C34" s="9"/>
      <c r="D34" s="9"/>
      <c r="E34" s="9"/>
      <c r="F34" s="9"/>
      <c r="G34" s="9"/>
      <c r="H34" s="9"/>
      <c r="I34" s="312"/>
      <c r="J34" s="315" t="s">
        <v>709</v>
      </c>
    </row>
    <row r="35" spans="1:12" x14ac:dyDescent="0.2">
      <c r="A35" s="312"/>
      <c r="B35" s="9"/>
      <c r="C35" s="9"/>
      <c r="D35" s="9"/>
      <c r="E35" s="9"/>
      <c r="F35" s="9"/>
      <c r="G35" s="9"/>
      <c r="H35" s="9"/>
      <c r="I35" s="312"/>
    </row>
    <row r="36" spans="1:12" x14ac:dyDescent="0.2">
      <c r="A36" s="312"/>
      <c r="B36" s="9"/>
      <c r="C36" s="9"/>
      <c r="D36" s="9"/>
      <c r="E36" s="9"/>
      <c r="F36" s="9"/>
      <c r="G36" s="9"/>
      <c r="H36" s="9"/>
      <c r="I36" s="312"/>
    </row>
    <row r="37" spans="1:12" x14ac:dyDescent="0.2">
      <c r="A37" s="312"/>
      <c r="B37" s="9"/>
      <c r="C37" s="9"/>
      <c r="D37" s="9"/>
      <c r="E37" s="9"/>
      <c r="F37" s="9"/>
      <c r="G37" s="9"/>
      <c r="H37" s="9"/>
      <c r="I37" s="312"/>
    </row>
    <row r="38" spans="1:12" x14ac:dyDescent="0.2">
      <c r="A38" s="312"/>
      <c r="B38" s="9"/>
      <c r="C38" s="9"/>
      <c r="D38" s="9"/>
      <c r="E38" s="9"/>
      <c r="F38" s="9"/>
      <c r="G38" s="9"/>
      <c r="H38" s="9"/>
      <c r="I38" s="312"/>
    </row>
    <row r="39" spans="1:12" x14ac:dyDescent="0.25">
      <c r="A39" s="312"/>
      <c r="B39" s="9"/>
      <c r="C39" s="9"/>
      <c r="D39" s="9"/>
      <c r="E39" s="9"/>
      <c r="F39" s="9"/>
      <c r="G39" s="9"/>
      <c r="H39" s="9"/>
      <c r="I39" s="312"/>
    </row>
    <row r="40" spans="1:12" x14ac:dyDescent="0.25">
      <c r="A40" s="312"/>
      <c r="B40" s="9"/>
      <c r="C40" s="9"/>
      <c r="D40" s="9"/>
      <c r="E40" s="9"/>
      <c r="F40" s="9"/>
      <c r="G40" s="9"/>
      <c r="H40" s="9"/>
      <c r="I40" s="312"/>
      <c r="J40" s="35"/>
      <c r="K40" s="35" t="s">
        <v>701</v>
      </c>
      <c r="L40" s="35"/>
    </row>
    <row r="41" spans="1:12" x14ac:dyDescent="0.25">
      <c r="A41" s="312"/>
      <c r="B41" s="9"/>
      <c r="C41" s="9"/>
      <c r="D41" s="9"/>
      <c r="E41" s="9"/>
      <c r="F41" s="9"/>
      <c r="G41" s="9"/>
      <c r="H41" s="9"/>
      <c r="I41" s="312"/>
      <c r="J41" s="35" t="s">
        <v>232</v>
      </c>
      <c r="K41" s="187">
        <v>205.25173022119688</v>
      </c>
      <c r="L41" s="35"/>
    </row>
    <row r="42" spans="1:12" x14ac:dyDescent="0.25">
      <c r="A42" s="312"/>
      <c r="B42" s="9"/>
      <c r="C42" s="9"/>
      <c r="D42" s="9"/>
      <c r="E42" s="9"/>
      <c r="F42" s="9"/>
      <c r="G42" s="9"/>
      <c r="H42" s="9"/>
      <c r="I42" s="312"/>
      <c r="J42" s="35" t="s">
        <v>231</v>
      </c>
      <c r="K42" s="187">
        <v>224.80211613698444</v>
      </c>
      <c r="L42" s="35"/>
    </row>
    <row r="43" spans="1:12" x14ac:dyDescent="0.25">
      <c r="A43" s="312"/>
      <c r="B43" s="9"/>
      <c r="C43" s="9"/>
      <c r="D43" s="9"/>
      <c r="E43" s="9"/>
      <c r="F43" s="9"/>
      <c r="G43" s="9"/>
      <c r="H43" s="9"/>
      <c r="I43" s="312"/>
      <c r="J43" s="35" t="s">
        <v>229</v>
      </c>
      <c r="K43" s="187">
        <v>241.98765554345317</v>
      </c>
      <c r="L43" s="35"/>
    </row>
    <row r="44" spans="1:12" x14ac:dyDescent="0.25">
      <c r="A44" s="312"/>
      <c r="B44" s="9"/>
      <c r="C44" s="9"/>
      <c r="D44" s="9"/>
      <c r="E44" s="9"/>
      <c r="F44" s="9"/>
      <c r="G44" s="9"/>
      <c r="H44" s="9"/>
      <c r="I44" s="312"/>
      <c r="J44" s="35" t="s">
        <v>88</v>
      </c>
      <c r="K44" s="187">
        <v>250.66326007087252</v>
      </c>
      <c r="L44" s="35"/>
    </row>
    <row r="45" spans="1:12" x14ac:dyDescent="0.25">
      <c r="A45" s="312"/>
      <c r="B45" s="9"/>
      <c r="C45" s="9"/>
      <c r="D45" s="9"/>
      <c r="E45" s="9"/>
      <c r="F45" s="9"/>
      <c r="G45" s="9"/>
      <c r="H45" s="9"/>
      <c r="I45" s="312"/>
      <c r="J45" s="35" t="s">
        <v>626</v>
      </c>
      <c r="K45" s="187">
        <v>256.99474371319934</v>
      </c>
      <c r="L45" s="35"/>
    </row>
    <row r="46" spans="1:12" x14ac:dyDescent="0.25">
      <c r="A46" s="312"/>
      <c r="B46" s="9"/>
      <c r="C46" s="9"/>
      <c r="D46" s="9"/>
      <c r="E46" s="9"/>
      <c r="F46" s="9"/>
      <c r="G46" s="9"/>
      <c r="H46" s="9"/>
      <c r="I46" s="312"/>
      <c r="J46" s="35" t="s">
        <v>230</v>
      </c>
      <c r="K46" s="187">
        <v>261.01387272705404</v>
      </c>
      <c r="L46" s="35"/>
    </row>
    <row r="47" spans="1:12" x14ac:dyDescent="0.25">
      <c r="A47" s="312"/>
      <c r="B47" s="9"/>
      <c r="C47" s="9"/>
      <c r="D47" s="9"/>
      <c r="E47" s="9"/>
      <c r="F47" s="9"/>
      <c r="G47" s="9"/>
      <c r="H47" s="9"/>
      <c r="I47" s="312"/>
      <c r="J47" s="35" t="s">
        <v>625</v>
      </c>
      <c r="K47" s="187">
        <v>271.957497997281</v>
      </c>
      <c r="L47" s="35"/>
    </row>
    <row r="48" spans="1:12" x14ac:dyDescent="0.25">
      <c r="A48" s="312"/>
      <c r="B48" s="9"/>
      <c r="C48" s="9"/>
      <c r="D48" s="9"/>
      <c r="E48" s="9"/>
      <c r="F48" s="9"/>
      <c r="G48" s="9"/>
      <c r="H48" s="9"/>
      <c r="I48" s="312"/>
      <c r="J48" s="35" t="s">
        <v>234</v>
      </c>
      <c r="K48" s="187">
        <v>286.65307429187652</v>
      </c>
      <c r="L48" s="35"/>
    </row>
    <row r="49" spans="1:12" x14ac:dyDescent="0.25">
      <c r="A49" s="312"/>
      <c r="B49" s="9"/>
      <c r="C49" s="9"/>
      <c r="D49" s="9"/>
      <c r="E49" s="9"/>
      <c r="F49" s="9"/>
      <c r="G49" s="9"/>
      <c r="H49" s="9"/>
      <c r="I49" s="312"/>
      <c r="K49" s="296"/>
    </row>
    <row r="50" spans="1:12" x14ac:dyDescent="0.25">
      <c r="A50" s="312"/>
      <c r="B50" s="9"/>
      <c r="C50" s="9"/>
      <c r="D50" s="9"/>
      <c r="E50" s="9"/>
      <c r="F50" s="9"/>
      <c r="G50" s="9"/>
      <c r="H50" s="9"/>
      <c r="I50" s="312"/>
      <c r="J50" s="319" t="s">
        <v>779</v>
      </c>
    </row>
    <row r="51" spans="1:12" x14ac:dyDescent="0.2">
      <c r="A51" s="312"/>
      <c r="B51" s="9"/>
      <c r="C51" s="9"/>
      <c r="D51" s="9"/>
      <c r="E51" s="9"/>
      <c r="F51" s="9"/>
      <c r="G51" s="9"/>
      <c r="H51" s="9"/>
      <c r="I51" s="312"/>
    </row>
    <row r="52" spans="1:12" x14ac:dyDescent="0.2">
      <c r="A52" s="312"/>
      <c r="B52" s="9"/>
      <c r="C52" s="9"/>
      <c r="D52" s="9"/>
      <c r="E52" s="9"/>
      <c r="F52" s="9"/>
      <c r="G52" s="9"/>
      <c r="H52" s="9"/>
      <c r="I52" s="312"/>
    </row>
    <row r="53" spans="1:12" x14ac:dyDescent="0.2">
      <c r="A53" s="312"/>
      <c r="B53" s="9"/>
      <c r="C53" s="9"/>
      <c r="D53" s="9"/>
      <c r="E53" s="9"/>
      <c r="F53" s="9"/>
      <c r="G53" s="9"/>
      <c r="H53" s="9"/>
      <c r="I53" s="312"/>
    </row>
    <row r="54" spans="1:12" x14ac:dyDescent="0.2">
      <c r="A54" s="312"/>
      <c r="B54" s="9"/>
      <c r="C54" s="9"/>
      <c r="D54" s="9"/>
      <c r="E54" s="9"/>
      <c r="F54" s="9"/>
      <c r="G54" s="9"/>
      <c r="H54" s="9"/>
      <c r="I54" s="312"/>
    </row>
    <row r="55" spans="1:12" x14ac:dyDescent="0.2">
      <c r="A55" s="312"/>
      <c r="B55" s="9"/>
      <c r="C55" s="9"/>
      <c r="D55" s="9"/>
      <c r="E55" s="9"/>
      <c r="F55" s="9"/>
      <c r="G55" s="9"/>
      <c r="H55" s="9"/>
      <c r="I55" s="312"/>
    </row>
    <row r="56" spans="1:12" x14ac:dyDescent="0.2">
      <c r="A56" s="312"/>
      <c r="B56" s="9"/>
      <c r="C56" s="9"/>
      <c r="D56" s="9"/>
      <c r="E56" s="9"/>
      <c r="F56" s="9"/>
      <c r="G56" s="9"/>
      <c r="H56" s="9"/>
      <c r="I56" s="312"/>
      <c r="J56" s="35"/>
      <c r="K56" s="35" t="s">
        <v>703</v>
      </c>
      <c r="L56" s="35"/>
    </row>
    <row r="57" spans="1:12" x14ac:dyDescent="0.2">
      <c r="A57" s="312"/>
      <c r="B57" s="9"/>
      <c r="C57" s="9"/>
      <c r="D57" s="9"/>
      <c r="E57" s="9"/>
      <c r="F57" s="9"/>
      <c r="G57" s="9"/>
      <c r="H57" s="9"/>
      <c r="I57" s="312"/>
      <c r="J57" s="35" t="s">
        <v>231</v>
      </c>
      <c r="K57" s="187">
        <v>361.22354648776837</v>
      </c>
      <c r="L57" s="35"/>
    </row>
    <row r="58" spans="1:12" x14ac:dyDescent="0.2">
      <c r="A58" s="312"/>
      <c r="B58" s="9"/>
      <c r="C58" s="9"/>
      <c r="D58" s="9"/>
      <c r="E58" s="9"/>
      <c r="F58" s="9"/>
      <c r="G58" s="9"/>
      <c r="H58" s="9"/>
      <c r="I58" s="312"/>
      <c r="J58" s="35" t="s">
        <v>626</v>
      </c>
      <c r="K58" s="187">
        <v>437.53544472905958</v>
      </c>
      <c r="L58" s="35"/>
    </row>
    <row r="59" spans="1:12" x14ac:dyDescent="0.2">
      <c r="A59" s="312"/>
      <c r="B59" s="9"/>
      <c r="C59" s="9"/>
      <c r="D59" s="9"/>
      <c r="E59" s="9"/>
      <c r="F59" s="9"/>
      <c r="G59" s="9"/>
      <c r="H59" s="9"/>
      <c r="I59" s="312"/>
      <c r="J59" s="35" t="s">
        <v>232</v>
      </c>
      <c r="K59" s="187">
        <v>438.09653051069796</v>
      </c>
      <c r="L59" s="35"/>
    </row>
    <row r="60" spans="1:12" x14ac:dyDescent="0.2">
      <c r="A60" s="312"/>
      <c r="B60" s="9"/>
      <c r="C60" s="9"/>
      <c r="D60" s="9"/>
      <c r="E60" s="9"/>
      <c r="F60" s="9"/>
      <c r="G60" s="9"/>
      <c r="H60" s="9"/>
      <c r="I60" s="312"/>
      <c r="J60" s="35" t="s">
        <v>88</v>
      </c>
      <c r="K60" s="187">
        <v>485.05914324416943</v>
      </c>
      <c r="L60" s="35"/>
    </row>
    <row r="61" spans="1:12" x14ac:dyDescent="0.2">
      <c r="A61" s="312"/>
      <c r="B61" s="9"/>
      <c r="C61" s="9"/>
      <c r="D61" s="9"/>
      <c r="E61" s="9"/>
      <c r="F61" s="9"/>
      <c r="G61" s="9"/>
      <c r="H61" s="9"/>
      <c r="I61" s="312"/>
      <c r="J61" s="35" t="s">
        <v>625</v>
      </c>
      <c r="K61" s="187">
        <v>505.36363375423048</v>
      </c>
      <c r="L61" s="35"/>
    </row>
    <row r="62" spans="1:12" x14ac:dyDescent="0.2">
      <c r="A62" s="312"/>
      <c r="B62" s="9"/>
      <c r="C62" s="9"/>
      <c r="D62" s="9"/>
      <c r="E62" s="9"/>
      <c r="F62" s="9"/>
      <c r="G62" s="9"/>
      <c r="H62" s="9"/>
      <c r="I62" s="312"/>
      <c r="J62" s="35" t="s">
        <v>230</v>
      </c>
      <c r="K62" s="187">
        <v>525.89512692745996</v>
      </c>
      <c r="L62" s="35"/>
    </row>
    <row r="63" spans="1:12" x14ac:dyDescent="0.2">
      <c r="A63" s="312"/>
      <c r="B63" s="9"/>
      <c r="C63" s="9"/>
      <c r="D63" s="9"/>
      <c r="E63" s="9"/>
      <c r="F63" s="9"/>
      <c r="G63" s="9"/>
      <c r="H63" s="9"/>
      <c r="I63" s="312"/>
      <c r="J63" s="35" t="s">
        <v>229</v>
      </c>
      <c r="K63" s="187">
        <v>591.43644585272466</v>
      </c>
      <c r="L63" s="35"/>
    </row>
    <row r="64" spans="1:12" x14ac:dyDescent="0.2">
      <c r="A64" s="312"/>
      <c r="B64" s="9"/>
      <c r="C64" s="9"/>
      <c r="D64" s="9"/>
      <c r="E64" s="9"/>
      <c r="F64" s="9"/>
      <c r="G64" s="9"/>
      <c r="H64" s="9"/>
      <c r="I64" s="312"/>
      <c r="J64" s="35" t="s">
        <v>234</v>
      </c>
      <c r="K64" s="187">
        <v>599.96292988693608</v>
      </c>
      <c r="L64" s="35"/>
    </row>
    <row r="65" spans="1:12" x14ac:dyDescent="0.2">
      <c r="A65" s="312"/>
      <c r="B65" s="9"/>
      <c r="C65" s="9"/>
      <c r="D65" s="9"/>
      <c r="E65" s="9"/>
      <c r="F65" s="9"/>
      <c r="G65" s="9"/>
      <c r="H65" s="9"/>
      <c r="I65" s="312"/>
      <c r="J65" s="35"/>
      <c r="K65" s="35"/>
      <c r="L65" s="35"/>
    </row>
    <row r="66" spans="1:12" x14ac:dyDescent="0.2">
      <c r="A66" s="312"/>
      <c r="B66" s="9"/>
      <c r="C66" s="9"/>
      <c r="D66" s="9"/>
      <c r="E66" s="9"/>
      <c r="F66" s="9"/>
      <c r="G66" s="9"/>
      <c r="H66" s="9"/>
      <c r="I66" s="312"/>
      <c r="J66" s="319" t="s">
        <v>691</v>
      </c>
    </row>
    <row r="67" spans="1:12" x14ac:dyDescent="0.2">
      <c r="A67" s="312"/>
      <c r="B67" s="9"/>
      <c r="C67" s="9"/>
      <c r="D67" s="9"/>
      <c r="E67" s="9"/>
      <c r="F67" s="9"/>
      <c r="G67" s="9"/>
      <c r="H67" s="9"/>
      <c r="I67" s="312"/>
    </row>
    <row r="68" spans="1:12" x14ac:dyDescent="0.2">
      <c r="A68" s="312"/>
      <c r="B68" s="9"/>
      <c r="C68" s="9"/>
      <c r="D68" s="9"/>
      <c r="E68" s="9"/>
      <c r="F68" s="9"/>
      <c r="G68" s="9"/>
      <c r="H68" s="9"/>
      <c r="I68" s="312"/>
    </row>
    <row r="69" spans="1:12" x14ac:dyDescent="0.2">
      <c r="A69" s="312"/>
      <c r="B69" s="9"/>
      <c r="C69" s="9"/>
      <c r="D69" s="9"/>
      <c r="E69" s="9"/>
      <c r="F69" s="9"/>
      <c r="G69" s="9"/>
      <c r="H69" s="9"/>
      <c r="I69" s="312"/>
    </row>
    <row r="70" spans="1:12" x14ac:dyDescent="0.2">
      <c r="A70" s="312"/>
      <c r="B70" s="9"/>
      <c r="C70" s="9"/>
      <c r="D70" s="9"/>
      <c r="E70" s="9"/>
      <c r="F70" s="9"/>
      <c r="G70" s="9"/>
      <c r="H70" s="9"/>
      <c r="I70" s="312"/>
    </row>
    <row r="71" spans="1:12" x14ac:dyDescent="0.2">
      <c r="A71" s="312"/>
      <c r="B71" s="9"/>
      <c r="C71" s="9"/>
      <c r="D71" s="9"/>
      <c r="E71" s="9"/>
      <c r="F71" s="9"/>
      <c r="G71" s="9"/>
      <c r="H71" s="9"/>
      <c r="I71" s="312"/>
    </row>
    <row r="72" spans="1:12" x14ac:dyDescent="0.2">
      <c r="A72" s="312"/>
      <c r="B72" s="9"/>
      <c r="C72" s="9"/>
      <c r="D72" s="9"/>
      <c r="E72" s="9"/>
      <c r="F72" s="9"/>
      <c r="G72" s="9"/>
      <c r="H72" s="9"/>
      <c r="I72" s="312"/>
      <c r="J72" s="35"/>
      <c r="K72" s="35" t="s">
        <v>702</v>
      </c>
    </row>
    <row r="73" spans="1:12" x14ac:dyDescent="0.2">
      <c r="A73" s="312"/>
      <c r="B73" s="9"/>
      <c r="C73" s="9"/>
      <c r="D73" s="9"/>
      <c r="E73" s="9"/>
      <c r="F73" s="9"/>
      <c r="G73" s="9"/>
      <c r="H73" s="9"/>
      <c r="I73" s="312"/>
      <c r="J73" s="267" t="s">
        <v>231</v>
      </c>
      <c r="K73" s="330">
        <v>1977.4706864053751</v>
      </c>
    </row>
    <row r="74" spans="1:12" x14ac:dyDescent="0.2">
      <c r="A74" s="312"/>
      <c r="B74" s="9"/>
      <c r="C74" s="9"/>
      <c r="D74" s="9"/>
      <c r="E74" s="9"/>
      <c r="F74" s="9"/>
      <c r="G74" s="9"/>
      <c r="H74" s="9"/>
      <c r="I74" s="312"/>
      <c r="J74" s="267" t="s">
        <v>232</v>
      </c>
      <c r="K74" s="330">
        <v>2435.8800379970144</v>
      </c>
      <c r="L74" s="35"/>
    </row>
    <row r="75" spans="1:12" x14ac:dyDescent="0.2">
      <c r="A75" s="312"/>
      <c r="B75" s="9"/>
      <c r="C75" s="9"/>
      <c r="D75" s="9"/>
      <c r="E75" s="9"/>
      <c r="F75" s="9"/>
      <c r="G75" s="9"/>
      <c r="H75" s="9"/>
      <c r="I75" s="312"/>
      <c r="J75" s="267" t="s">
        <v>234</v>
      </c>
      <c r="K75" s="330">
        <v>2482.3495711661922</v>
      </c>
    </row>
    <row r="76" spans="1:12" x14ac:dyDescent="0.2">
      <c r="A76" s="312"/>
      <c r="B76" s="9"/>
      <c r="C76" s="9"/>
      <c r="D76" s="9"/>
      <c r="E76" s="9"/>
      <c r="F76" s="9"/>
      <c r="G76" s="9"/>
      <c r="H76" s="9"/>
      <c r="I76" s="312"/>
      <c r="J76" s="267" t="s">
        <v>88</v>
      </c>
      <c r="K76" s="330">
        <v>2963.6479916981975</v>
      </c>
    </row>
    <row r="77" spans="1:12" x14ac:dyDescent="0.2">
      <c r="A77" s="312"/>
      <c r="B77" s="9"/>
      <c r="C77" s="9"/>
      <c r="D77" s="9"/>
      <c r="E77" s="9"/>
      <c r="F77" s="9"/>
      <c r="G77" s="9"/>
      <c r="H77" s="9"/>
      <c r="I77" s="312"/>
      <c r="J77" s="267" t="s">
        <v>229</v>
      </c>
      <c r="K77" s="330">
        <v>2974.7169686767666</v>
      </c>
    </row>
    <row r="78" spans="1:12" x14ac:dyDescent="0.2">
      <c r="A78" s="312"/>
      <c r="B78" s="9"/>
      <c r="C78" s="9"/>
      <c r="D78" s="9"/>
      <c r="E78" s="9"/>
      <c r="F78" s="9"/>
      <c r="G78" s="9"/>
      <c r="H78" s="9"/>
      <c r="I78" s="312"/>
      <c r="J78" s="267" t="s">
        <v>230</v>
      </c>
      <c r="K78" s="330">
        <v>3056.262665674325</v>
      </c>
    </row>
    <row r="79" spans="1:12" x14ac:dyDescent="0.2">
      <c r="A79" s="312"/>
      <c r="B79" s="9"/>
      <c r="C79" s="9"/>
      <c r="D79" s="9"/>
      <c r="E79" s="9"/>
      <c r="F79" s="9"/>
      <c r="G79" s="9"/>
      <c r="H79" s="9"/>
      <c r="I79" s="312"/>
      <c r="J79" s="267" t="s">
        <v>626</v>
      </c>
      <c r="K79" s="330">
        <v>3298.405605690949</v>
      </c>
    </row>
    <row r="80" spans="1:12" x14ac:dyDescent="0.2">
      <c r="A80" s="312"/>
      <c r="B80" s="9"/>
      <c r="C80" s="9"/>
      <c r="D80" s="9"/>
      <c r="E80" s="9"/>
      <c r="F80" s="9"/>
      <c r="G80" s="9"/>
      <c r="H80" s="9"/>
      <c r="I80" s="312"/>
      <c r="J80" s="267" t="s">
        <v>625</v>
      </c>
      <c r="K80" s="330">
        <v>4692.4945659122877</v>
      </c>
    </row>
    <row r="81" spans="1:11" x14ac:dyDescent="0.2">
      <c r="A81" s="312"/>
      <c r="B81" s="9"/>
      <c r="C81" s="9"/>
      <c r="D81" s="9"/>
      <c r="E81" s="9"/>
      <c r="F81" s="9"/>
      <c r="G81" s="9"/>
      <c r="H81" s="9"/>
      <c r="I81" s="312"/>
      <c r="J81" s="35"/>
      <c r="K81" s="35"/>
    </row>
    <row r="82" spans="1:11" x14ac:dyDescent="0.2">
      <c r="A82" s="312"/>
      <c r="B82" s="9"/>
      <c r="C82" s="9"/>
      <c r="D82" s="9"/>
      <c r="E82" s="9"/>
      <c r="F82" s="9"/>
      <c r="G82" s="9"/>
      <c r="H82" s="9"/>
      <c r="I82" s="312"/>
      <c r="J82" s="319" t="s">
        <v>819</v>
      </c>
    </row>
    <row r="83" spans="1:11" x14ac:dyDescent="0.2">
      <c r="A83" s="312"/>
      <c r="B83" s="9"/>
      <c r="C83" s="9"/>
      <c r="D83" s="9"/>
      <c r="E83" s="9"/>
      <c r="F83" s="9"/>
      <c r="G83" s="9"/>
      <c r="H83" s="9"/>
      <c r="I83" s="312"/>
    </row>
    <row r="84" spans="1:11" x14ac:dyDescent="0.2">
      <c r="A84" s="312"/>
      <c r="B84" s="9"/>
      <c r="C84" s="9"/>
      <c r="D84" s="9"/>
      <c r="E84" s="9"/>
      <c r="F84" s="9"/>
      <c r="G84" s="9"/>
      <c r="H84" s="9"/>
      <c r="I84" s="312"/>
    </row>
    <row r="85" spans="1:11" x14ac:dyDescent="0.2">
      <c r="A85" s="312"/>
      <c r="B85" s="9"/>
      <c r="C85" s="9"/>
      <c r="D85" s="9"/>
      <c r="E85" s="9"/>
      <c r="F85" s="9"/>
      <c r="G85" s="9"/>
      <c r="H85" s="9"/>
      <c r="I85" s="312"/>
    </row>
    <row r="86" spans="1:11" x14ac:dyDescent="0.2">
      <c r="A86" s="312"/>
      <c r="B86" s="9"/>
      <c r="C86" s="9"/>
      <c r="D86" s="9"/>
      <c r="E86" s="9"/>
      <c r="F86" s="9"/>
      <c r="G86" s="9"/>
      <c r="H86" s="9"/>
      <c r="I86" s="312"/>
    </row>
    <row r="87" spans="1:11" x14ac:dyDescent="0.2">
      <c r="A87" s="312"/>
      <c r="B87" s="9"/>
      <c r="C87" s="9"/>
      <c r="D87" s="9"/>
      <c r="E87" s="9"/>
      <c r="F87" s="9"/>
      <c r="G87" s="9"/>
      <c r="H87" s="9"/>
      <c r="I87" s="312"/>
    </row>
    <row r="88" spans="1:11" x14ac:dyDescent="0.2">
      <c r="A88" s="312"/>
      <c r="B88" s="9"/>
      <c r="C88" s="9"/>
      <c r="D88" s="9"/>
      <c r="E88" s="9"/>
      <c r="F88" s="9"/>
      <c r="G88" s="9"/>
      <c r="H88" s="9"/>
      <c r="I88" s="312"/>
      <c r="J88" s="35"/>
      <c r="K88" s="35" t="s">
        <v>704</v>
      </c>
    </row>
    <row r="89" spans="1:11" x14ac:dyDescent="0.2">
      <c r="A89" s="312"/>
      <c r="B89" s="9"/>
      <c r="C89" s="9"/>
      <c r="D89" s="9"/>
      <c r="E89" s="9"/>
      <c r="F89" s="9"/>
      <c r="G89" s="9"/>
      <c r="H89" s="9"/>
      <c r="I89" s="312"/>
      <c r="J89" s="35" t="s">
        <v>234</v>
      </c>
      <c r="K89" s="187">
        <v>21.264764857532818</v>
      </c>
    </row>
    <row r="90" spans="1:11" x14ac:dyDescent="0.2">
      <c r="A90" s="312"/>
      <c r="B90" s="9"/>
      <c r="C90" s="9"/>
      <c r="D90" s="9"/>
      <c r="E90" s="9"/>
      <c r="F90" s="9"/>
      <c r="G90" s="9"/>
      <c r="H90" s="9"/>
      <c r="I90" s="312"/>
      <c r="J90" s="35" t="s">
        <v>232</v>
      </c>
      <c r="K90" s="187">
        <v>23.748134075179806</v>
      </c>
    </row>
    <row r="91" spans="1:11" x14ac:dyDescent="0.2">
      <c r="A91" s="312"/>
      <c r="B91" s="9"/>
      <c r="C91" s="9"/>
      <c r="D91" s="9"/>
      <c r="E91" s="9"/>
      <c r="F91" s="9"/>
      <c r="G91" s="9"/>
      <c r="H91" s="9"/>
      <c r="I91" s="312"/>
      <c r="J91" s="35" t="s">
        <v>231</v>
      </c>
      <c r="K91" s="187">
        <v>25.645345463394545</v>
      </c>
    </row>
    <row r="92" spans="1:11" x14ac:dyDescent="0.2">
      <c r="A92" s="312"/>
      <c r="B92" s="9"/>
      <c r="C92" s="9"/>
      <c r="D92" s="9"/>
      <c r="E92" s="9"/>
      <c r="F92" s="9"/>
      <c r="G92" s="9"/>
      <c r="H92" s="9"/>
      <c r="I92" s="312"/>
      <c r="J92" s="35" t="s">
        <v>626</v>
      </c>
      <c r="K92" s="187">
        <v>27.822922891300294</v>
      </c>
    </row>
    <row r="93" spans="1:11" x14ac:dyDescent="0.2">
      <c r="A93" s="312"/>
      <c r="B93" s="9"/>
      <c r="C93" s="9"/>
      <c r="D93" s="9"/>
      <c r="E93" s="9"/>
      <c r="F93" s="9"/>
      <c r="G93" s="9"/>
      <c r="H93" s="9"/>
      <c r="I93" s="312"/>
      <c r="J93" s="35" t="s">
        <v>88</v>
      </c>
      <c r="K93" s="187">
        <v>28.369654794994396</v>
      </c>
    </row>
    <row r="94" spans="1:11" x14ac:dyDescent="0.2">
      <c r="A94" s="312"/>
      <c r="B94" s="9"/>
      <c r="C94" s="9"/>
      <c r="D94" s="9"/>
      <c r="E94" s="9"/>
      <c r="F94" s="9"/>
      <c r="G94" s="9"/>
      <c r="H94" s="9"/>
      <c r="I94" s="312"/>
      <c r="J94" s="35" t="s">
        <v>229</v>
      </c>
      <c r="K94" s="187">
        <v>28.880747268706479</v>
      </c>
    </row>
    <row r="95" spans="1:11" x14ac:dyDescent="0.2">
      <c r="A95" s="312"/>
      <c r="B95" s="9"/>
      <c r="C95" s="9"/>
      <c r="D95" s="9"/>
      <c r="E95" s="9"/>
      <c r="F95" s="9"/>
      <c r="G95" s="9"/>
      <c r="H95" s="9"/>
      <c r="I95" s="312"/>
      <c r="J95" s="35" t="s">
        <v>230</v>
      </c>
      <c r="K95" s="187">
        <v>30.268705664768497</v>
      </c>
    </row>
    <row r="96" spans="1:11" x14ac:dyDescent="0.2">
      <c r="A96" s="312"/>
      <c r="B96" s="9"/>
      <c r="C96" s="9"/>
      <c r="D96" s="9"/>
      <c r="E96" s="9"/>
      <c r="F96" s="9"/>
      <c r="G96" s="9"/>
      <c r="H96" s="9"/>
      <c r="I96" s="312"/>
      <c r="J96" s="35" t="s">
        <v>625</v>
      </c>
      <c r="K96" s="187">
        <v>37.627632564341425</v>
      </c>
    </row>
    <row r="97" spans="1:11" x14ac:dyDescent="0.2">
      <c r="A97" s="312"/>
      <c r="B97" s="9"/>
      <c r="C97" s="9"/>
      <c r="D97" s="9"/>
      <c r="E97" s="9"/>
      <c r="F97" s="9"/>
      <c r="G97" s="9"/>
      <c r="H97" s="9"/>
      <c r="I97" s="312"/>
    </row>
    <row r="98" spans="1:11" x14ac:dyDescent="0.2">
      <c r="A98" s="312"/>
      <c r="B98" s="9"/>
      <c r="C98" s="9"/>
      <c r="D98" s="9"/>
      <c r="E98" s="9"/>
      <c r="F98" s="9"/>
      <c r="G98" s="9"/>
      <c r="H98" s="9"/>
      <c r="I98" s="312"/>
      <c r="J98" s="319" t="s">
        <v>692</v>
      </c>
    </row>
    <row r="99" spans="1:11" x14ac:dyDescent="0.2">
      <c r="A99" s="312"/>
      <c r="B99" s="9"/>
      <c r="C99" s="9"/>
      <c r="D99" s="9"/>
      <c r="E99" s="9"/>
      <c r="F99" s="9"/>
      <c r="G99" s="9"/>
      <c r="H99" s="9"/>
      <c r="I99" s="312"/>
    </row>
    <row r="100" spans="1:11" x14ac:dyDescent="0.2">
      <c r="A100" s="312"/>
      <c r="B100" s="9"/>
      <c r="C100" s="9"/>
      <c r="D100" s="9"/>
      <c r="E100" s="9"/>
      <c r="F100" s="9"/>
      <c r="G100" s="9"/>
      <c r="H100" s="9"/>
      <c r="I100" s="312"/>
    </row>
    <row r="101" spans="1:11" x14ac:dyDescent="0.2">
      <c r="A101" s="312"/>
      <c r="B101" s="9"/>
      <c r="C101" s="9"/>
      <c r="D101" s="9"/>
      <c r="E101" s="9"/>
      <c r="F101" s="9"/>
      <c r="G101" s="9"/>
      <c r="H101" s="9"/>
      <c r="I101" s="312"/>
    </row>
    <row r="102" spans="1:11" x14ac:dyDescent="0.2">
      <c r="A102" s="312"/>
      <c r="B102" s="9"/>
      <c r="C102" s="9"/>
      <c r="D102" s="9"/>
      <c r="E102" s="9"/>
      <c r="F102" s="9"/>
      <c r="G102" s="9"/>
      <c r="H102" s="9"/>
      <c r="I102" s="312"/>
    </row>
    <row r="103" spans="1:11" x14ac:dyDescent="0.2">
      <c r="A103" s="312"/>
      <c r="B103" s="9"/>
      <c r="C103" s="9"/>
      <c r="D103" s="9"/>
      <c r="E103" s="9"/>
      <c r="F103" s="9"/>
      <c r="G103" s="9"/>
      <c r="H103" s="9"/>
      <c r="I103" s="312"/>
    </row>
    <row r="104" spans="1:11" x14ac:dyDescent="0.2">
      <c r="A104" s="312"/>
      <c r="B104" s="9"/>
      <c r="C104" s="9"/>
      <c r="D104" s="9"/>
      <c r="E104" s="9"/>
      <c r="F104" s="9"/>
      <c r="G104" s="9"/>
      <c r="H104" s="9"/>
      <c r="I104" s="312"/>
      <c r="J104" s="35"/>
      <c r="K104" s="35" t="s">
        <v>684</v>
      </c>
    </row>
    <row r="105" spans="1:11" x14ac:dyDescent="0.2">
      <c r="A105" s="312"/>
      <c r="B105" s="9"/>
      <c r="C105" s="9"/>
      <c r="D105" s="9"/>
      <c r="E105" s="9"/>
      <c r="F105" s="9"/>
      <c r="G105" s="9"/>
      <c r="H105" s="9"/>
      <c r="I105" s="312"/>
      <c r="J105" s="35" t="s">
        <v>229</v>
      </c>
      <c r="K105" s="320">
        <v>0.81102290768881835</v>
      </c>
    </row>
    <row r="106" spans="1:11" x14ac:dyDescent="0.2">
      <c r="A106" s="312"/>
      <c r="B106" s="9"/>
      <c r="C106" s="9"/>
      <c r="D106" s="9"/>
      <c r="E106" s="9"/>
      <c r="F106" s="9"/>
      <c r="G106" s="9"/>
      <c r="H106" s="9"/>
      <c r="I106" s="312"/>
      <c r="J106" s="35" t="s">
        <v>230</v>
      </c>
      <c r="K106" s="320">
        <v>0.82420138377741792</v>
      </c>
    </row>
    <row r="107" spans="1:11" x14ac:dyDescent="0.2">
      <c r="A107" s="312"/>
      <c r="B107" s="9"/>
      <c r="C107" s="9"/>
      <c r="D107" s="9"/>
      <c r="E107" s="9"/>
      <c r="F107" s="9"/>
      <c r="G107" s="9"/>
      <c r="H107" s="9"/>
      <c r="I107" s="312"/>
      <c r="J107" s="35" t="s">
        <v>625</v>
      </c>
      <c r="K107" s="320">
        <v>0.84439890710382515</v>
      </c>
    </row>
    <row r="108" spans="1:11" x14ac:dyDescent="0.2">
      <c r="A108" s="312"/>
      <c r="B108" s="9"/>
      <c r="C108" s="9"/>
      <c r="D108" s="9"/>
      <c r="E108" s="9"/>
      <c r="F108" s="9"/>
      <c r="G108" s="9"/>
      <c r="H108" s="9"/>
      <c r="I108" s="312"/>
      <c r="J108" s="35" t="s">
        <v>234</v>
      </c>
      <c r="K108" s="320">
        <v>0.84593057694585949</v>
      </c>
    </row>
    <row r="109" spans="1:11" x14ac:dyDescent="0.2">
      <c r="A109" s="312"/>
      <c r="B109" s="9"/>
      <c r="C109" s="9"/>
      <c r="D109" s="9"/>
      <c r="E109" s="9"/>
      <c r="F109" s="9"/>
      <c r="G109" s="9"/>
      <c r="H109" s="9"/>
      <c r="I109" s="312"/>
      <c r="J109" s="35" t="s">
        <v>88</v>
      </c>
      <c r="K109" s="320">
        <v>0.84759957152595189</v>
      </c>
    </row>
    <row r="110" spans="1:11" x14ac:dyDescent="0.2">
      <c r="A110" s="312"/>
      <c r="B110" s="9"/>
      <c r="C110" s="9"/>
      <c r="D110" s="9"/>
      <c r="E110" s="9"/>
      <c r="F110" s="9"/>
      <c r="G110" s="9"/>
      <c r="H110" s="9"/>
      <c r="I110" s="312"/>
      <c r="J110" s="35" t="s">
        <v>231</v>
      </c>
      <c r="K110" s="320">
        <v>0.84967068177772498</v>
      </c>
    </row>
    <row r="111" spans="1:11" x14ac:dyDescent="0.2">
      <c r="A111" s="312"/>
      <c r="B111" s="9"/>
      <c r="C111" s="9"/>
      <c r="D111" s="9"/>
      <c r="E111" s="9"/>
      <c r="F111" s="9"/>
      <c r="G111" s="9"/>
      <c r="H111" s="9"/>
      <c r="I111" s="312"/>
      <c r="J111" s="35" t="s">
        <v>626</v>
      </c>
      <c r="K111" s="320">
        <v>0.88775116597117509</v>
      </c>
    </row>
    <row r="112" spans="1:11" x14ac:dyDescent="0.2">
      <c r="A112" s="312"/>
      <c r="B112" s="9"/>
      <c r="C112" s="9"/>
      <c r="D112" s="9"/>
      <c r="E112" s="9"/>
      <c r="F112" s="9"/>
      <c r="G112" s="9"/>
      <c r="H112" s="9"/>
      <c r="I112" s="312"/>
      <c r="J112" s="35" t="s">
        <v>232</v>
      </c>
      <c r="K112" s="320">
        <v>0.91464932909116059</v>
      </c>
    </row>
    <row r="113" spans="1:11" x14ac:dyDescent="0.2">
      <c r="A113" s="312"/>
      <c r="B113" s="9"/>
      <c r="C113" s="9"/>
      <c r="D113" s="9"/>
      <c r="E113" s="9"/>
      <c r="F113" s="9"/>
      <c r="G113" s="9"/>
      <c r="H113" s="9"/>
      <c r="I113" s="312"/>
    </row>
    <row r="114" spans="1:11" x14ac:dyDescent="0.2">
      <c r="A114" s="312"/>
      <c r="B114" s="9"/>
      <c r="C114" s="9"/>
      <c r="D114" s="9"/>
      <c r="E114" s="9"/>
      <c r="F114" s="9"/>
      <c r="G114" s="9"/>
      <c r="H114" s="9"/>
      <c r="I114" s="312"/>
      <c r="J114" s="319" t="s">
        <v>656</v>
      </c>
    </row>
    <row r="115" spans="1:11" x14ac:dyDescent="0.2">
      <c r="A115" s="312"/>
      <c r="B115" s="9"/>
      <c r="C115" s="9"/>
      <c r="D115" s="9"/>
      <c r="E115" s="9"/>
      <c r="F115" s="9"/>
      <c r="G115" s="9"/>
      <c r="H115" s="9"/>
      <c r="I115" s="312"/>
    </row>
    <row r="116" spans="1:11" x14ac:dyDescent="0.2">
      <c r="A116" s="312"/>
      <c r="B116" s="9"/>
      <c r="C116" s="9"/>
      <c r="D116" s="9"/>
      <c r="E116" s="9"/>
      <c r="F116" s="9"/>
      <c r="G116" s="9"/>
      <c r="H116" s="9"/>
      <c r="I116" s="312"/>
    </row>
    <row r="117" spans="1:11" x14ac:dyDescent="0.2">
      <c r="A117" s="312"/>
      <c r="B117" s="9"/>
      <c r="C117" s="9"/>
      <c r="D117" s="9"/>
      <c r="E117" s="9"/>
      <c r="F117" s="9"/>
      <c r="G117" s="9"/>
      <c r="H117" s="9"/>
      <c r="I117" s="312"/>
    </row>
    <row r="118" spans="1:11" x14ac:dyDescent="0.2">
      <c r="A118" s="312"/>
      <c r="B118" s="9"/>
      <c r="C118" s="9"/>
      <c r="D118" s="9"/>
      <c r="E118" s="9"/>
      <c r="F118" s="9"/>
      <c r="G118" s="9"/>
      <c r="H118" s="9"/>
      <c r="I118" s="312"/>
    </row>
    <row r="119" spans="1:11" x14ac:dyDescent="0.2">
      <c r="A119" s="312"/>
      <c r="B119" s="9"/>
      <c r="C119" s="9"/>
      <c r="D119" s="9"/>
      <c r="E119" s="9"/>
      <c r="F119" s="9"/>
      <c r="G119" s="9"/>
      <c r="H119" s="9"/>
      <c r="I119" s="312"/>
    </row>
    <row r="120" spans="1:11" x14ac:dyDescent="0.2">
      <c r="A120" s="312"/>
      <c r="B120" s="9"/>
      <c r="C120" s="9"/>
      <c r="D120" s="9"/>
      <c r="E120" s="9"/>
      <c r="F120" s="9"/>
      <c r="G120" s="9"/>
      <c r="H120" s="9"/>
      <c r="I120" s="312"/>
      <c r="J120" s="35"/>
      <c r="K120" s="35" t="s">
        <v>687</v>
      </c>
    </row>
    <row r="121" spans="1:11" x14ac:dyDescent="0.2">
      <c r="A121" s="312"/>
      <c r="B121" s="9"/>
      <c r="C121" s="9"/>
      <c r="D121" s="9"/>
      <c r="E121" s="9"/>
      <c r="F121" s="9"/>
      <c r="G121" s="9"/>
      <c r="H121" s="9"/>
      <c r="I121" s="312"/>
      <c r="J121" s="35" t="s">
        <v>625</v>
      </c>
      <c r="K121" s="321">
        <v>2.2179949847219285</v>
      </c>
    </row>
    <row r="122" spans="1:11" x14ac:dyDescent="0.2">
      <c r="A122" s="312"/>
      <c r="B122" s="9"/>
      <c r="C122" s="9"/>
      <c r="D122" s="9"/>
      <c r="E122" s="9"/>
      <c r="F122" s="9"/>
      <c r="G122" s="9"/>
      <c r="H122" s="9"/>
      <c r="I122" s="312"/>
      <c r="J122" s="35" t="s">
        <v>626</v>
      </c>
      <c r="K122" s="321">
        <v>2.2265950603844971</v>
      </c>
    </row>
    <row r="123" spans="1:11" x14ac:dyDescent="0.2">
      <c r="A123" s="312"/>
      <c r="B123" s="9"/>
      <c r="C123" s="9"/>
      <c r="D123" s="9"/>
      <c r="E123" s="9"/>
      <c r="F123" s="9"/>
      <c r="G123" s="9"/>
      <c r="H123" s="9"/>
      <c r="I123" s="312"/>
      <c r="J123" s="35" t="s">
        <v>232</v>
      </c>
      <c r="K123" s="321">
        <v>2.5632906620828999</v>
      </c>
    </row>
    <row r="124" spans="1:11" x14ac:dyDescent="0.2">
      <c r="A124" s="312"/>
      <c r="B124" s="9"/>
      <c r="C124" s="9"/>
      <c r="D124" s="9"/>
      <c r="E124" s="9"/>
      <c r="F124" s="9"/>
      <c r="G124" s="9"/>
      <c r="H124" s="9"/>
      <c r="I124" s="312"/>
      <c r="J124" s="35" t="s">
        <v>234</v>
      </c>
      <c r="K124" s="321">
        <v>2.5949079144691387</v>
      </c>
    </row>
    <row r="125" spans="1:11" x14ac:dyDescent="0.2">
      <c r="A125" s="312"/>
      <c r="B125" s="9"/>
      <c r="C125" s="9"/>
      <c r="D125" s="9"/>
      <c r="E125" s="9"/>
      <c r="F125" s="9"/>
      <c r="G125" s="9"/>
      <c r="H125" s="9"/>
      <c r="I125" s="312"/>
      <c r="J125" s="35" t="s">
        <v>231</v>
      </c>
      <c r="K125" s="321">
        <v>2.6206922371352088</v>
      </c>
    </row>
    <row r="126" spans="1:11" x14ac:dyDescent="0.2">
      <c r="A126" s="312"/>
      <c r="B126" s="9"/>
      <c r="C126" s="9"/>
      <c r="D126" s="9"/>
      <c r="E126" s="9"/>
      <c r="F126" s="9"/>
      <c r="G126" s="9"/>
      <c r="H126" s="9"/>
      <c r="I126" s="312"/>
      <c r="J126" s="35" t="s">
        <v>88</v>
      </c>
      <c r="K126" s="321">
        <v>2.6427146584509109</v>
      </c>
    </row>
    <row r="127" spans="1:11" x14ac:dyDescent="0.2">
      <c r="A127" s="312"/>
      <c r="B127" s="9"/>
      <c r="C127" s="9"/>
      <c r="D127" s="9"/>
      <c r="E127" s="9"/>
      <c r="F127" s="9"/>
      <c r="G127" s="9"/>
      <c r="H127" s="9"/>
      <c r="I127" s="312"/>
      <c r="J127" s="35" t="s">
        <v>230</v>
      </c>
      <c r="K127" s="321">
        <v>2.7329495745020962</v>
      </c>
    </row>
    <row r="128" spans="1:11" x14ac:dyDescent="0.2">
      <c r="A128" s="312"/>
      <c r="B128" s="9"/>
      <c r="C128" s="9"/>
      <c r="D128" s="9"/>
      <c r="E128" s="9"/>
      <c r="F128" s="9"/>
      <c r="G128" s="9"/>
      <c r="H128" s="9"/>
      <c r="I128" s="312"/>
      <c r="J128" s="35" t="s">
        <v>229</v>
      </c>
      <c r="K128" s="321">
        <v>3.8163844605076411</v>
      </c>
    </row>
    <row r="129" spans="1:11" x14ac:dyDescent="0.2">
      <c r="A129" s="312"/>
      <c r="B129" s="9"/>
      <c r="C129" s="9"/>
      <c r="D129" s="9"/>
      <c r="E129" s="9"/>
      <c r="F129" s="9"/>
      <c r="G129" s="9"/>
      <c r="H129" s="9"/>
      <c r="I129" s="312"/>
    </row>
    <row r="130" spans="1:11" x14ac:dyDescent="0.2">
      <c r="A130" s="312"/>
      <c r="B130" s="9"/>
      <c r="C130" s="9"/>
      <c r="D130" s="9"/>
      <c r="E130" s="9"/>
      <c r="F130" s="9"/>
      <c r="G130" s="9"/>
      <c r="H130" s="9"/>
      <c r="I130" s="312"/>
      <c r="J130" s="315" t="s">
        <v>657</v>
      </c>
    </row>
    <row r="131" spans="1:11" x14ac:dyDescent="0.2">
      <c r="A131" s="312"/>
      <c r="B131" s="9"/>
      <c r="C131" s="9"/>
      <c r="D131" s="9"/>
      <c r="E131" s="9"/>
      <c r="F131" s="9"/>
      <c r="G131" s="9"/>
      <c r="H131" s="9"/>
      <c r="I131" s="312"/>
    </row>
    <row r="132" spans="1:11" x14ac:dyDescent="0.2">
      <c r="A132" s="312"/>
      <c r="B132" s="9"/>
      <c r="C132" s="9"/>
      <c r="D132" s="9"/>
      <c r="E132" s="9"/>
      <c r="F132" s="9"/>
      <c r="G132" s="9"/>
      <c r="H132" s="9"/>
      <c r="I132" s="312"/>
    </row>
    <row r="133" spans="1:11" x14ac:dyDescent="0.2">
      <c r="A133" s="312"/>
      <c r="B133" s="9"/>
      <c r="C133" s="9"/>
      <c r="D133" s="9"/>
      <c r="E133" s="9"/>
      <c r="F133" s="9"/>
      <c r="G133" s="9"/>
      <c r="H133" s="9"/>
      <c r="I133" s="312"/>
    </row>
    <row r="134" spans="1:11" x14ac:dyDescent="0.2">
      <c r="A134" s="312"/>
      <c r="B134" s="9"/>
      <c r="C134" s="9"/>
      <c r="D134" s="9"/>
      <c r="E134" s="9"/>
      <c r="F134" s="9"/>
      <c r="G134" s="9"/>
      <c r="H134" s="9"/>
      <c r="I134" s="312"/>
    </row>
    <row r="135" spans="1:11" x14ac:dyDescent="0.2">
      <c r="A135" s="312"/>
      <c r="B135" s="9"/>
      <c r="C135" s="9"/>
      <c r="D135" s="9"/>
      <c r="E135" s="9"/>
      <c r="F135" s="9"/>
      <c r="G135" s="9"/>
      <c r="H135" s="9"/>
      <c r="I135" s="312"/>
    </row>
    <row r="136" spans="1:11" x14ac:dyDescent="0.2">
      <c r="A136" s="312"/>
      <c r="B136" s="9"/>
      <c r="C136" s="9"/>
      <c r="D136" s="9"/>
      <c r="E136" s="9"/>
      <c r="F136" s="9"/>
      <c r="G136" s="9"/>
      <c r="H136" s="9"/>
      <c r="I136" s="312"/>
      <c r="J136" s="35"/>
      <c r="K136" s="35" t="s">
        <v>690</v>
      </c>
    </row>
    <row r="137" spans="1:11" x14ac:dyDescent="0.2">
      <c r="A137" s="312"/>
      <c r="B137" s="9"/>
      <c r="C137" s="9"/>
      <c r="D137" s="9"/>
      <c r="E137" s="9"/>
      <c r="F137" s="9"/>
      <c r="G137" s="9"/>
      <c r="H137" s="9"/>
      <c r="I137" s="312"/>
      <c r="J137" s="35" t="s">
        <v>229</v>
      </c>
      <c r="K137" s="187">
        <v>510.57035350034658</v>
      </c>
    </row>
    <row r="138" spans="1:11" x14ac:dyDescent="0.2">
      <c r="A138" s="312"/>
      <c r="B138" s="9"/>
      <c r="C138" s="9"/>
      <c r="D138" s="9"/>
      <c r="E138" s="9"/>
      <c r="F138" s="9"/>
      <c r="G138" s="9"/>
      <c r="H138" s="9"/>
      <c r="I138" s="312"/>
      <c r="J138" s="35" t="s">
        <v>231</v>
      </c>
      <c r="K138" s="187">
        <v>696.49935994631903</v>
      </c>
    </row>
    <row r="139" spans="1:11" x14ac:dyDescent="0.2">
      <c r="A139" s="312"/>
      <c r="B139" s="9"/>
      <c r="C139" s="9"/>
      <c r="D139" s="9"/>
      <c r="E139" s="9"/>
      <c r="F139" s="9"/>
      <c r="G139" s="9"/>
      <c r="H139" s="9"/>
      <c r="I139" s="312"/>
      <c r="J139" s="35" t="s">
        <v>230</v>
      </c>
      <c r="K139" s="187">
        <v>861.65259226283069</v>
      </c>
    </row>
    <row r="140" spans="1:11" x14ac:dyDescent="0.2">
      <c r="A140" s="312"/>
      <c r="B140" s="9"/>
      <c r="C140" s="9"/>
      <c r="D140" s="9"/>
      <c r="E140" s="9"/>
      <c r="F140" s="9"/>
      <c r="G140" s="9"/>
      <c r="H140" s="9"/>
      <c r="I140" s="312"/>
      <c r="J140" s="35" t="s">
        <v>88</v>
      </c>
      <c r="K140" s="187">
        <v>952.47437470273496</v>
      </c>
    </row>
    <row r="141" spans="1:11" x14ac:dyDescent="0.2">
      <c r="A141" s="312"/>
      <c r="B141" s="9"/>
      <c r="C141" s="9"/>
      <c r="D141" s="9"/>
      <c r="E141" s="9"/>
      <c r="F141" s="9"/>
      <c r="G141" s="9"/>
      <c r="H141" s="9"/>
      <c r="I141" s="312"/>
      <c r="J141" s="35" t="s">
        <v>625</v>
      </c>
      <c r="K141" s="187">
        <v>1134.5696698318759</v>
      </c>
    </row>
    <row r="142" spans="1:11" x14ac:dyDescent="0.2">
      <c r="A142" s="312"/>
      <c r="B142" s="9"/>
      <c r="C142" s="9"/>
      <c r="D142" s="9"/>
      <c r="E142" s="9"/>
      <c r="F142" s="9"/>
      <c r="G142" s="9"/>
      <c r="H142" s="9"/>
      <c r="I142" s="312"/>
      <c r="J142" s="35" t="s">
        <v>626</v>
      </c>
      <c r="K142" s="187">
        <v>1247.6544628957915</v>
      </c>
    </row>
    <row r="143" spans="1:11" x14ac:dyDescent="0.2">
      <c r="A143" s="312"/>
      <c r="B143" s="9"/>
      <c r="C143" s="9"/>
      <c r="D143" s="9"/>
      <c r="E143" s="9"/>
      <c r="F143" s="9"/>
      <c r="G143" s="9"/>
      <c r="H143" s="9"/>
      <c r="I143" s="312"/>
      <c r="J143" s="35" t="s">
        <v>234</v>
      </c>
      <c r="K143" s="187">
        <v>1401.2502738133351</v>
      </c>
    </row>
    <row r="144" spans="1:11" x14ac:dyDescent="0.2">
      <c r="A144" s="312"/>
      <c r="B144" s="9"/>
      <c r="C144" s="9"/>
      <c r="D144" s="9"/>
      <c r="E144" s="9"/>
      <c r="F144" s="9"/>
      <c r="G144" s="9"/>
      <c r="H144" s="9"/>
      <c r="I144" s="312"/>
      <c r="J144" s="35" t="s">
        <v>232</v>
      </c>
      <c r="K144" s="187">
        <v>1606.5801179113705</v>
      </c>
    </row>
    <row r="145" spans="1:15" x14ac:dyDescent="0.2">
      <c r="A145" s="312"/>
      <c r="B145" s="9"/>
      <c r="C145" s="9"/>
      <c r="D145" s="9"/>
      <c r="E145" s="9"/>
      <c r="F145" s="9"/>
      <c r="G145" s="9"/>
      <c r="H145" s="9"/>
      <c r="I145" s="312"/>
      <c r="K145" s="296"/>
    </row>
    <row r="146" spans="1:15" x14ac:dyDescent="0.2">
      <c r="A146" s="312"/>
      <c r="B146" s="9"/>
      <c r="C146" s="9"/>
      <c r="D146" s="9"/>
      <c r="E146" s="9"/>
      <c r="F146" s="9"/>
      <c r="G146" s="9"/>
      <c r="H146" s="9"/>
      <c r="I146" s="312"/>
      <c r="J146" s="315" t="s">
        <v>658</v>
      </c>
      <c r="K146" s="296"/>
    </row>
    <row r="147" spans="1:15" x14ac:dyDescent="0.2">
      <c r="A147" s="312"/>
      <c r="B147" s="9"/>
      <c r="C147" s="9"/>
      <c r="D147" s="9"/>
      <c r="E147" s="9"/>
      <c r="F147" s="9"/>
      <c r="G147" s="9"/>
      <c r="H147" s="9"/>
      <c r="I147" s="312"/>
    </row>
    <row r="148" spans="1:15" x14ac:dyDescent="0.2">
      <c r="A148" s="312"/>
      <c r="B148" s="9"/>
      <c r="C148" s="9"/>
      <c r="D148" s="9"/>
      <c r="E148" s="9"/>
      <c r="F148" s="9"/>
      <c r="G148" s="9"/>
      <c r="H148" s="9"/>
      <c r="I148" s="312"/>
    </row>
    <row r="149" spans="1:15" x14ac:dyDescent="0.2">
      <c r="A149" s="312"/>
      <c r="B149" s="9"/>
      <c r="C149" s="9"/>
      <c r="D149" s="9"/>
      <c r="E149" s="9"/>
      <c r="F149" s="9"/>
      <c r="G149" s="9"/>
      <c r="H149" s="9"/>
      <c r="I149" s="312"/>
    </row>
    <row r="150" spans="1:15" x14ac:dyDescent="0.2">
      <c r="A150" s="312"/>
      <c r="B150" s="9"/>
      <c r="C150" s="9"/>
      <c r="D150" s="9"/>
      <c r="E150" s="9"/>
      <c r="F150" s="9"/>
      <c r="G150" s="9"/>
      <c r="H150" s="9"/>
      <c r="I150" s="312"/>
    </row>
    <row r="151" spans="1:15" x14ac:dyDescent="0.2">
      <c r="A151" s="312"/>
      <c r="B151" s="9"/>
      <c r="C151" s="9"/>
      <c r="D151" s="9"/>
      <c r="E151" s="9"/>
      <c r="F151" s="9"/>
      <c r="G151" s="9"/>
      <c r="H151" s="9"/>
      <c r="I151" s="312"/>
    </row>
    <row r="152" spans="1:15" x14ac:dyDescent="0.2">
      <c r="A152" s="312"/>
      <c r="B152" s="9"/>
      <c r="C152" s="9"/>
      <c r="D152" s="9"/>
      <c r="E152" s="9"/>
      <c r="F152" s="9"/>
      <c r="G152" s="9"/>
      <c r="H152" s="9"/>
      <c r="I152" s="312"/>
      <c r="J152" s="35"/>
      <c r="K152" s="35" t="s">
        <v>843</v>
      </c>
      <c r="L152" s="35"/>
      <c r="M152" s="35"/>
    </row>
    <row r="153" spans="1:15" x14ac:dyDescent="0.2">
      <c r="A153" s="312"/>
      <c r="B153" s="9"/>
      <c r="C153" s="9"/>
      <c r="D153" s="9"/>
      <c r="E153" s="9"/>
      <c r="F153" s="9"/>
      <c r="G153" s="9"/>
      <c r="H153" s="9"/>
      <c r="I153" s="312"/>
      <c r="J153" s="35" t="s">
        <v>626</v>
      </c>
      <c r="K153" s="320">
        <v>0.85185185185185186</v>
      </c>
      <c r="L153" s="320">
        <v>0.46296296296296297</v>
      </c>
      <c r="M153" s="187"/>
    </row>
    <row r="154" spans="1:15" x14ac:dyDescent="0.2">
      <c r="A154" s="312"/>
      <c r="B154" s="9"/>
      <c r="C154" s="9"/>
      <c r="D154" s="9"/>
      <c r="E154" s="9"/>
      <c r="F154" s="9"/>
      <c r="G154" s="9"/>
      <c r="H154" s="9"/>
      <c r="I154" s="312"/>
      <c r="J154" s="35" t="s">
        <v>231</v>
      </c>
      <c r="K154" s="320">
        <v>0.92592592592592593</v>
      </c>
      <c r="L154" s="320">
        <v>0.50617283950617287</v>
      </c>
      <c r="M154" s="187"/>
    </row>
    <row r="155" spans="1:15" x14ac:dyDescent="0.2">
      <c r="A155" s="312"/>
      <c r="B155" s="9"/>
      <c r="C155" s="9"/>
      <c r="D155" s="9"/>
      <c r="E155" s="9"/>
      <c r="F155" s="9"/>
      <c r="G155" s="9"/>
      <c r="H155" s="9"/>
      <c r="I155" s="312"/>
      <c r="J155" s="35" t="s">
        <v>88</v>
      </c>
      <c r="K155" s="320">
        <v>0.92602739726027394</v>
      </c>
      <c r="L155" s="320">
        <v>0.57534246575342463</v>
      </c>
      <c r="M155" s="187"/>
      <c r="N155" s="315"/>
      <c r="O155" s="315"/>
    </row>
    <row r="156" spans="1:15" x14ac:dyDescent="0.2">
      <c r="A156" s="312"/>
      <c r="B156" s="9"/>
      <c r="C156" s="9"/>
      <c r="D156" s="9"/>
      <c r="E156" s="9"/>
      <c r="F156" s="9"/>
      <c r="G156" s="9"/>
      <c r="H156" s="9"/>
      <c r="I156" s="312"/>
      <c r="J156" s="35" t="s">
        <v>625</v>
      </c>
      <c r="K156" s="320">
        <v>0.93478260869565222</v>
      </c>
      <c r="L156" s="320">
        <v>0.69565217391304346</v>
      </c>
      <c r="M156" s="187"/>
      <c r="N156" s="315"/>
      <c r="O156" s="315"/>
    </row>
    <row r="157" spans="1:15" x14ac:dyDescent="0.2">
      <c r="A157" s="312"/>
      <c r="B157" s="9"/>
      <c r="C157" s="9"/>
      <c r="D157" s="9"/>
      <c r="E157" s="9"/>
      <c r="F157" s="9"/>
      <c r="G157" s="9"/>
      <c r="H157" s="9"/>
      <c r="I157" s="312"/>
      <c r="J157" s="35" t="s">
        <v>230</v>
      </c>
      <c r="K157" s="320">
        <v>0.94117647058823528</v>
      </c>
      <c r="L157" s="320">
        <v>0.63235294117647056</v>
      </c>
      <c r="M157" s="187"/>
      <c r="N157" s="315"/>
      <c r="O157" s="315"/>
    </row>
    <row r="158" spans="1:15" x14ac:dyDescent="0.2">
      <c r="A158" s="312"/>
      <c r="B158" s="9"/>
      <c r="C158" s="9"/>
      <c r="D158" s="9"/>
      <c r="E158" s="9"/>
      <c r="F158" s="9"/>
      <c r="G158" s="9"/>
      <c r="H158" s="9"/>
      <c r="I158" s="312"/>
      <c r="J158" s="35" t="s">
        <v>229</v>
      </c>
      <c r="K158" s="320">
        <v>0.94202898550724634</v>
      </c>
      <c r="L158" s="320">
        <v>0.52173913043478259</v>
      </c>
      <c r="M158" s="187"/>
      <c r="N158" s="315"/>
      <c r="O158" s="315"/>
    </row>
    <row r="159" spans="1:15" x14ac:dyDescent="0.2">
      <c r="A159" s="312"/>
      <c r="B159" s="9"/>
      <c r="C159" s="9"/>
      <c r="D159" s="9"/>
      <c r="E159" s="9"/>
      <c r="F159" s="9"/>
      <c r="G159" s="9"/>
      <c r="H159" s="9"/>
      <c r="I159" s="312"/>
      <c r="J159" s="35" t="s">
        <v>232</v>
      </c>
      <c r="K159" s="320">
        <v>0.94736842105263153</v>
      </c>
      <c r="L159" s="320">
        <v>0.78947368421052633</v>
      </c>
      <c r="M159" s="187"/>
      <c r="N159" s="315"/>
      <c r="O159" s="315"/>
    </row>
    <row r="160" spans="1:15" x14ac:dyDescent="0.2">
      <c r="A160" s="312"/>
      <c r="B160" s="9"/>
      <c r="C160" s="9"/>
      <c r="D160" s="9"/>
      <c r="E160" s="9"/>
      <c r="F160" s="9"/>
      <c r="G160" s="9"/>
      <c r="H160" s="9"/>
      <c r="I160" s="312"/>
      <c r="J160" s="35" t="s">
        <v>234</v>
      </c>
      <c r="K160" s="320">
        <v>0.9642857142857143</v>
      </c>
      <c r="L160" s="320">
        <v>0.6428571428571429</v>
      </c>
      <c r="M160" s="187"/>
      <c r="N160" s="315"/>
      <c r="O160" s="315"/>
    </row>
    <row r="161" spans="1:16" x14ac:dyDescent="0.2">
      <c r="A161" s="312"/>
      <c r="B161" s="9"/>
      <c r="C161" s="9"/>
      <c r="D161" s="9"/>
      <c r="E161" s="9"/>
      <c r="F161" s="9"/>
      <c r="G161" s="9"/>
      <c r="H161" s="9"/>
      <c r="I161" s="312"/>
      <c r="J161" s="35"/>
      <c r="K161" s="187" t="s">
        <v>59</v>
      </c>
      <c r="L161" s="187" t="s">
        <v>118</v>
      </c>
      <c r="M161" s="35"/>
      <c r="N161" s="315"/>
      <c r="O161" s="315"/>
    </row>
    <row r="162" spans="1:16" x14ac:dyDescent="0.2">
      <c r="A162" s="312"/>
      <c r="B162" s="9"/>
      <c r="C162" s="9"/>
      <c r="D162" s="9"/>
      <c r="E162" s="9"/>
      <c r="F162" s="9"/>
      <c r="G162" s="9"/>
      <c r="H162" s="9"/>
      <c r="I162" s="312"/>
      <c r="N162" s="315"/>
      <c r="O162" s="315"/>
    </row>
    <row r="163" spans="1:16" x14ac:dyDescent="0.2">
      <c r="A163" s="312"/>
      <c r="B163" s="9"/>
      <c r="C163" s="9"/>
      <c r="D163" s="9"/>
      <c r="E163" s="9"/>
      <c r="F163" s="9"/>
      <c r="G163" s="9"/>
      <c r="H163" s="9"/>
      <c r="I163" s="312"/>
      <c r="J163" s="35" t="s">
        <v>852</v>
      </c>
    </row>
    <row r="164" spans="1:16" x14ac:dyDescent="0.2">
      <c r="A164" s="312"/>
      <c r="B164" s="9"/>
      <c r="C164" s="9"/>
      <c r="D164" s="9"/>
      <c r="E164" s="9"/>
      <c r="F164" s="9"/>
      <c r="G164" s="9"/>
      <c r="H164" s="9"/>
      <c r="I164" s="312"/>
    </row>
    <row r="165" spans="1:16" x14ac:dyDescent="0.2">
      <c r="A165" s="312"/>
      <c r="B165" s="9"/>
      <c r="C165" s="9"/>
      <c r="D165" s="9"/>
      <c r="E165" s="9"/>
      <c r="F165" s="9"/>
      <c r="G165" s="9"/>
      <c r="H165" s="9"/>
      <c r="I165" s="312"/>
    </row>
    <row r="166" spans="1:16" x14ac:dyDescent="0.2">
      <c r="A166" s="312"/>
      <c r="B166" s="9"/>
      <c r="C166" s="9"/>
      <c r="D166" s="9"/>
      <c r="E166" s="9"/>
      <c r="F166" s="9"/>
      <c r="G166" s="9"/>
      <c r="H166" s="9"/>
      <c r="I166" s="312"/>
    </row>
    <row r="167" spans="1:16" x14ac:dyDescent="0.2">
      <c r="A167" s="312"/>
      <c r="B167" s="9"/>
      <c r="C167" s="9"/>
      <c r="D167" s="9"/>
      <c r="E167" s="9"/>
      <c r="F167" s="9"/>
      <c r="G167" s="9"/>
      <c r="H167" s="9"/>
      <c r="I167" s="312"/>
      <c r="J167" s="35"/>
      <c r="K167" s="35" t="s">
        <v>815</v>
      </c>
    </row>
    <row r="168" spans="1:16" x14ac:dyDescent="0.2">
      <c r="A168" s="312"/>
      <c r="B168" s="9"/>
      <c r="C168" s="9"/>
      <c r="D168" s="9"/>
      <c r="E168" s="9"/>
      <c r="F168" s="9"/>
      <c r="G168" s="9"/>
      <c r="H168" s="9"/>
      <c r="I168" s="312"/>
      <c r="J168" s="267"/>
      <c r="K168" s="331" t="s">
        <v>205</v>
      </c>
      <c r="L168" s="331" t="s">
        <v>206</v>
      </c>
      <c r="M168" s="331" t="s">
        <v>207</v>
      </c>
      <c r="N168" s="331" t="s">
        <v>208</v>
      </c>
    </row>
    <row r="169" spans="1:16" x14ac:dyDescent="0.2">
      <c r="A169" s="312"/>
      <c r="B169" s="9"/>
      <c r="C169" s="9"/>
      <c r="D169" s="9"/>
      <c r="E169" s="9"/>
      <c r="F169" s="9"/>
      <c r="G169" s="9"/>
      <c r="H169" s="9"/>
      <c r="I169" s="312"/>
      <c r="J169" s="267" t="s">
        <v>625</v>
      </c>
      <c r="K169" s="332">
        <v>0.43025362318840582</v>
      </c>
      <c r="L169" s="332">
        <v>0.23369565217391305</v>
      </c>
      <c r="M169" s="332">
        <v>0.23278985507246377</v>
      </c>
      <c r="N169" s="332">
        <v>0.10326086956521739</v>
      </c>
      <c r="O169" s="187"/>
      <c r="P169" s="329">
        <f>1-K169</f>
        <v>0.56974637681159424</v>
      </c>
    </row>
    <row r="170" spans="1:16" x14ac:dyDescent="0.2">
      <c r="A170" s="312"/>
      <c r="B170" s="9"/>
      <c r="C170" s="9"/>
      <c r="D170" s="9"/>
      <c r="E170" s="9"/>
      <c r="F170" s="9"/>
      <c r="G170" s="9"/>
      <c r="H170" s="9"/>
      <c r="I170" s="312"/>
      <c r="J170" s="267" t="s">
        <v>229</v>
      </c>
      <c r="K170" s="332">
        <v>0.5907590759075908</v>
      </c>
      <c r="L170" s="332">
        <v>0.36963696369636961</v>
      </c>
      <c r="M170" s="332">
        <v>3.9603960396039604E-2</v>
      </c>
      <c r="N170" s="332">
        <v>0</v>
      </c>
      <c r="O170" s="187"/>
      <c r="P170" s="329">
        <f t="shared" ref="P170:P176" si="2">1-K170</f>
        <v>0.4092409240924092</v>
      </c>
    </row>
    <row r="171" spans="1:16" x14ac:dyDescent="0.2">
      <c r="A171" s="312"/>
      <c r="B171" s="9"/>
      <c r="C171" s="9"/>
      <c r="D171" s="9"/>
      <c r="E171" s="9"/>
      <c r="F171" s="9"/>
      <c r="G171" s="9"/>
      <c r="H171" s="9"/>
      <c r="I171" s="312"/>
      <c r="J171" s="267" t="s">
        <v>88</v>
      </c>
      <c r="K171" s="332">
        <v>0.69521308826499695</v>
      </c>
      <c r="L171" s="332">
        <v>0.2260149464754595</v>
      </c>
      <c r="M171" s="332">
        <v>5.5746313875984652E-2</v>
      </c>
      <c r="N171" s="332">
        <v>2.3025651383558877E-2</v>
      </c>
      <c r="O171" s="187"/>
      <c r="P171" s="329">
        <f t="shared" si="2"/>
        <v>0.30478691173500305</v>
      </c>
    </row>
    <row r="172" spans="1:16" x14ac:dyDescent="0.2">
      <c r="A172" s="312"/>
      <c r="B172" s="9"/>
      <c r="C172" s="9"/>
      <c r="D172" s="9"/>
      <c r="E172" s="9"/>
      <c r="F172" s="9"/>
      <c r="G172" s="9"/>
      <c r="H172" s="9"/>
      <c r="I172" s="312"/>
      <c r="J172" s="267" t="s">
        <v>230</v>
      </c>
      <c r="K172" s="332">
        <v>0.7</v>
      </c>
      <c r="L172" s="332">
        <v>0.3</v>
      </c>
      <c r="M172" s="332">
        <v>0</v>
      </c>
      <c r="N172" s="332">
        <v>0</v>
      </c>
      <c r="O172" s="187"/>
      <c r="P172" s="329">
        <f t="shared" si="2"/>
        <v>0.30000000000000004</v>
      </c>
    </row>
    <row r="173" spans="1:16" x14ac:dyDescent="0.2">
      <c r="A173" s="312"/>
      <c r="B173" s="9"/>
      <c r="C173" s="9"/>
      <c r="D173" s="9"/>
      <c r="E173" s="9"/>
      <c r="F173" s="9"/>
      <c r="G173" s="9"/>
      <c r="H173" s="9"/>
      <c r="I173" s="312"/>
      <c r="J173" s="267" t="s">
        <v>232</v>
      </c>
      <c r="K173" s="332">
        <v>0.75203252032520329</v>
      </c>
      <c r="L173" s="332">
        <v>0.21951219512195122</v>
      </c>
      <c r="M173" s="332">
        <v>2.8455284552845527E-2</v>
      </c>
      <c r="N173" s="332">
        <v>0</v>
      </c>
      <c r="O173" s="187"/>
      <c r="P173" s="329">
        <f t="shared" si="2"/>
        <v>0.24796747967479671</v>
      </c>
    </row>
    <row r="174" spans="1:16" x14ac:dyDescent="0.2">
      <c r="A174" s="312"/>
      <c r="B174" s="9"/>
      <c r="C174" s="9"/>
      <c r="D174" s="9"/>
      <c r="E174" s="9"/>
      <c r="F174" s="9"/>
      <c r="G174" s="9"/>
      <c r="H174" s="9"/>
      <c r="I174" s="312"/>
      <c r="J174" s="267" t="s">
        <v>234</v>
      </c>
      <c r="K174" s="332">
        <v>0.76771653543307083</v>
      </c>
      <c r="L174" s="332">
        <v>0.23228346456692914</v>
      </c>
      <c r="M174" s="332">
        <v>0</v>
      </c>
      <c r="N174" s="332">
        <v>0</v>
      </c>
      <c r="O174" s="187"/>
      <c r="P174" s="329">
        <f t="shared" si="2"/>
        <v>0.23228346456692917</v>
      </c>
    </row>
    <row r="175" spans="1:16" x14ac:dyDescent="0.2">
      <c r="A175" s="312"/>
      <c r="B175" s="9"/>
      <c r="C175" s="9"/>
      <c r="D175" s="9"/>
      <c r="E175" s="9"/>
      <c r="F175" s="9"/>
      <c r="G175" s="9"/>
      <c r="H175" s="9"/>
      <c r="I175" s="312"/>
      <c r="J175" s="267" t="s">
        <v>626</v>
      </c>
      <c r="K175" s="332">
        <v>0.82602739726027397</v>
      </c>
      <c r="L175" s="332">
        <v>0.17397260273972603</v>
      </c>
      <c r="M175" s="332">
        <v>0</v>
      </c>
      <c r="N175" s="332">
        <v>0</v>
      </c>
      <c r="O175" s="187"/>
      <c r="P175" s="329">
        <f t="shared" si="2"/>
        <v>0.17397260273972603</v>
      </c>
    </row>
    <row r="176" spans="1:16" x14ac:dyDescent="0.2">
      <c r="A176" s="312"/>
      <c r="B176" s="9"/>
      <c r="C176" s="9"/>
      <c r="D176" s="9"/>
      <c r="E176" s="9"/>
      <c r="F176" s="9"/>
      <c r="G176" s="9"/>
      <c r="H176" s="9"/>
      <c r="I176" s="312"/>
      <c r="J176" s="267" t="s">
        <v>231</v>
      </c>
      <c r="K176" s="332">
        <v>0.86470588235294121</v>
      </c>
      <c r="L176" s="332">
        <v>0.13529411764705881</v>
      </c>
      <c r="M176" s="332">
        <v>0</v>
      </c>
      <c r="N176" s="332">
        <v>0</v>
      </c>
      <c r="O176" s="187"/>
      <c r="P176" s="329">
        <f t="shared" si="2"/>
        <v>0.13529411764705879</v>
      </c>
    </row>
    <row r="177" spans="1:15" x14ac:dyDescent="0.2">
      <c r="A177" s="312"/>
      <c r="B177" s="9"/>
      <c r="C177" s="9"/>
      <c r="D177" s="9"/>
      <c r="E177" s="9"/>
      <c r="F177" s="9"/>
      <c r="G177" s="9"/>
      <c r="H177" s="9"/>
      <c r="I177" s="312"/>
      <c r="J177" s="35"/>
      <c r="K177" s="35"/>
    </row>
    <row r="178" spans="1:15" x14ac:dyDescent="0.2">
      <c r="A178" s="312"/>
      <c r="B178" s="9"/>
      <c r="C178" s="9"/>
      <c r="D178" s="9"/>
      <c r="E178" s="9"/>
      <c r="F178" s="9"/>
      <c r="G178" s="9"/>
      <c r="H178" s="9"/>
      <c r="I178" s="312"/>
      <c r="J178" s="319" t="s">
        <v>817</v>
      </c>
      <c r="K178" s="35"/>
    </row>
    <row r="179" spans="1:15" x14ac:dyDescent="0.2">
      <c r="A179" s="312"/>
      <c r="B179" s="9"/>
      <c r="C179" s="9"/>
      <c r="D179" s="9"/>
      <c r="E179" s="9"/>
      <c r="F179" s="9"/>
      <c r="G179" s="9"/>
      <c r="H179" s="9"/>
      <c r="I179" s="312"/>
    </row>
    <row r="180" spans="1:15" x14ac:dyDescent="0.2">
      <c r="A180" s="312"/>
      <c r="B180" s="9"/>
      <c r="C180" s="9"/>
      <c r="D180" s="9"/>
      <c r="E180" s="9"/>
      <c r="F180" s="9"/>
      <c r="G180" s="9"/>
      <c r="H180" s="9"/>
      <c r="I180" s="312"/>
    </row>
    <row r="181" spans="1:15" x14ac:dyDescent="0.2">
      <c r="A181" s="312"/>
      <c r="B181" s="9"/>
      <c r="C181" s="9"/>
      <c r="D181" s="9"/>
      <c r="E181" s="9"/>
      <c r="F181" s="9"/>
      <c r="G181" s="9"/>
      <c r="H181" s="9"/>
      <c r="I181" s="312"/>
    </row>
    <row r="182" spans="1:15" x14ac:dyDescent="0.2">
      <c r="A182" s="312"/>
      <c r="B182" s="9"/>
      <c r="C182" s="9"/>
      <c r="D182" s="9"/>
      <c r="E182" s="9"/>
      <c r="F182" s="9"/>
      <c r="G182" s="9"/>
      <c r="H182" s="9"/>
      <c r="I182" s="312"/>
    </row>
    <row r="183" spans="1:15" x14ac:dyDescent="0.2">
      <c r="A183" s="312"/>
      <c r="B183" s="9"/>
      <c r="C183" s="9"/>
      <c r="D183" s="9"/>
      <c r="E183" s="9"/>
      <c r="F183" s="9"/>
      <c r="G183" s="9"/>
      <c r="H183" s="9"/>
      <c r="I183" s="312"/>
      <c r="K183" s="35" t="s">
        <v>816</v>
      </c>
    </row>
    <row r="184" spans="1:15" x14ac:dyDescent="0.2">
      <c r="A184" s="312"/>
      <c r="B184" s="9"/>
      <c r="C184" s="9"/>
      <c r="D184" s="9"/>
      <c r="E184" s="9"/>
      <c r="F184" s="9"/>
      <c r="G184" s="9"/>
      <c r="H184" s="9"/>
      <c r="I184" s="312"/>
      <c r="J184" s="267"/>
      <c r="K184" s="333" t="s">
        <v>329</v>
      </c>
      <c r="L184" s="333" t="s">
        <v>330</v>
      </c>
      <c r="M184" s="333" t="s">
        <v>331</v>
      </c>
    </row>
    <row r="185" spans="1:15" x14ac:dyDescent="0.2">
      <c r="A185" s="312"/>
      <c r="B185" s="9"/>
      <c r="C185" s="9"/>
      <c r="D185" s="9"/>
      <c r="E185" s="9"/>
      <c r="F185" s="9"/>
      <c r="G185" s="9"/>
      <c r="H185" s="9"/>
      <c r="I185" s="312"/>
      <c r="J185" s="267" t="s">
        <v>229</v>
      </c>
      <c r="K185" s="332">
        <v>0.79867128827267475</v>
      </c>
      <c r="L185" s="332">
        <v>0.18457538994800693</v>
      </c>
      <c r="M185" s="332">
        <v>1.6753321779318313E-2</v>
      </c>
      <c r="N185" s="187"/>
      <c r="O185" s="329">
        <f>1-K185</f>
        <v>0.20132871172732525</v>
      </c>
    </row>
    <row r="186" spans="1:15" x14ac:dyDescent="0.2">
      <c r="A186" s="312"/>
      <c r="B186" s="9"/>
      <c r="C186" s="9"/>
      <c r="D186" s="9"/>
      <c r="E186" s="9"/>
      <c r="F186" s="9"/>
      <c r="G186" s="9"/>
      <c r="H186" s="9"/>
      <c r="I186" s="312"/>
      <c r="J186" s="267" t="s">
        <v>625</v>
      </c>
      <c r="K186" s="332">
        <v>0.82428687856560712</v>
      </c>
      <c r="L186" s="332">
        <v>0.10757946210268948</v>
      </c>
      <c r="M186" s="332">
        <v>6.8133659331703345E-2</v>
      </c>
      <c r="N186" s="187"/>
      <c r="O186" s="329">
        <f t="shared" ref="O186:O192" si="3">1-K186</f>
        <v>0.17571312143439288</v>
      </c>
    </row>
    <row r="187" spans="1:15" x14ac:dyDescent="0.2">
      <c r="A187" s="312"/>
      <c r="B187" s="9"/>
      <c r="C187" s="9"/>
      <c r="D187" s="9"/>
      <c r="E187" s="9"/>
      <c r="F187" s="9"/>
      <c r="G187" s="9"/>
      <c r="H187" s="9"/>
      <c r="I187" s="312"/>
      <c r="J187" s="267" t="s">
        <v>88</v>
      </c>
      <c r="K187" s="332">
        <v>0.8526681024168461</v>
      </c>
      <c r="L187" s="332">
        <v>0.12924144532184734</v>
      </c>
      <c r="M187" s="332">
        <v>1.8090452261306532E-2</v>
      </c>
      <c r="N187" s="187"/>
      <c r="O187" s="329">
        <f t="shared" si="3"/>
        <v>0.1473318975831539</v>
      </c>
    </row>
    <row r="188" spans="1:15" x14ac:dyDescent="0.2">
      <c r="A188" s="312"/>
      <c r="B188" s="9"/>
      <c r="C188" s="9"/>
      <c r="D188" s="9"/>
      <c r="E188" s="9"/>
      <c r="F188" s="9"/>
      <c r="G188" s="9"/>
      <c r="H188" s="9"/>
      <c r="I188" s="312"/>
      <c r="J188" s="267" t="s">
        <v>231</v>
      </c>
      <c r="K188" s="332">
        <v>0.85419637959407568</v>
      </c>
      <c r="L188" s="332">
        <v>0.13417443773998902</v>
      </c>
      <c r="M188" s="332">
        <v>1.1629182665935272E-2</v>
      </c>
      <c r="N188" s="187"/>
      <c r="O188" s="329">
        <f t="shared" si="3"/>
        <v>0.14580362040592432</v>
      </c>
    </row>
    <row r="189" spans="1:15" x14ac:dyDescent="0.2">
      <c r="A189" s="312"/>
      <c r="B189" s="9"/>
      <c r="C189" s="9"/>
      <c r="D189" s="9"/>
      <c r="E189" s="9"/>
      <c r="F189" s="9"/>
      <c r="G189" s="9"/>
      <c r="H189" s="9"/>
      <c r="I189" s="312"/>
      <c r="J189" s="267" t="s">
        <v>230</v>
      </c>
      <c r="K189" s="332">
        <v>0.86875741204374757</v>
      </c>
      <c r="L189" s="332">
        <v>0.12425879562524707</v>
      </c>
      <c r="M189" s="332">
        <v>6.9837923310054027E-3</v>
      </c>
      <c r="N189" s="187"/>
      <c r="O189" s="329">
        <f t="shared" si="3"/>
        <v>0.13124258795625243</v>
      </c>
    </row>
    <row r="190" spans="1:15" x14ac:dyDescent="0.2">
      <c r="A190" s="312"/>
      <c r="B190" s="9"/>
      <c r="C190" s="9"/>
      <c r="D190" s="9"/>
      <c r="E190" s="9"/>
      <c r="F190" s="9"/>
      <c r="G190" s="9"/>
      <c r="H190" s="9"/>
      <c r="I190" s="312"/>
      <c r="J190" s="267" t="s">
        <v>626</v>
      </c>
      <c r="K190" s="332">
        <v>0.87545150501672242</v>
      </c>
      <c r="L190" s="332">
        <v>0.11612040133779264</v>
      </c>
      <c r="M190" s="332">
        <v>8.4280936454849496E-3</v>
      </c>
      <c r="N190" s="187"/>
      <c r="O190" s="329">
        <f t="shared" si="3"/>
        <v>0.12454849498327758</v>
      </c>
    </row>
    <row r="191" spans="1:15" x14ac:dyDescent="0.2">
      <c r="A191" s="312"/>
      <c r="B191" s="9"/>
      <c r="C191" s="9"/>
      <c r="D191" s="9"/>
      <c r="E191" s="9"/>
      <c r="F191" s="9"/>
      <c r="G191" s="9"/>
      <c r="H191" s="9"/>
      <c r="I191" s="312"/>
      <c r="J191" s="267" t="s">
        <v>234</v>
      </c>
      <c r="K191" s="332">
        <v>0.89103378206756412</v>
      </c>
      <c r="L191" s="332">
        <v>0.10896621793243587</v>
      </c>
      <c r="M191" s="332">
        <v>0</v>
      </c>
      <c r="N191" s="187"/>
      <c r="O191" s="329">
        <f t="shared" si="3"/>
        <v>0.10896621793243588</v>
      </c>
    </row>
    <row r="192" spans="1:15" x14ac:dyDescent="0.2">
      <c r="A192" s="312"/>
      <c r="B192" s="9"/>
      <c r="C192" s="9"/>
      <c r="D192" s="9"/>
      <c r="E192" s="9"/>
      <c r="F192" s="9"/>
      <c r="G192" s="9"/>
      <c r="H192" s="9"/>
      <c r="I192" s="312"/>
      <c r="J192" s="267" t="s">
        <v>232</v>
      </c>
      <c r="K192" s="332">
        <v>1</v>
      </c>
      <c r="L192" s="332">
        <v>0</v>
      </c>
      <c r="M192" s="332">
        <v>0</v>
      </c>
      <c r="N192" s="187"/>
      <c r="O192" s="329">
        <f t="shared" si="3"/>
        <v>0</v>
      </c>
    </row>
    <row r="193" spans="1:11" x14ac:dyDescent="0.2">
      <c r="A193" s="312"/>
      <c r="B193" s="9"/>
      <c r="C193" s="9"/>
      <c r="D193" s="9"/>
      <c r="E193" s="9"/>
      <c r="F193" s="9"/>
      <c r="G193" s="9"/>
      <c r="H193" s="9"/>
      <c r="I193" s="312"/>
      <c r="K193" s="296"/>
    </row>
    <row r="194" spans="1:11" x14ac:dyDescent="0.2">
      <c r="A194" s="312"/>
      <c r="B194" s="9"/>
      <c r="C194" s="9"/>
      <c r="D194" s="9"/>
      <c r="E194" s="9"/>
      <c r="F194" s="9"/>
      <c r="G194" s="9"/>
      <c r="H194" s="9"/>
      <c r="I194" s="312"/>
      <c r="J194" s="319" t="s">
        <v>818</v>
      </c>
    </row>
    <row r="195" spans="1:11" x14ac:dyDescent="0.2">
      <c r="A195" s="312"/>
      <c r="B195" s="9"/>
      <c r="C195" s="9"/>
      <c r="D195" s="9"/>
      <c r="E195" s="9"/>
      <c r="F195" s="9"/>
      <c r="G195" s="9"/>
      <c r="H195" s="9"/>
      <c r="I195" s="312"/>
    </row>
    <row r="196" spans="1:11" x14ac:dyDescent="0.2">
      <c r="A196" s="312"/>
      <c r="B196" s="9"/>
      <c r="C196" s="9"/>
      <c r="D196" s="9"/>
      <c r="E196" s="9"/>
      <c r="F196" s="9"/>
      <c r="G196" s="9"/>
      <c r="H196" s="9"/>
      <c r="I196" s="312"/>
    </row>
    <row r="197" spans="1:11" x14ac:dyDescent="0.2">
      <c r="A197" s="312"/>
      <c r="B197" s="9"/>
      <c r="C197" s="9"/>
      <c r="D197" s="9"/>
      <c r="E197" s="9"/>
      <c r="F197" s="9"/>
      <c r="G197" s="9"/>
      <c r="H197" s="9"/>
      <c r="I197" s="312"/>
    </row>
    <row r="198" spans="1:11" x14ac:dyDescent="0.2">
      <c r="A198" s="312"/>
      <c r="B198" s="9"/>
      <c r="C198" s="9"/>
      <c r="D198" s="9"/>
      <c r="E198" s="9"/>
      <c r="F198" s="9"/>
      <c r="G198" s="9"/>
      <c r="H198" s="9"/>
      <c r="I198" s="312"/>
    </row>
    <row r="199" spans="1:11" x14ac:dyDescent="0.2">
      <c r="A199" s="312"/>
      <c r="B199" s="9"/>
      <c r="C199" s="9"/>
      <c r="D199" s="9"/>
      <c r="E199" s="9"/>
      <c r="F199" s="9"/>
      <c r="G199" s="9"/>
      <c r="H199" s="9"/>
      <c r="I199" s="312"/>
    </row>
    <row r="200" spans="1:11" x14ac:dyDescent="0.2">
      <c r="B200" s="8"/>
      <c r="C200" s="8"/>
      <c r="D200" s="8"/>
      <c r="E200" s="8"/>
      <c r="F200" s="8"/>
      <c r="G200" s="8"/>
      <c r="H200" s="8"/>
    </row>
    <row r="201" spans="1:11" x14ac:dyDescent="0.2">
      <c r="B201" s="8"/>
      <c r="C201" s="8"/>
      <c r="D201" s="8"/>
      <c r="E201" s="8"/>
      <c r="F201" s="8"/>
      <c r="G201" s="8"/>
      <c r="H201" s="8"/>
    </row>
    <row r="202" spans="1:11" x14ac:dyDescent="0.2">
      <c r="B202" s="8" t="s">
        <v>708</v>
      </c>
      <c r="C202" s="8"/>
      <c r="D202" s="8"/>
      <c r="E202" s="8"/>
      <c r="F202" s="8"/>
      <c r="G202" s="8"/>
      <c r="H202" s="8"/>
    </row>
    <row r="203" spans="1:11" x14ac:dyDescent="0.2">
      <c r="B203" s="8"/>
      <c r="C203" s="8"/>
      <c r="D203" s="8"/>
      <c r="E203" s="8"/>
      <c r="F203" s="8"/>
      <c r="G203" s="8"/>
      <c r="H203" s="8"/>
    </row>
    <row r="204" spans="1:11" x14ac:dyDescent="0.2">
      <c r="B204" s="9"/>
      <c r="C204" s="9"/>
      <c r="D204" s="9"/>
      <c r="E204" s="9"/>
      <c r="F204" s="9"/>
      <c r="G204" s="9"/>
      <c r="H204" s="9"/>
    </row>
    <row r="205" spans="1:11" x14ac:dyDescent="0.2">
      <c r="B205" s="9"/>
      <c r="C205" s="9"/>
      <c r="D205" s="9"/>
      <c r="E205" s="9"/>
      <c r="F205" s="9"/>
      <c r="G205" s="9"/>
      <c r="H205" s="9"/>
    </row>
    <row r="206" spans="1:11" x14ac:dyDescent="0.2">
      <c r="B206" s="9"/>
      <c r="C206" s="9"/>
      <c r="D206" s="9"/>
      <c r="E206" s="9"/>
      <c r="F206" s="9"/>
      <c r="G206" s="9"/>
      <c r="H206" s="9"/>
    </row>
    <row r="207" spans="1:11" x14ac:dyDescent="0.2">
      <c r="B207" s="9"/>
      <c r="C207" s="9"/>
      <c r="D207" s="9"/>
      <c r="E207" s="9"/>
      <c r="F207" s="9"/>
      <c r="G207" s="9"/>
      <c r="H207" s="9"/>
    </row>
    <row r="208" spans="1:11" x14ac:dyDescent="0.2">
      <c r="B208" s="9"/>
      <c r="C208" s="9"/>
      <c r="D208" s="9"/>
      <c r="E208" s="9"/>
      <c r="F208" s="9"/>
      <c r="G208" s="9"/>
      <c r="H208" s="9"/>
    </row>
    <row r="209" spans="2:8" x14ac:dyDescent="0.2">
      <c r="B209" s="9"/>
      <c r="C209" s="9"/>
      <c r="D209" s="9"/>
      <c r="E209" s="9"/>
      <c r="F209" s="9"/>
      <c r="G209" s="9"/>
      <c r="H209" s="9"/>
    </row>
    <row r="210" spans="2:8" x14ac:dyDescent="0.2">
      <c r="B210" s="9"/>
      <c r="C210" s="9"/>
      <c r="D210" s="9"/>
      <c r="E210" s="9"/>
      <c r="F210" s="9"/>
      <c r="G210" s="9"/>
      <c r="H210" s="9"/>
    </row>
    <row r="211" spans="2:8" x14ac:dyDescent="0.2">
      <c r="B211" s="9"/>
      <c r="C211" s="9"/>
      <c r="D211" s="9"/>
      <c r="E211" s="9"/>
      <c r="F211" s="9"/>
      <c r="G211" s="9"/>
      <c r="H211" s="9"/>
    </row>
    <row r="212" spans="2:8" x14ac:dyDescent="0.2">
      <c r="B212" s="9"/>
      <c r="C212" s="9"/>
      <c r="D212" s="9"/>
      <c r="E212" s="9"/>
      <c r="F212" s="9"/>
      <c r="G212" s="9"/>
      <c r="H212" s="9"/>
    </row>
    <row r="213" spans="2:8" x14ac:dyDescent="0.2">
      <c r="B213" s="9"/>
      <c r="C213" s="9"/>
      <c r="D213" s="9"/>
      <c r="E213" s="9"/>
      <c r="F213" s="9"/>
      <c r="G213" s="9"/>
      <c r="H213" s="9"/>
    </row>
    <row r="214" spans="2:8" x14ac:dyDescent="0.2">
      <c r="B214" s="9"/>
      <c r="C214" s="9"/>
      <c r="D214" s="9"/>
      <c r="E214" s="9"/>
      <c r="F214" s="9"/>
      <c r="G214" s="9"/>
      <c r="H214" s="9"/>
    </row>
    <row r="215" spans="2:8" x14ac:dyDescent="0.2">
      <c r="B215" s="9"/>
      <c r="C215" s="9"/>
      <c r="D215" s="9"/>
      <c r="E215" s="9"/>
      <c r="F215" s="9"/>
      <c r="G215" s="9"/>
      <c r="H215" s="9"/>
    </row>
    <row r="216" spans="2:8" x14ac:dyDescent="0.2">
      <c r="B216" s="9"/>
      <c r="C216" s="9"/>
      <c r="D216" s="9"/>
      <c r="E216" s="9"/>
      <c r="F216" s="9"/>
      <c r="G216" s="9"/>
      <c r="H216" s="9"/>
    </row>
    <row r="217" spans="2:8" x14ac:dyDescent="0.2">
      <c r="B217" s="9"/>
      <c r="C217" s="9"/>
      <c r="D217" s="9"/>
      <c r="E217" s="9"/>
      <c r="F217" s="9"/>
      <c r="G217" s="9"/>
      <c r="H217" s="9"/>
    </row>
    <row r="218" spans="2:8" x14ac:dyDescent="0.2">
      <c r="B218" s="322"/>
      <c r="C218" s="322"/>
      <c r="D218" s="322"/>
      <c r="E218" s="322"/>
      <c r="F218" s="322"/>
      <c r="G218" s="322"/>
      <c r="H218" s="322"/>
    </row>
  </sheetData>
  <sortState ref="J153:L160">
    <sortCondition ref="K153:K160"/>
  </sortState>
  <mergeCells count="3">
    <mergeCell ref="L1:P1"/>
    <mergeCell ref="Q1:T1"/>
    <mergeCell ref="J1:K1"/>
  </mergeCells>
  <pageMargins left="0.7" right="0.7" top="0.75" bottom="0.75"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DDDD"/>
    <pageSetUpPr fitToPage="1"/>
  </sheetPr>
  <dimension ref="A1:W27"/>
  <sheetViews>
    <sheetView showRowColHeaders="0" zoomScaleNormal="100" zoomScaleSheetLayoutView="140" workbookViewId="0"/>
  </sheetViews>
  <sheetFormatPr defaultColWidth="0" defaultRowHeight="15" zeroHeight="1" x14ac:dyDescent="0.2"/>
  <cols>
    <col min="1" max="1" width="8.88671875" style="25" customWidth="1"/>
    <col min="2" max="2" width="1.88671875" style="25" customWidth="1"/>
    <col min="3" max="9" width="8.88671875" style="25" customWidth="1"/>
    <col min="10" max="10" width="8.21875" style="25" customWidth="1"/>
    <col min="11" max="11" width="0.6640625" style="25" customWidth="1"/>
    <col min="12" max="14" width="8.88671875" style="25" hidden="1" customWidth="1"/>
    <col min="15" max="19" width="5.88671875" style="25" hidden="1" customWidth="1"/>
    <col min="20" max="16384" width="8.88671875" style="25" hidden="1"/>
  </cols>
  <sheetData>
    <row r="1" spans="1:23" x14ac:dyDescent="0.2">
      <c r="A1" s="27"/>
      <c r="B1" s="27"/>
      <c r="C1" s="27"/>
      <c r="D1" s="27"/>
      <c r="E1" s="27"/>
      <c r="F1" s="27"/>
      <c r="G1" s="27"/>
      <c r="H1" s="27"/>
      <c r="I1" s="27"/>
      <c r="J1" s="27"/>
      <c r="K1" s="24"/>
      <c r="L1" s="24"/>
    </row>
    <row r="2" spans="1:23" ht="35.25" x14ac:dyDescent="0.5">
      <c r="A2" s="27"/>
      <c r="B2" s="27"/>
      <c r="C2" s="27"/>
      <c r="D2" s="29"/>
      <c r="E2" s="28"/>
      <c r="F2" s="27"/>
      <c r="G2" s="27"/>
      <c r="H2" s="27"/>
      <c r="I2" s="27"/>
      <c r="J2" s="27"/>
      <c r="K2" s="24"/>
      <c r="L2" s="24"/>
    </row>
    <row r="3" spans="1:23" x14ac:dyDescent="0.2">
      <c r="A3" s="27"/>
      <c r="B3" s="27"/>
      <c r="C3" s="27"/>
      <c r="D3" s="27"/>
      <c r="E3" s="27"/>
      <c r="F3" s="27"/>
      <c r="G3" s="27"/>
      <c r="H3" s="27"/>
      <c r="I3" s="27"/>
      <c r="J3" s="27"/>
      <c r="K3" s="24"/>
      <c r="L3" s="24"/>
      <c r="U3" s="26"/>
      <c r="V3" s="26"/>
      <c r="W3" s="26"/>
    </row>
    <row r="4" spans="1:23" s="28" customFormat="1" ht="15" customHeight="1" x14ac:dyDescent="0.2">
      <c r="A4" s="384" t="s">
        <v>36</v>
      </c>
      <c r="B4" s="384"/>
      <c r="C4" s="384"/>
      <c r="D4" s="384"/>
      <c r="E4" s="384"/>
      <c r="F4" s="384"/>
      <c r="G4" s="384"/>
      <c r="H4" s="384"/>
      <c r="I4" s="384"/>
      <c r="J4" s="384"/>
      <c r="K4" s="384"/>
      <c r="L4" s="27"/>
      <c r="U4" s="43"/>
      <c r="V4" s="43"/>
      <c r="W4" s="43"/>
    </row>
    <row r="5" spans="1:23" s="28" customFormat="1" ht="15" customHeight="1" x14ac:dyDescent="0.2">
      <c r="A5" s="384"/>
      <c r="B5" s="384"/>
      <c r="C5" s="384"/>
      <c r="D5" s="384"/>
      <c r="E5" s="384"/>
      <c r="F5" s="384"/>
      <c r="G5" s="384"/>
      <c r="H5" s="384"/>
      <c r="I5" s="384"/>
      <c r="J5" s="384"/>
      <c r="K5" s="384"/>
      <c r="L5" s="27"/>
      <c r="U5" s="43"/>
      <c r="V5" s="43"/>
      <c r="W5" s="43"/>
    </row>
    <row r="6" spans="1:23" s="28" customFormat="1" ht="23.25" customHeight="1" x14ac:dyDescent="0.2">
      <c r="A6" s="384"/>
      <c r="B6" s="384"/>
      <c r="C6" s="384"/>
      <c r="D6" s="384"/>
      <c r="E6" s="384"/>
      <c r="F6" s="384"/>
      <c r="G6" s="384"/>
      <c r="H6" s="384"/>
      <c r="I6" s="384"/>
      <c r="J6" s="384"/>
      <c r="K6" s="384"/>
      <c r="L6" s="27"/>
      <c r="U6" s="43"/>
      <c r="V6" s="43"/>
      <c r="W6" s="43"/>
    </row>
    <row r="7" spans="1:23" s="28" customFormat="1" ht="8.25" customHeight="1" x14ac:dyDescent="0.2">
      <c r="A7" s="384"/>
      <c r="B7" s="384"/>
      <c r="C7" s="384"/>
      <c r="D7" s="384"/>
      <c r="E7" s="384"/>
      <c r="F7" s="384"/>
      <c r="G7" s="384"/>
      <c r="H7" s="384"/>
      <c r="I7" s="384"/>
      <c r="J7" s="384"/>
      <c r="K7" s="384"/>
      <c r="L7" s="27"/>
      <c r="U7" s="43"/>
      <c r="V7" s="43"/>
      <c r="W7" s="43"/>
    </row>
    <row r="8" spans="1:23" s="28" customFormat="1" ht="15" customHeight="1" x14ac:dyDescent="0.25">
      <c r="A8" s="386" t="str">
        <f>"Showing data for: "&amp;VLOOKUP('Lookup data'!A110,'Lookup data'!B110:C117,2,FALSE)</f>
        <v>Showing data for: Wales</v>
      </c>
      <c r="B8" s="386"/>
      <c r="C8" s="386"/>
      <c r="D8" s="386"/>
      <c r="E8" s="386"/>
      <c r="F8" s="386"/>
      <c r="G8" s="386"/>
      <c r="H8" s="386"/>
      <c r="I8" s="386"/>
      <c r="J8" s="386"/>
      <c r="K8" s="386"/>
      <c r="L8" s="27"/>
      <c r="U8" s="43"/>
      <c r="V8" s="43"/>
      <c r="W8" s="43"/>
    </row>
    <row r="9" spans="1:23" s="387" customFormat="1" ht="28.5" customHeight="1" x14ac:dyDescent="0.2">
      <c r="A9" s="387" t="str">
        <f>IF(A8="Showing data for: Wales", "Click here to select a health board", "Click here to select Wales or a different health board")</f>
        <v>Click here to select a health board</v>
      </c>
    </row>
    <row r="10" spans="1:23" s="28" customFormat="1" ht="15" customHeight="1" x14ac:dyDescent="0.2">
      <c r="A10" s="27"/>
      <c r="B10" s="27"/>
      <c r="C10" s="30"/>
      <c r="D10" s="30"/>
      <c r="E10" s="30"/>
      <c r="F10" s="30"/>
      <c r="G10" s="27"/>
      <c r="H10" s="27"/>
      <c r="I10" s="27"/>
      <c r="J10" s="27"/>
      <c r="K10" s="27"/>
      <c r="L10" s="27"/>
      <c r="U10" s="43"/>
      <c r="V10" s="43"/>
      <c r="W10" s="43"/>
    </row>
    <row r="11" spans="1:23" s="28" customFormat="1" ht="19.5" customHeight="1" x14ac:dyDescent="0.2">
      <c r="A11" s="388" t="str">
        <f>'Button control data'!J8</f>
        <v>Chart 1c shows that the number of new CVIs with glaucoma per 100,000 Welsh residents aged 40 or older has increased by 1 since 2014-15, with there being 12 new CVIs per 100,000 Welsh residents aged 40 or older, during the 2015-16 financial year.</v>
      </c>
      <c r="B11" s="388"/>
      <c r="C11" s="388"/>
      <c r="D11" s="388"/>
      <c r="E11" s="229"/>
      <c r="F11" s="27"/>
      <c r="G11" s="27"/>
      <c r="H11" s="27"/>
      <c r="I11" s="27"/>
      <c r="J11" s="27"/>
      <c r="K11" s="27"/>
      <c r="L11" s="27"/>
      <c r="U11" s="43"/>
      <c r="V11" s="43"/>
      <c r="W11" s="43"/>
    </row>
    <row r="12" spans="1:23" s="28" customFormat="1" ht="15.75" customHeight="1" x14ac:dyDescent="0.25">
      <c r="A12" s="388"/>
      <c r="B12" s="388"/>
      <c r="C12" s="388"/>
      <c r="D12" s="388"/>
      <c r="E12" s="229"/>
      <c r="F12" s="31"/>
      <c r="G12" s="27"/>
      <c r="H12" s="27"/>
      <c r="I12" s="27"/>
      <c r="J12" s="27"/>
      <c r="K12" s="27"/>
      <c r="L12" s="27"/>
      <c r="U12" s="15"/>
      <c r="V12" s="12"/>
    </row>
    <row r="13" spans="1:23" s="28" customFormat="1" ht="15" customHeight="1" x14ac:dyDescent="0.2">
      <c r="A13" s="388"/>
      <c r="B13" s="388"/>
      <c r="C13" s="388"/>
      <c r="D13" s="388"/>
      <c r="E13" s="229"/>
      <c r="F13" s="27"/>
      <c r="G13" s="27"/>
      <c r="H13" s="27"/>
      <c r="I13" s="27"/>
      <c r="J13" s="27"/>
      <c r="K13" s="27"/>
      <c r="L13" s="27"/>
      <c r="U13" s="17"/>
      <c r="V13" s="17"/>
    </row>
    <row r="14" spans="1:23" s="28" customFormat="1" ht="19.5" customHeight="1" x14ac:dyDescent="0.25">
      <c r="A14" s="388"/>
      <c r="B14" s="388"/>
      <c r="C14" s="388"/>
      <c r="D14" s="388"/>
      <c r="E14" s="229"/>
      <c r="F14" s="32"/>
      <c r="G14" s="27"/>
      <c r="H14" s="27"/>
      <c r="I14" s="27"/>
      <c r="J14" s="27"/>
      <c r="K14" s="27"/>
      <c r="L14" s="27"/>
      <c r="U14" s="17"/>
      <c r="V14" s="17"/>
    </row>
    <row r="15" spans="1:23" s="28" customFormat="1" ht="15" customHeight="1" x14ac:dyDescent="0.25">
      <c r="A15" s="388"/>
      <c r="B15" s="388"/>
      <c r="C15" s="388"/>
      <c r="D15" s="388"/>
      <c r="E15" s="229"/>
      <c r="F15" s="32"/>
      <c r="G15" s="27"/>
      <c r="H15" s="27"/>
      <c r="I15" s="27"/>
      <c r="J15" s="27"/>
      <c r="K15" s="27"/>
      <c r="L15" s="27"/>
      <c r="U15" s="12"/>
      <c r="V15" s="12"/>
    </row>
    <row r="16" spans="1:23" s="28" customFormat="1" ht="24" customHeight="1" x14ac:dyDescent="0.2">
      <c r="A16" s="388"/>
      <c r="B16" s="388"/>
      <c r="C16" s="388"/>
      <c r="D16" s="388"/>
      <c r="E16" s="229"/>
      <c r="F16" s="27"/>
      <c r="G16" s="27"/>
      <c r="H16" s="27"/>
      <c r="I16" s="27"/>
      <c r="J16" s="27"/>
      <c r="K16" s="27"/>
      <c r="L16" s="27"/>
      <c r="N16" s="44"/>
    </row>
    <row r="17" spans="1:12" s="28" customFormat="1" ht="25.5" customHeight="1" x14ac:dyDescent="0.2">
      <c r="A17" s="388"/>
      <c r="B17" s="388"/>
      <c r="C17" s="388"/>
      <c r="D17" s="388"/>
      <c r="E17" s="229"/>
      <c r="F17" s="27"/>
      <c r="G17" s="27"/>
      <c r="H17" s="27"/>
      <c r="I17" s="27"/>
      <c r="J17" s="27"/>
      <c r="K17" s="27"/>
      <c r="L17" s="27"/>
    </row>
    <row r="18" spans="1:12" s="28" customFormat="1" ht="15.75" customHeight="1" x14ac:dyDescent="0.2">
      <c r="A18" s="388"/>
      <c r="B18" s="388"/>
      <c r="C18" s="388"/>
      <c r="D18" s="388"/>
      <c r="E18" s="30"/>
      <c r="F18" s="27"/>
      <c r="G18" s="27"/>
      <c r="H18" s="27"/>
      <c r="I18" s="27"/>
      <c r="J18" s="27"/>
      <c r="K18" s="27"/>
      <c r="L18" s="27"/>
    </row>
    <row r="19" spans="1:12" s="28" customFormat="1" x14ac:dyDescent="0.2">
      <c r="A19" s="229"/>
      <c r="B19" s="229"/>
      <c r="C19" s="229"/>
      <c r="D19" s="229"/>
      <c r="E19" s="30"/>
      <c r="F19" s="27"/>
      <c r="G19" s="27"/>
      <c r="H19" s="27"/>
      <c r="I19" s="27"/>
      <c r="J19" s="27"/>
      <c r="K19" s="27"/>
      <c r="L19" s="27"/>
    </row>
    <row r="20" spans="1:12" s="28" customFormat="1" x14ac:dyDescent="0.2">
      <c r="A20" s="30"/>
      <c r="B20" s="30"/>
      <c r="C20" s="30"/>
      <c r="D20" s="30"/>
      <c r="E20" s="30"/>
      <c r="F20" s="27"/>
      <c r="G20" s="27"/>
      <c r="H20" s="27"/>
      <c r="I20" s="27"/>
      <c r="J20" s="27"/>
      <c r="K20" s="27"/>
      <c r="L20" s="27"/>
    </row>
    <row r="21" spans="1:12" s="28" customFormat="1" x14ac:dyDescent="0.2">
      <c r="A21" s="30"/>
      <c r="B21" s="30"/>
      <c r="C21" s="30"/>
      <c r="D21" s="30"/>
      <c r="E21" s="30"/>
      <c r="F21" s="27"/>
      <c r="G21" s="27"/>
      <c r="H21" s="27"/>
      <c r="I21" s="27"/>
      <c r="J21" s="27"/>
      <c r="K21" s="27"/>
      <c r="L21" s="27"/>
    </row>
    <row r="22" spans="1:12" s="28" customFormat="1" ht="21.75" customHeight="1" x14ac:dyDescent="0.2">
      <c r="B22" s="30"/>
      <c r="C22" s="30"/>
      <c r="D22" s="30"/>
      <c r="E22" s="30"/>
      <c r="F22" s="27"/>
      <c r="G22" s="27"/>
      <c r="H22" s="27"/>
      <c r="I22" s="27"/>
      <c r="J22" s="27"/>
      <c r="K22" s="27"/>
      <c r="L22" s="27"/>
    </row>
    <row r="23" spans="1:12" s="28" customFormat="1" ht="24" customHeight="1" x14ac:dyDescent="0.25">
      <c r="A23" s="230" t="s">
        <v>105</v>
      </c>
      <c r="B23" s="58"/>
      <c r="C23" s="58"/>
      <c r="D23" s="58"/>
      <c r="E23" s="58"/>
      <c r="F23" s="58"/>
      <c r="G23" s="58"/>
      <c r="H23" s="58"/>
      <c r="I23" s="58"/>
      <c r="J23" s="27"/>
      <c r="K23" s="27"/>
      <c r="L23" s="27"/>
    </row>
    <row r="24" spans="1:12" s="28" customFormat="1" x14ac:dyDescent="0.2">
      <c r="A24" s="385" t="s">
        <v>104</v>
      </c>
      <c r="B24" s="385"/>
      <c r="C24" s="385"/>
      <c r="D24" s="385"/>
      <c r="E24" s="385"/>
      <c r="F24" s="385"/>
      <c r="G24" s="385"/>
      <c r="H24" s="385"/>
      <c r="I24" s="385"/>
      <c r="J24" s="27"/>
      <c r="K24" s="27"/>
      <c r="L24" s="27"/>
    </row>
    <row r="25" spans="1:12" s="28" customFormat="1" x14ac:dyDescent="0.2">
      <c r="A25" s="385"/>
      <c r="B25" s="385"/>
      <c r="C25" s="385"/>
      <c r="D25" s="385"/>
      <c r="E25" s="385"/>
      <c r="F25" s="385"/>
      <c r="G25" s="385"/>
      <c r="H25" s="385"/>
      <c r="I25" s="385"/>
      <c r="J25" s="27"/>
      <c r="K25" s="27"/>
      <c r="L25" s="27"/>
    </row>
    <row r="26" spans="1:12" hidden="1" x14ac:dyDescent="0.2">
      <c r="A26" s="24"/>
      <c r="B26" s="24"/>
      <c r="C26" s="24"/>
      <c r="D26" s="24"/>
      <c r="E26" s="24"/>
      <c r="F26" s="24"/>
      <c r="G26" s="24"/>
      <c r="H26" s="24"/>
      <c r="I26" s="24"/>
      <c r="J26" s="24"/>
      <c r="K26" s="24"/>
    </row>
    <row r="27" spans="1:12" hidden="1" x14ac:dyDescent="0.2"/>
  </sheetData>
  <sheetProtection password="E69E" sheet="1" objects="1" scenarios="1"/>
  <mergeCells count="5">
    <mergeCell ref="A4:K7"/>
    <mergeCell ref="A24:I25"/>
    <mergeCell ref="A8:K8"/>
    <mergeCell ref="A9:XFD9"/>
    <mergeCell ref="A11:D18"/>
  </mergeCells>
  <hyperlinks>
    <hyperlink ref="A9:XFD9" location="'Select Health Board'!A1" display="'Select Health Board'!A1"/>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locked="0" defaultSize="0" autoLine="0" autoPict="0">
                <anchor moveWithCells="1">
                  <from>
                    <xdr:col>2</xdr:col>
                    <xdr:colOff>638175</xdr:colOff>
                    <xdr:row>8</xdr:row>
                    <xdr:rowOff>285750</xdr:rowOff>
                  </from>
                  <to>
                    <xdr:col>7</xdr:col>
                    <xdr:colOff>723900</xdr:colOff>
                    <xdr:row>9</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EBCD"/>
    <pageSetUpPr fitToPage="1"/>
  </sheetPr>
  <dimension ref="A1:V32"/>
  <sheetViews>
    <sheetView showRowColHeaders="0" zoomScaleNormal="100" zoomScaleSheetLayoutView="120" workbookViewId="0"/>
  </sheetViews>
  <sheetFormatPr defaultColWidth="0" defaultRowHeight="15" zeroHeight="1" x14ac:dyDescent="0.2"/>
  <cols>
    <col min="1" max="1" width="2.21875" style="8" customWidth="1"/>
    <col min="2" max="2" width="8.77734375" style="8" customWidth="1"/>
    <col min="3" max="5" width="8.88671875" style="8" customWidth="1"/>
    <col min="6" max="6" width="9.44140625" style="8" customWidth="1"/>
    <col min="7" max="9" width="8.88671875" style="8" customWidth="1"/>
    <col min="10" max="10" width="7.33203125" style="8" customWidth="1"/>
    <col min="11" max="11" width="0.664062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256"/>
      <c r="O3" s="256"/>
      <c r="P3" s="256"/>
      <c r="Q3" s="256"/>
      <c r="R3" s="256"/>
      <c r="S3" s="256"/>
      <c r="T3" s="256"/>
      <c r="U3" s="256"/>
      <c r="V3" s="256"/>
    </row>
    <row r="4" spans="1:22" ht="15" customHeight="1" x14ac:dyDescent="0.2">
      <c r="A4" s="389" t="s">
        <v>662</v>
      </c>
      <c r="B4" s="389"/>
      <c r="C4" s="389"/>
      <c r="D4" s="389"/>
      <c r="E4" s="389"/>
      <c r="F4" s="389"/>
      <c r="G4" s="389"/>
      <c r="H4" s="389"/>
      <c r="I4" s="389"/>
      <c r="J4" s="389"/>
      <c r="K4" s="389"/>
      <c r="L4" s="9"/>
      <c r="N4" s="256"/>
      <c r="O4" s="256"/>
      <c r="P4" s="256"/>
      <c r="Q4" s="256"/>
      <c r="R4" s="256"/>
      <c r="S4" s="256"/>
      <c r="T4" s="256"/>
      <c r="U4" s="256"/>
      <c r="V4" s="256"/>
    </row>
    <row r="5" spans="1:22" ht="15" customHeight="1" x14ac:dyDescent="0.2">
      <c r="A5" s="389"/>
      <c r="B5" s="389"/>
      <c r="C5" s="389"/>
      <c r="D5" s="389"/>
      <c r="E5" s="389"/>
      <c r="F5" s="389"/>
      <c r="G5" s="389"/>
      <c r="H5" s="389"/>
      <c r="I5" s="389"/>
      <c r="J5" s="389"/>
      <c r="K5" s="389"/>
      <c r="L5" s="9"/>
      <c r="N5" s="78"/>
      <c r="O5" s="78"/>
      <c r="P5" s="78"/>
      <c r="Q5" s="78"/>
      <c r="R5" s="78"/>
      <c r="S5" s="78"/>
      <c r="T5" s="78"/>
      <c r="U5" s="12"/>
      <c r="V5" s="12"/>
    </row>
    <row r="6" spans="1:22" ht="15.75" customHeight="1" x14ac:dyDescent="0.2">
      <c r="A6" s="389"/>
      <c r="B6" s="389"/>
      <c r="C6" s="389"/>
      <c r="D6" s="389"/>
      <c r="E6" s="389"/>
      <c r="F6" s="389"/>
      <c r="G6" s="389"/>
      <c r="H6" s="389"/>
      <c r="I6" s="389"/>
      <c r="J6" s="389"/>
      <c r="K6" s="389"/>
      <c r="L6" s="9"/>
      <c r="N6" s="13"/>
      <c r="O6" s="12"/>
      <c r="P6" s="12"/>
      <c r="Q6" s="12"/>
      <c r="R6" s="12"/>
      <c r="S6" s="12"/>
      <c r="T6" s="12"/>
      <c r="U6" s="12"/>
      <c r="V6" s="12"/>
    </row>
    <row r="7" spans="1:22" ht="26.25" customHeight="1" x14ac:dyDescent="0.45">
      <c r="A7" s="390" t="s">
        <v>663</v>
      </c>
      <c r="B7" s="390"/>
      <c r="C7" s="390"/>
      <c r="D7" s="390"/>
      <c r="E7" s="390"/>
      <c r="F7" s="390"/>
      <c r="G7" s="390"/>
      <c r="H7" s="390"/>
      <c r="I7" s="390"/>
      <c r="J7" s="390"/>
      <c r="K7" s="390"/>
      <c r="L7" s="9"/>
      <c r="N7" s="14"/>
      <c r="O7" s="12"/>
      <c r="P7" s="12"/>
      <c r="Q7" s="12"/>
      <c r="R7" s="12"/>
      <c r="S7" s="12"/>
      <c r="T7" s="12"/>
      <c r="U7" s="12"/>
      <c r="V7" s="12"/>
    </row>
    <row r="8" spans="1:22" s="400" customFormat="1" ht="16.5" customHeight="1" x14ac:dyDescent="0.25">
      <c r="A8" s="400" t="str">
        <f>"Showing data for: "&amp;VLOOKUP('Lookup data'!A110,'Lookup data'!B110:C117,2,FALSE)</f>
        <v>Showing data for: Wales</v>
      </c>
    </row>
    <row r="9" spans="1:22" s="401" customFormat="1" ht="19.5" customHeight="1" x14ac:dyDescent="0.2">
      <c r="A9" s="401" t="str">
        <f>IF(A8="Showing data for: Wales", "Click here to select a health board", "Click here to select Wales or a different health board")</f>
        <v>Click here to select a health board</v>
      </c>
    </row>
    <row r="10" spans="1:22" ht="7.5" customHeight="1" x14ac:dyDescent="0.2">
      <c r="A10" s="9"/>
      <c r="B10" s="9"/>
      <c r="C10" s="19"/>
      <c r="D10" s="19"/>
      <c r="E10" s="19"/>
      <c r="F10" s="19"/>
      <c r="G10" s="9"/>
      <c r="H10" s="9"/>
      <c r="I10" s="9"/>
      <c r="J10" s="9"/>
      <c r="K10" s="9"/>
      <c r="L10" s="9"/>
      <c r="N10" s="13"/>
      <c r="O10" s="15"/>
      <c r="P10" s="15"/>
      <c r="Q10" s="15"/>
      <c r="R10" s="15"/>
      <c r="S10" s="15"/>
      <c r="T10" s="15"/>
      <c r="U10" s="15"/>
      <c r="V10" s="12"/>
    </row>
    <row r="11" spans="1:22" ht="14.25" customHeight="1" x14ac:dyDescent="0.2">
      <c r="A11" s="9"/>
      <c r="B11" s="9"/>
      <c r="C11" s="9"/>
      <c r="D11" s="9"/>
      <c r="E11" s="9"/>
      <c r="F11" s="9"/>
      <c r="G11" s="392">
        <f>'Button control data'!K19</f>
        <v>65.314051147069137</v>
      </c>
      <c r="H11" s="392"/>
      <c r="I11" s="392"/>
      <c r="J11" s="392"/>
      <c r="K11" s="9"/>
      <c r="L11" s="9"/>
      <c r="N11" s="14"/>
      <c r="O11" s="15"/>
      <c r="P11" s="15"/>
      <c r="Q11" s="15"/>
      <c r="R11" s="15"/>
      <c r="S11" s="15"/>
      <c r="T11" s="15"/>
      <c r="U11" s="15"/>
      <c r="V11" s="12"/>
    </row>
    <row r="12" spans="1:22" ht="15.75" customHeight="1" x14ac:dyDescent="0.25">
      <c r="A12" s="9"/>
      <c r="B12" s="9"/>
      <c r="C12" s="20"/>
      <c r="D12" s="20"/>
      <c r="E12" s="20"/>
      <c r="F12" s="20"/>
      <c r="G12" s="392"/>
      <c r="H12" s="392"/>
      <c r="I12" s="392"/>
      <c r="J12" s="392"/>
      <c r="K12" s="9"/>
      <c r="L12" s="9"/>
      <c r="N12" s="13"/>
      <c r="O12" s="15"/>
      <c r="P12" s="15"/>
      <c r="Q12" s="15"/>
      <c r="R12" s="15"/>
      <c r="S12" s="15"/>
      <c r="T12" s="15"/>
      <c r="U12" s="15"/>
      <c r="V12" s="12"/>
    </row>
    <row r="13" spans="1:22" ht="15" customHeight="1" x14ac:dyDescent="0.2">
      <c r="A13" s="9"/>
      <c r="B13" s="9"/>
      <c r="C13" s="9"/>
      <c r="D13" s="9"/>
      <c r="E13" s="9"/>
      <c r="F13" s="9"/>
      <c r="G13" s="392"/>
      <c r="H13" s="392"/>
      <c r="I13" s="392"/>
      <c r="J13" s="392"/>
      <c r="K13" s="9"/>
      <c r="L13" s="9"/>
      <c r="N13" s="16"/>
      <c r="O13" s="17"/>
      <c r="P13" s="17"/>
      <c r="Q13" s="17"/>
      <c r="R13" s="17"/>
      <c r="S13" s="17"/>
      <c r="T13" s="17"/>
      <c r="U13" s="17"/>
      <c r="V13" s="17"/>
    </row>
    <row r="14" spans="1:22" ht="15.75" customHeight="1" x14ac:dyDescent="0.25">
      <c r="A14" s="9"/>
      <c r="B14" s="9"/>
      <c r="C14" s="21"/>
      <c r="D14" s="21"/>
      <c r="E14" s="21"/>
      <c r="F14" s="21"/>
      <c r="G14" s="392"/>
      <c r="H14" s="392"/>
      <c r="I14" s="392"/>
      <c r="J14" s="392"/>
      <c r="K14" s="9"/>
      <c r="L14" s="9"/>
      <c r="N14" s="16"/>
      <c r="O14" s="17"/>
      <c r="P14" s="17"/>
      <c r="Q14" s="17"/>
      <c r="R14" s="17"/>
      <c r="S14" s="17"/>
      <c r="T14" s="17"/>
      <c r="U14" s="17"/>
      <c r="V14" s="17"/>
    </row>
    <row r="15" spans="1:22" ht="12.75" customHeight="1" x14ac:dyDescent="0.25">
      <c r="A15" s="9"/>
      <c r="B15" s="9"/>
      <c r="C15" s="21"/>
      <c r="D15" s="21"/>
      <c r="E15" s="21"/>
      <c r="F15" s="21"/>
      <c r="G15" s="392"/>
      <c r="H15" s="392"/>
      <c r="I15" s="392"/>
      <c r="J15" s="392"/>
      <c r="K15" s="9"/>
      <c r="L15" s="9"/>
      <c r="N15" s="16"/>
      <c r="O15" s="12"/>
      <c r="P15" s="12"/>
      <c r="Q15" s="12"/>
      <c r="R15" s="12"/>
      <c r="S15" s="12"/>
      <c r="T15" s="12"/>
      <c r="U15" s="12"/>
      <c r="V15" s="12"/>
    </row>
    <row r="16" spans="1:22" ht="15" customHeight="1" x14ac:dyDescent="0.2">
      <c r="A16" s="9"/>
      <c r="B16" s="9"/>
      <c r="C16" s="9"/>
      <c r="D16" s="9"/>
      <c r="E16" s="9"/>
      <c r="F16" s="9"/>
      <c r="G16" s="393" t="str">
        <f>'Button control data'!L19</f>
        <v>OUT OF</v>
      </c>
      <c r="H16" s="393"/>
      <c r="I16" s="393"/>
      <c r="J16" s="393"/>
      <c r="K16" s="9"/>
      <c r="L16" s="9"/>
    </row>
    <row r="17" spans="1:19" ht="15" customHeight="1" x14ac:dyDescent="0.2">
      <c r="A17" s="9"/>
      <c r="B17" s="9"/>
      <c r="C17" s="9"/>
      <c r="D17" s="9"/>
      <c r="E17" s="9"/>
      <c r="F17" s="9"/>
      <c r="G17" s="393"/>
      <c r="H17" s="393"/>
      <c r="I17" s="393"/>
      <c r="J17" s="393"/>
      <c r="K17" s="9"/>
      <c r="L17" s="9"/>
    </row>
    <row r="18" spans="1:19" ht="17.25" customHeight="1" x14ac:dyDescent="0.25">
      <c r="A18" s="9"/>
      <c r="B18" s="9"/>
      <c r="C18" s="9"/>
      <c r="D18" s="9"/>
      <c r="E18" s="10"/>
      <c r="F18" s="9"/>
      <c r="G18" s="393"/>
      <c r="H18" s="393"/>
      <c r="I18" s="393"/>
      <c r="J18" s="393"/>
      <c r="K18" s="9"/>
      <c r="L18" s="9"/>
      <c r="S18" s="18"/>
    </row>
    <row r="19" spans="1:19" ht="15" customHeight="1" x14ac:dyDescent="0.2">
      <c r="A19" s="9"/>
      <c r="B19" s="9"/>
      <c r="C19" s="9"/>
      <c r="D19" s="9"/>
      <c r="E19" s="9"/>
      <c r="F19" s="9"/>
      <c r="G19" s="394" t="str">
        <f>'Button control data'!M19</f>
        <v>1,000 WELSH</v>
      </c>
      <c r="H19" s="394"/>
      <c r="I19" s="394"/>
      <c r="J19" s="394"/>
      <c r="K19" s="9"/>
      <c r="L19" s="9"/>
    </row>
    <row r="20" spans="1:19" ht="15.75" customHeight="1" x14ac:dyDescent="0.2">
      <c r="A20" s="9"/>
      <c r="B20" s="9"/>
      <c r="C20" s="9"/>
      <c r="D20" s="9"/>
      <c r="E20" s="9"/>
      <c r="F20" s="9"/>
      <c r="G20" s="394"/>
      <c r="H20" s="394"/>
      <c r="I20" s="394"/>
      <c r="J20" s="394"/>
      <c r="K20" s="9"/>
      <c r="L20" s="9"/>
    </row>
    <row r="21" spans="1:19" ht="21.75" customHeight="1" x14ac:dyDescent="0.2">
      <c r="A21" s="9"/>
      <c r="B21" s="9"/>
      <c r="C21" s="9"/>
      <c r="D21" s="9"/>
      <c r="E21" s="9"/>
      <c r="F21" s="9"/>
      <c r="G21" s="395" t="str">
        <f>'Button control data'!N19</f>
        <v xml:space="preserve">A D U L T S  O N </v>
      </c>
      <c r="H21" s="395"/>
      <c r="I21" s="395"/>
      <c r="J21" s="395"/>
      <c r="K21" s="9"/>
      <c r="L21" s="9"/>
    </row>
    <row r="22" spans="1:19" ht="16.5" customHeight="1" x14ac:dyDescent="0.2">
      <c r="B22" s="399" t="str">
        <f>'Button control data'!J19</f>
        <v>Chart 2c shows that between 2015-16 and 2016-17 that the number of Welsh residents on income support who received sight tests paid for by the NHS has decreased in comparison to the size of the population.</v>
      </c>
      <c r="C22" s="399"/>
      <c r="D22" s="399"/>
      <c r="E22" s="399"/>
      <c r="F22" s="399"/>
      <c r="G22" s="396" t="str">
        <f>'Button control data'!O19</f>
        <v>INCOME SUPPORT* HAD</v>
      </c>
      <c r="H22" s="396"/>
      <c r="I22" s="396"/>
      <c r="J22" s="396"/>
      <c r="K22" s="9"/>
      <c r="L22" s="9"/>
    </row>
    <row r="23" spans="1:19" ht="13.5" customHeight="1" x14ac:dyDescent="0.2">
      <c r="A23" s="220"/>
      <c r="B23" s="399"/>
      <c r="C23" s="399"/>
      <c r="D23" s="399"/>
      <c r="E23" s="399"/>
      <c r="F23" s="399"/>
      <c r="G23" s="397" t="str">
        <f>'Button control data'!P19</f>
        <v>A SIGHT TEST PAID BY THE</v>
      </c>
      <c r="H23" s="397"/>
      <c r="I23" s="397"/>
      <c r="J23" s="397"/>
      <c r="K23" s="9"/>
      <c r="L23" s="9"/>
    </row>
    <row r="24" spans="1:19" ht="13.5" customHeight="1" x14ac:dyDescent="0.2">
      <c r="A24" s="220"/>
      <c r="B24" s="399"/>
      <c r="C24" s="399"/>
      <c r="D24" s="399"/>
      <c r="E24" s="399"/>
      <c r="F24" s="399"/>
      <c r="G24" s="398" t="str">
        <f>'Button control data'!Q19</f>
        <v>NHS IN 2016/17 FINANCIAL YEAR</v>
      </c>
      <c r="H24" s="398"/>
      <c r="I24" s="398"/>
      <c r="J24" s="398"/>
      <c r="K24" s="9"/>
      <c r="L24" s="9"/>
    </row>
    <row r="25" spans="1:19" ht="18.75" customHeight="1" x14ac:dyDescent="0.2">
      <c r="A25" s="220"/>
      <c r="B25" s="399"/>
      <c r="C25" s="399"/>
      <c r="D25" s="399"/>
      <c r="E25" s="399"/>
      <c r="F25" s="399"/>
      <c r="G25" s="359"/>
      <c r="H25" s="359"/>
      <c r="I25" s="359"/>
      <c r="J25" s="359"/>
      <c r="K25" s="9"/>
      <c r="L25" s="9"/>
    </row>
    <row r="26" spans="1:19" s="36" customFormat="1" ht="39" customHeight="1" x14ac:dyDescent="0.2">
      <c r="A26" s="391" t="str">
        <f>'Button control data'!R19</f>
        <v>* Income support includes: Adults receiving Income Support, Universal Credit, Pension Credit Guarentee Credit, Income related Employment and Support allowance, Tax Credit or Job Seekers Allowance and adults holding a low income certificate</v>
      </c>
      <c r="B26" s="391"/>
      <c r="C26" s="391"/>
      <c r="D26" s="391"/>
      <c r="E26" s="391"/>
      <c r="F26" s="391"/>
      <c r="G26" s="391"/>
      <c r="H26" s="391"/>
      <c r="I26" s="391"/>
      <c r="J26" s="227"/>
      <c r="K26" s="227"/>
      <c r="L26" s="227"/>
    </row>
    <row r="27" spans="1:19" ht="10.5" hidden="1" customHeight="1" x14ac:dyDescent="0.2">
      <c r="A27" s="19"/>
      <c r="B27" s="19"/>
      <c r="C27" s="19"/>
      <c r="D27" s="19"/>
      <c r="E27" s="19"/>
      <c r="F27" s="19"/>
      <c r="G27" s="9"/>
      <c r="H27" s="9"/>
      <c r="I27" s="9"/>
      <c r="J27" s="9"/>
      <c r="K27" s="9"/>
      <c r="L27" s="9"/>
      <c r="M27" s="9"/>
    </row>
    <row r="28" spans="1:19" hidden="1" x14ac:dyDescent="0.2"/>
    <row r="29" spans="1:19" hidden="1" x14ac:dyDescent="0.2">
      <c r="D29" s="2"/>
      <c r="E29" s="1"/>
      <c r="F29" s="1"/>
      <c r="G29" s="1"/>
      <c r="H29" s="1"/>
    </row>
    <row r="30" spans="1:19" hidden="1" x14ac:dyDescent="0.2">
      <c r="D30" s="1"/>
      <c r="E30" s="3"/>
      <c r="F30" s="3"/>
      <c r="G30" s="3"/>
      <c r="H30" s="3"/>
    </row>
    <row r="31" spans="1:19" hidden="1" x14ac:dyDescent="0.2">
      <c r="D31" s="1"/>
      <c r="E31" s="3"/>
      <c r="F31" s="3"/>
      <c r="G31" s="3"/>
      <c r="H31" s="3"/>
    </row>
    <row r="32" spans="1:19" hidden="1" x14ac:dyDescent="0.2">
      <c r="D32" s="1"/>
      <c r="E32" s="3"/>
      <c r="F32" s="3"/>
      <c r="G32" s="3"/>
      <c r="H32" s="3"/>
    </row>
  </sheetData>
  <sheetProtection password="E69E" sheet="1" objects="1" scenarios="1"/>
  <mergeCells count="13">
    <mergeCell ref="A4:K6"/>
    <mergeCell ref="A7:K7"/>
    <mergeCell ref="A26:I26"/>
    <mergeCell ref="G11:J15"/>
    <mergeCell ref="G16:J18"/>
    <mergeCell ref="G19:J20"/>
    <mergeCell ref="G21:J21"/>
    <mergeCell ref="G22:J22"/>
    <mergeCell ref="G23:J23"/>
    <mergeCell ref="G24:J24"/>
    <mergeCell ref="B22:F25"/>
    <mergeCell ref="A8:XFD8"/>
    <mergeCell ref="A9:XFD9"/>
  </mergeCells>
  <hyperlinks>
    <hyperlink ref="A9:H9" location="'Select Health Board'!A1" display="'Select Health Board'!A1"/>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Drop Down 1">
              <controlPr locked="0" defaultSize="0" autoLine="0" autoPict="0">
                <anchor moveWithCells="1">
                  <from>
                    <xdr:col>0</xdr:col>
                    <xdr:colOff>57150</xdr:colOff>
                    <xdr:row>10</xdr:row>
                    <xdr:rowOff>38100</xdr:rowOff>
                  </from>
                  <to>
                    <xdr:col>6</xdr:col>
                    <xdr:colOff>104775</xdr:colOff>
                    <xdr:row>11</xdr:row>
                    <xdr:rowOff>66675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BCD"/>
    <pageSetUpPr fitToPage="1"/>
  </sheetPr>
  <dimension ref="A1:V32"/>
  <sheetViews>
    <sheetView showRowColHeaders="0" zoomScaleNormal="100" zoomScaleSheetLayoutView="120" workbookViewId="0"/>
  </sheetViews>
  <sheetFormatPr defaultColWidth="0" defaultRowHeight="15" customHeight="1" zeroHeight="1" x14ac:dyDescent="0.2"/>
  <cols>
    <col min="1" max="1" width="2.21875" style="8" customWidth="1"/>
    <col min="2" max="2" width="8.77734375" style="8" customWidth="1"/>
    <col min="3" max="5" width="8.88671875" style="8" customWidth="1"/>
    <col min="6" max="6" width="9.44140625" style="8" customWidth="1"/>
    <col min="7" max="9" width="8.88671875" style="8" customWidth="1"/>
    <col min="10" max="10" width="7.33203125" style="8" customWidth="1"/>
    <col min="11" max="11" width="0.664062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403" t="s">
        <v>417</v>
      </c>
      <c r="B4" s="403"/>
      <c r="C4" s="403"/>
      <c r="D4" s="403"/>
      <c r="E4" s="403"/>
      <c r="F4" s="403"/>
      <c r="G4" s="403"/>
      <c r="H4" s="403"/>
      <c r="I4" s="403"/>
      <c r="J4" s="403"/>
      <c r="K4" s="403"/>
      <c r="L4" s="9"/>
      <c r="N4" s="377"/>
      <c r="O4" s="377"/>
      <c r="P4" s="377"/>
      <c r="Q4" s="377"/>
      <c r="R4" s="377"/>
      <c r="S4" s="377"/>
      <c r="T4" s="377"/>
      <c r="U4" s="377"/>
      <c r="V4" s="377"/>
    </row>
    <row r="5" spans="1:22" ht="15" customHeight="1" x14ac:dyDescent="0.2">
      <c r="A5" s="403"/>
      <c r="B5" s="403"/>
      <c r="C5" s="403"/>
      <c r="D5" s="403"/>
      <c r="E5" s="403"/>
      <c r="F5" s="403"/>
      <c r="G5" s="403"/>
      <c r="H5" s="403"/>
      <c r="I5" s="403"/>
      <c r="J5" s="403"/>
      <c r="K5" s="403"/>
      <c r="L5" s="9"/>
      <c r="N5" s="378"/>
      <c r="O5" s="378"/>
      <c r="P5" s="378"/>
      <c r="Q5" s="378"/>
      <c r="R5" s="378"/>
      <c r="S5" s="378"/>
      <c r="T5" s="378"/>
      <c r="U5" s="12"/>
      <c r="V5" s="12"/>
    </row>
    <row r="6" spans="1:22" ht="15.75" customHeight="1" x14ac:dyDescent="0.2">
      <c r="A6" s="403"/>
      <c r="B6" s="403"/>
      <c r="C6" s="403"/>
      <c r="D6" s="403"/>
      <c r="E6" s="403"/>
      <c r="F6" s="403"/>
      <c r="G6" s="403"/>
      <c r="H6" s="403"/>
      <c r="I6" s="403"/>
      <c r="J6" s="403"/>
      <c r="K6" s="403"/>
      <c r="L6" s="9"/>
      <c r="N6" s="13"/>
      <c r="O6" s="12"/>
      <c r="P6" s="12"/>
      <c r="Q6" s="12"/>
      <c r="R6" s="12"/>
      <c r="S6" s="12"/>
      <c r="T6" s="12"/>
      <c r="U6" s="12"/>
      <c r="V6" s="12"/>
    </row>
    <row r="7" spans="1:22" ht="26.25" customHeight="1" x14ac:dyDescent="0.2">
      <c r="A7" s="403"/>
      <c r="B7" s="403"/>
      <c r="C7" s="403"/>
      <c r="D7" s="403"/>
      <c r="E7" s="403"/>
      <c r="F7" s="403"/>
      <c r="G7" s="403"/>
      <c r="H7" s="403"/>
      <c r="I7" s="403"/>
      <c r="J7" s="403"/>
      <c r="K7" s="403"/>
      <c r="L7" s="9"/>
      <c r="N7" s="14"/>
      <c r="O7" s="12"/>
      <c r="P7" s="12"/>
      <c r="Q7" s="12"/>
      <c r="R7" s="12"/>
      <c r="S7" s="12"/>
      <c r="T7" s="12"/>
      <c r="U7" s="12"/>
      <c r="V7" s="12"/>
    </row>
    <row r="8" spans="1:22" s="360" customFormat="1" ht="16.5" customHeight="1" x14ac:dyDescent="0.25">
      <c r="A8" s="400" t="str">
        <f>"Showing data for: "&amp;VLOOKUP('Lookup data'!A110,'Lookup data'!B110:C117,2,FALSE)</f>
        <v>Showing data for: Wales</v>
      </c>
      <c r="B8" s="400"/>
      <c r="C8" s="400"/>
      <c r="D8" s="400"/>
      <c r="E8" s="400"/>
      <c r="F8" s="400"/>
      <c r="G8" s="400"/>
      <c r="H8" s="400"/>
      <c r="I8" s="400"/>
      <c r="J8" s="400"/>
      <c r="K8" s="400"/>
      <c r="L8" s="359"/>
      <c r="N8" s="14"/>
      <c r="O8" s="12"/>
      <c r="P8" s="12"/>
      <c r="Q8" s="12"/>
      <c r="R8" s="12"/>
      <c r="S8" s="12"/>
      <c r="T8" s="12"/>
      <c r="U8" s="12"/>
      <c r="V8" s="12"/>
    </row>
    <row r="9" spans="1:22" s="401" customFormat="1" ht="19.5" customHeight="1" x14ac:dyDescent="0.2">
      <c r="A9" s="401" t="str">
        <f>IF(A8="Showing data for: Wales", "Click here to select a health board", "Click here to select Wales or a different health board")</f>
        <v>Click here to select a health board</v>
      </c>
    </row>
    <row r="10" spans="1:22" ht="7.5" customHeight="1" x14ac:dyDescent="0.2">
      <c r="A10" s="9"/>
      <c r="B10" s="9"/>
      <c r="C10" s="19"/>
      <c r="D10" s="19"/>
      <c r="E10" s="19"/>
      <c r="F10" s="19"/>
      <c r="G10" s="9"/>
      <c r="H10" s="9"/>
      <c r="I10" s="9"/>
      <c r="J10" s="9"/>
      <c r="K10" s="9"/>
      <c r="L10" s="9"/>
      <c r="N10" s="13"/>
      <c r="O10" s="15"/>
      <c r="P10" s="15"/>
      <c r="Q10" s="15"/>
      <c r="R10" s="15"/>
      <c r="S10" s="15"/>
      <c r="T10" s="15"/>
      <c r="U10" s="15"/>
      <c r="V10" s="12"/>
    </row>
    <row r="11" spans="1:22" ht="14.25" customHeight="1" x14ac:dyDescent="0.2">
      <c r="A11" s="9"/>
      <c r="B11" s="411" t="str">
        <f>'Lookup data'!K28</f>
        <v>In 2016-17 there were 93,566 Band 1 examinations, 37,448 Band 2 examinations and 19,310 Band 3 Examinations in Wales.</v>
      </c>
      <c r="C11" s="411"/>
      <c r="D11" s="220"/>
      <c r="E11" s="220"/>
      <c r="F11" s="220"/>
      <c r="G11" s="402"/>
      <c r="H11" s="402"/>
      <c r="I11" s="402"/>
      <c r="J11" s="402"/>
      <c r="K11" s="9"/>
      <c r="L11" s="9"/>
      <c r="N11" s="14"/>
      <c r="O11" s="15"/>
      <c r="P11" s="15"/>
      <c r="Q11" s="15"/>
      <c r="R11" s="15"/>
      <c r="S11" s="15"/>
      <c r="T11" s="15"/>
      <c r="U11" s="15"/>
      <c r="V11" s="12"/>
    </row>
    <row r="12" spans="1:22" ht="15.75" customHeight="1" x14ac:dyDescent="0.2">
      <c r="A12" s="9"/>
      <c r="B12" s="411"/>
      <c r="C12" s="411"/>
      <c r="D12" s="220"/>
      <c r="E12" s="220"/>
      <c r="F12" s="220"/>
      <c r="G12" s="402"/>
      <c r="H12" s="402"/>
      <c r="I12" s="402"/>
      <c r="J12" s="402"/>
      <c r="K12" s="9"/>
      <c r="L12" s="9"/>
      <c r="N12" s="13"/>
      <c r="O12" s="15"/>
      <c r="P12" s="15"/>
      <c r="Q12" s="15"/>
      <c r="R12" s="15"/>
      <c r="S12" s="15"/>
      <c r="T12" s="15"/>
      <c r="U12" s="15"/>
      <c r="V12" s="12"/>
    </row>
    <row r="13" spans="1:22" ht="15" customHeight="1" x14ac:dyDescent="0.2">
      <c r="A13" s="9"/>
      <c r="B13" s="411"/>
      <c r="C13" s="411"/>
      <c r="D13" s="220"/>
      <c r="E13" s="220"/>
      <c r="F13" s="220"/>
      <c r="G13" s="402"/>
      <c r="H13" s="402"/>
      <c r="I13" s="402"/>
      <c r="J13" s="402"/>
      <c r="K13" s="9"/>
      <c r="L13" s="9"/>
      <c r="N13" s="16"/>
      <c r="O13" s="17"/>
      <c r="P13" s="17"/>
      <c r="Q13" s="17"/>
      <c r="R13" s="17"/>
      <c r="S13" s="17"/>
      <c r="T13" s="17"/>
      <c r="U13" s="17"/>
      <c r="V13" s="17"/>
    </row>
    <row r="14" spans="1:22" ht="15.75" customHeight="1" x14ac:dyDescent="0.2">
      <c r="A14" s="9"/>
      <c r="B14" s="411"/>
      <c r="C14" s="411"/>
      <c r="D14" s="220"/>
      <c r="E14" s="220"/>
      <c r="F14" s="220"/>
      <c r="G14" s="402"/>
      <c r="H14" s="402"/>
      <c r="I14" s="402"/>
      <c r="J14" s="402"/>
      <c r="K14" s="9"/>
      <c r="L14" s="9"/>
      <c r="N14" s="16"/>
      <c r="O14" s="17"/>
      <c r="P14" s="17"/>
      <c r="Q14" s="17"/>
      <c r="R14" s="17"/>
      <c r="S14" s="17"/>
      <c r="T14" s="17"/>
      <c r="U14" s="17"/>
      <c r="V14" s="17"/>
    </row>
    <row r="15" spans="1:22" ht="12.75" customHeight="1" x14ac:dyDescent="0.25">
      <c r="A15" s="9"/>
      <c r="B15" s="411"/>
      <c r="C15" s="411"/>
      <c r="D15" s="21"/>
      <c r="E15" s="21"/>
      <c r="F15" s="21"/>
      <c r="G15" s="402"/>
      <c r="H15" s="402"/>
      <c r="I15" s="402"/>
      <c r="J15" s="402"/>
      <c r="K15" s="9"/>
      <c r="L15" s="9"/>
      <c r="N15" s="16"/>
      <c r="O15" s="12"/>
      <c r="P15" s="12"/>
      <c r="Q15" s="12"/>
      <c r="R15" s="12"/>
      <c r="S15" s="12"/>
      <c r="T15" s="12"/>
      <c r="U15" s="12"/>
      <c r="V15" s="12"/>
    </row>
    <row r="16" spans="1:22" ht="11.25" customHeight="1" x14ac:dyDescent="0.2">
      <c r="A16" s="9"/>
      <c r="B16" s="411"/>
      <c r="C16" s="411"/>
      <c r="D16" s="9"/>
      <c r="E16" s="9"/>
      <c r="F16" s="9"/>
      <c r="G16" s="405"/>
      <c r="H16" s="405"/>
      <c r="I16" s="405"/>
      <c r="J16" s="405"/>
      <c r="K16" s="9"/>
      <c r="L16" s="9"/>
    </row>
    <row r="17" spans="1:19" ht="15" customHeight="1" x14ac:dyDescent="0.2">
      <c r="A17" s="9"/>
      <c r="B17" s="411" t="s">
        <v>427</v>
      </c>
      <c r="C17" s="411"/>
      <c r="D17" s="9"/>
      <c r="E17" s="9"/>
      <c r="F17" s="9"/>
      <c r="G17" s="405"/>
      <c r="H17" s="405"/>
      <c r="I17" s="405"/>
      <c r="J17" s="405"/>
      <c r="K17" s="9"/>
      <c r="L17" s="9"/>
    </row>
    <row r="18" spans="1:19" ht="17.25" customHeight="1" x14ac:dyDescent="0.25">
      <c r="A18" s="9"/>
      <c r="B18" s="411"/>
      <c r="C18" s="411"/>
      <c r="D18" s="9"/>
      <c r="E18" s="10"/>
      <c r="F18" s="9"/>
      <c r="G18" s="405"/>
      <c r="H18" s="405"/>
      <c r="I18" s="405"/>
      <c r="J18" s="405"/>
      <c r="K18" s="9"/>
      <c r="L18" s="9"/>
      <c r="S18" s="18"/>
    </row>
    <row r="19" spans="1:19" ht="15" customHeight="1" x14ac:dyDescent="0.2">
      <c r="A19" s="9"/>
      <c r="B19" s="411"/>
      <c r="C19" s="411"/>
      <c r="D19" s="9"/>
      <c r="E19" s="9"/>
      <c r="F19" s="9"/>
      <c r="G19" s="406"/>
      <c r="H19" s="406"/>
      <c r="I19" s="406"/>
      <c r="J19" s="406"/>
      <c r="K19" s="9"/>
      <c r="L19" s="9"/>
    </row>
    <row r="20" spans="1:19" ht="15.75" customHeight="1" x14ac:dyDescent="0.2">
      <c r="A20" s="9"/>
      <c r="B20" s="411"/>
      <c r="C20" s="411"/>
      <c r="D20" s="9"/>
      <c r="E20" s="9"/>
      <c r="F20" s="9"/>
      <c r="G20" s="406"/>
      <c r="H20" s="406"/>
      <c r="I20" s="406"/>
      <c r="J20" s="406"/>
      <c r="K20" s="9"/>
      <c r="L20" s="9"/>
    </row>
    <row r="21" spans="1:19" ht="21.75" customHeight="1" x14ac:dyDescent="0.35">
      <c r="A21" s="9"/>
      <c r="B21" s="412" t="str">
        <f>'Lookup data'!K30</f>
        <v>There were 21 examinations were age is unknown, these have been excluded from the chart.</v>
      </c>
      <c r="C21" s="412"/>
      <c r="D21" s="9"/>
      <c r="E21" s="9"/>
      <c r="F21" s="9"/>
      <c r="G21" s="407"/>
      <c r="H21" s="407"/>
      <c r="I21" s="407"/>
      <c r="J21" s="407"/>
      <c r="K21" s="9"/>
      <c r="L21" s="9"/>
    </row>
    <row r="22" spans="1:19" ht="16.5" customHeight="1" x14ac:dyDescent="0.25">
      <c r="B22" s="412"/>
      <c r="C22" s="412"/>
      <c r="G22" s="408"/>
      <c r="H22" s="408"/>
      <c r="I22" s="408"/>
      <c r="J22" s="408"/>
      <c r="K22" s="9"/>
      <c r="L22" s="9"/>
    </row>
    <row r="23" spans="1:19" ht="13.5" customHeight="1" x14ac:dyDescent="0.2">
      <c r="A23" s="220"/>
      <c r="B23" s="412"/>
      <c r="C23" s="412"/>
      <c r="G23" s="409"/>
      <c r="H23" s="409"/>
      <c r="I23" s="409"/>
      <c r="J23" s="409"/>
      <c r="K23" s="9"/>
      <c r="L23" s="9"/>
    </row>
    <row r="24" spans="1:19" ht="17.25" customHeight="1" x14ac:dyDescent="0.2">
      <c r="A24" s="220"/>
      <c r="B24" s="412"/>
      <c r="C24" s="412"/>
      <c r="G24" s="410" t="str">
        <f>'Button control data'!Q19</f>
        <v>NHS IN 2016/17 FINANCIAL YEAR</v>
      </c>
      <c r="H24" s="410"/>
      <c r="I24" s="410"/>
      <c r="J24" s="410"/>
      <c r="K24" s="9"/>
      <c r="L24" s="9"/>
    </row>
    <row r="25" spans="1:19" ht="18.75" customHeight="1" x14ac:dyDescent="0.25">
      <c r="A25" s="220"/>
      <c r="G25" s="9"/>
      <c r="H25" s="9"/>
      <c r="I25" s="9"/>
      <c r="J25" s="9"/>
      <c r="K25" s="9"/>
      <c r="L25" s="9"/>
    </row>
    <row r="26" spans="1:19" ht="39" customHeight="1" x14ac:dyDescent="0.25">
      <c r="A26" s="404" t="s">
        <v>68</v>
      </c>
      <c r="B26" s="404"/>
      <c r="C26" s="404"/>
      <c r="D26" s="404"/>
      <c r="E26" s="404"/>
      <c r="F26" s="404"/>
      <c r="G26" s="404"/>
      <c r="H26" s="404"/>
      <c r="I26" s="404"/>
      <c r="J26" s="9"/>
      <c r="K26" s="9"/>
      <c r="L26" s="9"/>
    </row>
    <row r="27" spans="1:19" ht="10.5" hidden="1" customHeight="1" x14ac:dyDescent="0.2">
      <c r="A27" s="19"/>
      <c r="B27" s="19"/>
      <c r="C27" s="19"/>
      <c r="D27" s="19"/>
      <c r="E27" s="19"/>
      <c r="F27" s="19"/>
      <c r="G27" s="9"/>
      <c r="H27" s="9"/>
      <c r="I27" s="9"/>
      <c r="J27" s="9"/>
      <c r="K27" s="9"/>
      <c r="L27" s="9"/>
      <c r="M27" s="9"/>
    </row>
    <row r="28" spans="1:19" hidden="1" x14ac:dyDescent="0.2"/>
    <row r="29" spans="1:19" hidden="1" x14ac:dyDescent="0.2">
      <c r="D29" s="2"/>
      <c r="E29" s="1"/>
      <c r="F29" s="1"/>
      <c r="G29" s="1"/>
      <c r="H29" s="1"/>
    </row>
    <row r="30" spans="1:19" hidden="1" x14ac:dyDescent="0.2">
      <c r="D30" s="1"/>
      <c r="E30" s="3"/>
      <c r="F30" s="3"/>
      <c r="G30" s="3"/>
      <c r="H30" s="3"/>
    </row>
    <row r="31" spans="1:19" hidden="1" x14ac:dyDescent="0.2">
      <c r="D31" s="1"/>
      <c r="E31" s="3"/>
      <c r="F31" s="3"/>
      <c r="G31" s="3"/>
      <c r="H31" s="3"/>
    </row>
    <row r="32" spans="1:19" hidden="1" x14ac:dyDescent="0.2">
      <c r="D32" s="1"/>
      <c r="E32" s="3"/>
      <c r="F32" s="3"/>
      <c r="G32" s="3"/>
      <c r="H32" s="3"/>
    </row>
  </sheetData>
  <sheetProtection password="E69E" sheet="1" objects="1" scenarios="1"/>
  <mergeCells count="16">
    <mergeCell ref="A26:I26"/>
    <mergeCell ref="G16:J18"/>
    <mergeCell ref="G19:J20"/>
    <mergeCell ref="G21:J21"/>
    <mergeCell ref="G22:J22"/>
    <mergeCell ref="G23:J23"/>
    <mergeCell ref="G24:J24"/>
    <mergeCell ref="B17:C20"/>
    <mergeCell ref="B11:C16"/>
    <mergeCell ref="B21:C24"/>
    <mergeCell ref="A8:K8"/>
    <mergeCell ref="N3:V4"/>
    <mergeCell ref="N5:T5"/>
    <mergeCell ref="G11:J15"/>
    <mergeCell ref="A9:XFD9"/>
    <mergeCell ref="A4:K7"/>
  </mergeCells>
  <hyperlinks>
    <hyperlink ref="A9:H9" location="'Select Health Board'!A1" display="'Select Health Board'!A1"/>
  </hyperlinks>
  <pageMargins left="0.7" right="0.7" top="0.75" bottom="0.75" header="0.3" footer="0.3"/>
  <pageSetup paperSize="9"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EBCD"/>
    <pageSetUpPr fitToPage="1"/>
  </sheetPr>
  <dimension ref="A1:V32"/>
  <sheetViews>
    <sheetView showRowColHeaders="0" zoomScaleNormal="100" zoomScaleSheetLayoutView="120" workbookViewId="0"/>
  </sheetViews>
  <sheetFormatPr defaultColWidth="0" defaultRowHeight="15" customHeight="1" zeroHeight="1" x14ac:dyDescent="0.2"/>
  <cols>
    <col min="1" max="1" width="2.21875" style="8" customWidth="1"/>
    <col min="2" max="2" width="8.77734375" style="8" customWidth="1"/>
    <col min="3" max="5" width="8.88671875" style="8" customWidth="1"/>
    <col min="6" max="6" width="9.44140625" style="8" customWidth="1"/>
    <col min="7" max="9" width="8.88671875" style="8" customWidth="1"/>
    <col min="10" max="10" width="7.33203125" style="8" customWidth="1"/>
    <col min="11" max="11" width="0.664062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 customHeight="1" x14ac:dyDescent="0.2">
      <c r="A4" s="414" t="s">
        <v>664</v>
      </c>
      <c r="B4" s="414"/>
      <c r="C4" s="414"/>
      <c r="D4" s="414"/>
      <c r="E4" s="414"/>
      <c r="F4" s="414"/>
      <c r="G4" s="414"/>
      <c r="H4" s="414"/>
      <c r="I4" s="414"/>
      <c r="J4" s="414"/>
      <c r="K4" s="414"/>
      <c r="L4" s="9"/>
      <c r="N4" s="377"/>
      <c r="O4" s="377"/>
      <c r="P4" s="377"/>
      <c r="Q4" s="377"/>
      <c r="R4" s="377"/>
      <c r="S4" s="377"/>
      <c r="T4" s="377"/>
      <c r="U4" s="377"/>
      <c r="V4" s="377"/>
    </row>
    <row r="5" spans="1:22" ht="15" customHeight="1" x14ac:dyDescent="0.2">
      <c r="A5" s="414"/>
      <c r="B5" s="414"/>
      <c r="C5" s="414"/>
      <c r="D5" s="414"/>
      <c r="E5" s="414"/>
      <c r="F5" s="414"/>
      <c r="G5" s="414"/>
      <c r="H5" s="414"/>
      <c r="I5" s="414"/>
      <c r="J5" s="414"/>
      <c r="K5" s="414"/>
      <c r="L5" s="9"/>
      <c r="N5" s="378"/>
      <c r="O5" s="378"/>
      <c r="P5" s="378"/>
      <c r="Q5" s="378"/>
      <c r="R5" s="378"/>
      <c r="S5" s="378"/>
      <c r="T5" s="378"/>
      <c r="U5" s="12"/>
      <c r="V5" s="12"/>
    </row>
    <row r="6" spans="1:22" ht="15.75" customHeight="1" x14ac:dyDescent="0.2">
      <c r="A6" s="415" t="s">
        <v>665</v>
      </c>
      <c r="B6" s="415"/>
      <c r="C6" s="415"/>
      <c r="D6" s="415"/>
      <c r="E6" s="415"/>
      <c r="F6" s="415"/>
      <c r="G6" s="415"/>
      <c r="H6" s="415"/>
      <c r="I6" s="415"/>
      <c r="J6" s="415"/>
      <c r="K6" s="415"/>
      <c r="L6" s="9"/>
      <c r="N6" s="13"/>
      <c r="O6" s="12"/>
      <c r="P6" s="12"/>
      <c r="Q6" s="12"/>
      <c r="R6" s="12"/>
      <c r="S6" s="12"/>
      <c r="T6" s="12"/>
      <c r="U6" s="12"/>
      <c r="V6" s="12"/>
    </row>
    <row r="7" spans="1:22" ht="26.25" customHeight="1" x14ac:dyDescent="0.2">
      <c r="A7" s="415"/>
      <c r="B7" s="415"/>
      <c r="C7" s="415"/>
      <c r="D7" s="415"/>
      <c r="E7" s="415"/>
      <c r="F7" s="415"/>
      <c r="G7" s="415"/>
      <c r="H7" s="415"/>
      <c r="I7" s="415"/>
      <c r="J7" s="415"/>
      <c r="K7" s="415"/>
      <c r="L7" s="9"/>
      <c r="N7" s="14"/>
      <c r="O7" s="12"/>
      <c r="P7" s="12"/>
      <c r="Q7" s="12"/>
      <c r="R7" s="12"/>
      <c r="S7" s="12"/>
      <c r="T7" s="12"/>
      <c r="U7" s="12"/>
      <c r="V7" s="12"/>
    </row>
    <row r="8" spans="1:22" ht="16.5" customHeight="1" x14ac:dyDescent="0.25">
      <c r="A8" s="400" t="str">
        <f>"Showing data for: "&amp;VLOOKUP('Lookup data'!A110,'Lookup data'!B110:C117,2,FALSE)</f>
        <v>Showing data for: Wales</v>
      </c>
      <c r="B8" s="400"/>
      <c r="C8" s="400"/>
      <c r="D8" s="400"/>
      <c r="E8" s="400"/>
      <c r="F8" s="400"/>
      <c r="G8" s="400"/>
      <c r="H8" s="400"/>
      <c r="I8" s="400"/>
      <c r="J8" s="400"/>
      <c r="K8" s="400"/>
      <c r="L8" s="9"/>
      <c r="N8" s="14"/>
      <c r="O8" s="12"/>
      <c r="P8" s="12"/>
      <c r="Q8" s="12"/>
      <c r="R8" s="12"/>
      <c r="S8" s="12"/>
      <c r="T8" s="12"/>
      <c r="U8" s="12"/>
      <c r="V8" s="12"/>
    </row>
    <row r="9" spans="1:22" ht="19.5"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413"/>
      <c r="L9" s="9"/>
      <c r="N9" s="14"/>
      <c r="O9" s="12"/>
      <c r="P9" s="12"/>
      <c r="Q9" s="12"/>
      <c r="R9" s="12"/>
      <c r="S9" s="12"/>
      <c r="T9" s="12"/>
      <c r="U9" s="12"/>
      <c r="V9" s="12"/>
    </row>
    <row r="10" spans="1:22" ht="7.5" customHeight="1" x14ac:dyDescent="0.2">
      <c r="A10" s="9"/>
      <c r="B10" s="9"/>
      <c r="C10" s="19"/>
      <c r="D10" s="19"/>
      <c r="E10" s="19"/>
      <c r="F10" s="19"/>
      <c r="G10" s="9"/>
      <c r="H10" s="9"/>
      <c r="I10" s="9"/>
      <c r="J10" s="9"/>
      <c r="K10" s="9"/>
      <c r="L10" s="9"/>
      <c r="N10" s="13"/>
      <c r="O10" s="15"/>
      <c r="P10" s="15"/>
      <c r="Q10" s="15"/>
      <c r="R10" s="15"/>
      <c r="S10" s="15"/>
      <c r="T10" s="15"/>
      <c r="U10" s="15"/>
      <c r="V10" s="12"/>
    </row>
    <row r="11" spans="1:22" ht="14.25" customHeight="1" x14ac:dyDescent="0.2">
      <c r="A11" s="9"/>
      <c r="B11" s="9"/>
      <c r="C11" s="9"/>
      <c r="D11" s="9"/>
      <c r="E11" s="9"/>
      <c r="F11" s="9"/>
      <c r="G11" s="392">
        <f>'Button control data'!K30</f>
        <v>93.419479162566006</v>
      </c>
      <c r="H11" s="392"/>
      <c r="I11" s="392"/>
      <c r="J11" s="392"/>
      <c r="K11" s="9"/>
      <c r="L11" s="9"/>
      <c r="N11" s="14"/>
      <c r="O11" s="15"/>
      <c r="P11" s="15"/>
      <c r="Q11" s="15"/>
      <c r="R11" s="15"/>
      <c r="S11" s="15"/>
      <c r="T11" s="15"/>
      <c r="U11" s="15"/>
      <c r="V11" s="12"/>
    </row>
    <row r="12" spans="1:22" ht="15.75" customHeight="1" x14ac:dyDescent="0.25">
      <c r="A12" s="9"/>
      <c r="B12" s="9"/>
      <c r="C12" s="20"/>
      <c r="D12" s="20"/>
      <c r="E12" s="20"/>
      <c r="F12" s="20"/>
      <c r="G12" s="392"/>
      <c r="H12" s="392"/>
      <c r="I12" s="392"/>
      <c r="J12" s="392"/>
      <c r="K12" s="9"/>
      <c r="L12" s="9"/>
      <c r="N12" s="13"/>
      <c r="O12" s="15"/>
      <c r="P12" s="15"/>
      <c r="Q12" s="15"/>
      <c r="R12" s="15"/>
      <c r="S12" s="15"/>
      <c r="T12" s="15"/>
      <c r="U12" s="15"/>
      <c r="V12" s="12"/>
    </row>
    <row r="13" spans="1:22" ht="15" customHeight="1" x14ac:dyDescent="0.2">
      <c r="A13" s="9"/>
      <c r="B13" s="9"/>
      <c r="C13" s="9"/>
      <c r="D13" s="9"/>
      <c r="E13" s="9"/>
      <c r="F13" s="9"/>
      <c r="G13" s="392"/>
      <c r="H13" s="392"/>
      <c r="I13" s="392"/>
      <c r="J13" s="392"/>
      <c r="K13" s="9"/>
      <c r="L13" s="9"/>
      <c r="N13" s="16"/>
      <c r="O13" s="17"/>
      <c r="P13" s="17"/>
      <c r="Q13" s="17"/>
      <c r="R13" s="17"/>
      <c r="S13" s="17"/>
      <c r="T13" s="17"/>
      <c r="U13" s="17"/>
      <c r="V13" s="17"/>
    </row>
    <row r="14" spans="1:22" ht="15.75" customHeight="1" x14ac:dyDescent="0.25">
      <c r="A14" s="9"/>
      <c r="B14" s="9"/>
      <c r="C14" s="21"/>
      <c r="D14" s="21"/>
      <c r="E14" s="21"/>
      <c r="F14" s="21"/>
      <c r="G14" s="392"/>
      <c r="H14" s="392"/>
      <c r="I14" s="392"/>
      <c r="J14" s="392"/>
      <c r="K14" s="9"/>
      <c r="L14" s="9"/>
      <c r="N14" s="16"/>
      <c r="O14" s="17"/>
      <c r="P14" s="17"/>
      <c r="Q14" s="17"/>
      <c r="R14" s="17"/>
      <c r="S14" s="17"/>
      <c r="T14" s="17"/>
      <c r="U14" s="17"/>
      <c r="V14" s="17"/>
    </row>
    <row r="15" spans="1:22" ht="12.75" customHeight="1" x14ac:dyDescent="0.25">
      <c r="A15" s="9"/>
      <c r="B15" s="9"/>
      <c r="C15" s="21"/>
      <c r="D15" s="21"/>
      <c r="E15" s="21"/>
      <c r="F15" s="21"/>
      <c r="G15" s="392"/>
      <c r="H15" s="392"/>
      <c r="I15" s="392"/>
      <c r="J15" s="392"/>
      <c r="K15" s="9"/>
      <c r="L15" s="9"/>
      <c r="N15" s="16"/>
      <c r="O15" s="12"/>
      <c r="P15" s="12"/>
      <c r="Q15" s="12"/>
      <c r="R15" s="12"/>
      <c r="S15" s="12"/>
      <c r="T15" s="12"/>
      <c r="U15" s="12"/>
      <c r="V15" s="12"/>
    </row>
    <row r="16" spans="1:22" ht="15" customHeight="1" x14ac:dyDescent="0.2">
      <c r="A16" s="9"/>
      <c r="B16" s="9"/>
      <c r="C16" s="9"/>
      <c r="D16" s="9"/>
      <c r="E16" s="9"/>
      <c r="F16" s="9"/>
      <c r="G16" s="393" t="str">
        <f>'Button control data'!L30</f>
        <v>OUT OF</v>
      </c>
      <c r="H16" s="393"/>
      <c r="I16" s="393"/>
      <c r="J16" s="393"/>
      <c r="K16" s="9"/>
      <c r="L16" s="9"/>
    </row>
    <row r="17" spans="1:19" ht="15" customHeight="1" x14ac:dyDescent="0.2">
      <c r="A17" s="9"/>
      <c r="B17" s="9"/>
      <c r="C17" s="9"/>
      <c r="D17" s="9"/>
      <c r="E17" s="9"/>
      <c r="F17" s="9"/>
      <c r="G17" s="393"/>
      <c r="H17" s="393"/>
      <c r="I17" s="393"/>
      <c r="J17" s="393"/>
      <c r="K17" s="9"/>
      <c r="L17" s="9"/>
    </row>
    <row r="18" spans="1:19" ht="17.25" customHeight="1" x14ac:dyDescent="0.25">
      <c r="A18" s="9"/>
      <c r="B18" s="9"/>
      <c r="C18" s="9"/>
      <c r="D18" s="9"/>
      <c r="E18" s="10"/>
      <c r="F18" s="9"/>
      <c r="G18" s="393"/>
      <c r="H18" s="393"/>
      <c r="I18" s="393"/>
      <c r="J18" s="393"/>
      <c r="K18" s="9"/>
      <c r="L18" s="9"/>
      <c r="S18" s="18"/>
    </row>
    <row r="19" spans="1:19" ht="15" customHeight="1" x14ac:dyDescent="0.2">
      <c r="A19" s="9"/>
      <c r="B19" s="9"/>
      <c r="C19" s="9"/>
      <c r="D19" s="9"/>
      <c r="E19" s="9"/>
      <c r="F19" s="9"/>
      <c r="G19" s="394" t="str">
        <f>'Button control data'!M30</f>
        <v>1,000 WELSH</v>
      </c>
      <c r="H19" s="394"/>
      <c r="I19" s="394"/>
      <c r="J19" s="394"/>
      <c r="K19" s="9"/>
      <c r="L19" s="9"/>
    </row>
    <row r="20" spans="1:19" ht="15.75" customHeight="1" x14ac:dyDescent="0.2">
      <c r="A20" s="9"/>
      <c r="B20" s="9"/>
      <c r="C20" s="9"/>
      <c r="D20" s="9"/>
      <c r="E20" s="9"/>
      <c r="F20" s="9"/>
      <c r="G20" s="394"/>
      <c r="H20" s="394"/>
      <c r="I20" s="394"/>
      <c r="J20" s="394"/>
      <c r="K20" s="9"/>
      <c r="L20" s="9"/>
    </row>
    <row r="21" spans="1:19" ht="21.75" customHeight="1" x14ac:dyDescent="0.2">
      <c r="A21" s="9"/>
      <c r="B21" s="9"/>
      <c r="C21" s="9"/>
      <c r="D21" s="9"/>
      <c r="E21" s="9"/>
      <c r="F21" s="9"/>
      <c r="G21" s="395" t="str">
        <f>'Button control data'!N30</f>
        <v>R E S I D E N T S</v>
      </c>
      <c r="H21" s="395"/>
      <c r="I21" s="395"/>
      <c r="J21" s="395"/>
      <c r="K21" s="9"/>
      <c r="L21" s="9"/>
    </row>
    <row r="22" spans="1:19" ht="16.5" customHeight="1" x14ac:dyDescent="0.2">
      <c r="B22" s="417" t="str">
        <f>'Button control data'!J30</f>
        <v>Chart 4a shows that the number of vouchers reimbursed per 1,000 Welsh residents (all ages) decreased between the 2015-16 and 2016-17 financial years.</v>
      </c>
      <c r="C22" s="417"/>
      <c r="D22" s="417"/>
      <c r="E22" s="417"/>
      <c r="F22" s="417"/>
      <c r="G22" s="396" t="str">
        <f>'Button control data'!O30</f>
        <v xml:space="preserve"> HAD VOUCHERS</v>
      </c>
      <c r="H22" s="396"/>
      <c r="I22" s="396"/>
      <c r="J22" s="396"/>
      <c r="K22" s="9"/>
      <c r="L22" s="9"/>
    </row>
    <row r="23" spans="1:19" ht="13.5" customHeight="1" x14ac:dyDescent="0.2">
      <c r="A23" s="220"/>
      <c r="B23" s="417"/>
      <c r="C23" s="417"/>
      <c r="D23" s="417"/>
      <c r="E23" s="417"/>
      <c r="F23" s="417"/>
      <c r="G23" s="397" t="str">
        <f>'Button control data'!P30</f>
        <v>R E I M B U R S E D</v>
      </c>
      <c r="H23" s="397"/>
      <c r="I23" s="397"/>
      <c r="J23" s="397"/>
      <c r="K23" s="9"/>
      <c r="L23" s="9"/>
    </row>
    <row r="24" spans="1:19" ht="13.5" customHeight="1" x14ac:dyDescent="0.2">
      <c r="A24" s="220"/>
      <c r="B24" s="417"/>
      <c r="C24" s="417"/>
      <c r="D24" s="417"/>
      <c r="E24" s="417"/>
      <c r="F24" s="417"/>
      <c r="G24" s="398" t="str">
        <f>'Button control data'!Q30</f>
        <v>IN 2016/17 FINANCIAL YEAR</v>
      </c>
      <c r="H24" s="398"/>
      <c r="I24" s="398"/>
      <c r="J24" s="398"/>
      <c r="K24" s="9"/>
      <c r="L24" s="9"/>
    </row>
    <row r="25" spans="1:19" ht="18.75" customHeight="1" x14ac:dyDescent="0.2">
      <c r="A25" s="220"/>
      <c r="B25" s="417"/>
      <c r="C25" s="417"/>
      <c r="D25" s="417"/>
      <c r="E25" s="417"/>
      <c r="F25" s="417"/>
      <c r="G25" s="9"/>
      <c r="H25" s="9"/>
      <c r="I25" s="9"/>
      <c r="J25" s="9"/>
      <c r="K25" s="9"/>
      <c r="L25" s="9"/>
    </row>
    <row r="26" spans="1:19" ht="39" customHeight="1" x14ac:dyDescent="0.25">
      <c r="A26" s="416" t="str">
        <f>'Button control data'!R30</f>
        <v/>
      </c>
      <c r="B26" s="416"/>
      <c r="C26" s="416"/>
      <c r="D26" s="416"/>
      <c r="E26" s="416"/>
      <c r="F26" s="416"/>
      <c r="G26" s="416"/>
      <c r="H26" s="416"/>
      <c r="I26" s="416"/>
      <c r="J26" s="9"/>
      <c r="K26" s="9"/>
      <c r="L26" s="9"/>
    </row>
    <row r="27" spans="1:19" ht="10.5" hidden="1" customHeight="1" x14ac:dyDescent="0.2">
      <c r="A27" s="19"/>
      <c r="B27" s="19"/>
      <c r="C27" s="19"/>
      <c r="D27" s="19"/>
      <c r="E27" s="19"/>
      <c r="F27" s="19"/>
      <c r="G27" s="9"/>
      <c r="H27" s="9"/>
      <c r="I27" s="9"/>
      <c r="J27" s="9"/>
      <c r="K27" s="9"/>
      <c r="L27" s="9"/>
      <c r="M27" s="9"/>
    </row>
    <row r="28" spans="1:19" hidden="1" x14ac:dyDescent="0.2"/>
    <row r="29" spans="1:19" hidden="1" x14ac:dyDescent="0.2">
      <c r="D29" s="2"/>
      <c r="E29" s="1"/>
      <c r="F29" s="1"/>
      <c r="G29" s="1"/>
      <c r="H29" s="1"/>
    </row>
    <row r="30" spans="1:19" hidden="1" x14ac:dyDescent="0.2">
      <c r="D30" s="1"/>
      <c r="E30" s="3"/>
      <c r="F30" s="3"/>
      <c r="G30" s="3"/>
      <c r="H30" s="3"/>
    </row>
    <row r="31" spans="1:19" hidden="1" x14ac:dyDescent="0.2">
      <c r="D31" s="1"/>
      <c r="E31" s="3"/>
      <c r="F31" s="3"/>
      <c r="G31" s="3"/>
      <c r="H31" s="3"/>
    </row>
    <row r="32" spans="1:19" hidden="1" x14ac:dyDescent="0.2">
      <c r="D32" s="1"/>
      <c r="E32" s="3"/>
      <c r="F32" s="3"/>
      <c r="G32" s="3"/>
      <c r="H32" s="3"/>
    </row>
  </sheetData>
  <sheetProtection password="E69E" sheet="1" objects="1" scenarios="1"/>
  <mergeCells count="15">
    <mergeCell ref="A26:I26"/>
    <mergeCell ref="G16:J18"/>
    <mergeCell ref="G19:J20"/>
    <mergeCell ref="G21:J21"/>
    <mergeCell ref="B22:F25"/>
    <mergeCell ref="G22:J22"/>
    <mergeCell ref="G23:J23"/>
    <mergeCell ref="G24:J24"/>
    <mergeCell ref="G11:J15"/>
    <mergeCell ref="N3:V4"/>
    <mergeCell ref="N5:T5"/>
    <mergeCell ref="A8:K8"/>
    <mergeCell ref="A9:K9"/>
    <mergeCell ref="A4:K5"/>
    <mergeCell ref="A6:K7"/>
  </mergeCells>
  <hyperlinks>
    <hyperlink ref="A9:I9" location="'Select Health Board'!A1" display="Click here to select a different health board"/>
  </hyperlinks>
  <pageMargins left="0.7" right="0.7" top="0.75" bottom="0.75" header="0.3" footer="0.3"/>
  <pageSetup paperSize="9"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Drop Down 1">
              <controlPr locked="0" defaultSize="0" autoLine="0" autoPict="0">
                <anchor moveWithCells="1">
                  <from>
                    <xdr:col>0</xdr:col>
                    <xdr:colOff>66675</xdr:colOff>
                    <xdr:row>10</xdr:row>
                    <xdr:rowOff>57150</xdr:rowOff>
                  </from>
                  <to>
                    <xdr:col>6</xdr:col>
                    <xdr:colOff>104775</xdr:colOff>
                    <xdr:row>11</xdr:row>
                    <xdr:rowOff>76200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EFFCD"/>
    <pageSetUpPr fitToPage="1"/>
  </sheetPr>
  <dimension ref="A1:V28"/>
  <sheetViews>
    <sheetView showRowColHeaders="0" zoomScaleNormal="100" zoomScaleSheetLayoutView="110" workbookViewId="0"/>
  </sheetViews>
  <sheetFormatPr defaultColWidth="0" defaultRowHeight="15" zeroHeight="1" x14ac:dyDescent="0.2"/>
  <cols>
    <col min="1" max="1" width="1.88671875" style="8" customWidth="1"/>
    <col min="2" max="9" width="8.88671875" style="8" customWidth="1"/>
    <col min="10" max="10" width="7.109375" style="8" customWidth="1"/>
    <col min="11" max="11" width="1.7773437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256"/>
      <c r="O3" s="256"/>
      <c r="P3" s="256"/>
      <c r="Q3" s="256"/>
      <c r="R3" s="256"/>
      <c r="S3" s="256"/>
      <c r="T3" s="256"/>
      <c r="U3" s="256"/>
      <c r="V3" s="256"/>
    </row>
    <row r="4" spans="1:22" ht="15" customHeight="1" x14ac:dyDescent="0.2">
      <c r="A4" s="389" t="s">
        <v>20</v>
      </c>
      <c r="B4" s="389"/>
      <c r="C4" s="389"/>
      <c r="D4" s="389"/>
      <c r="E4" s="389"/>
      <c r="F4" s="389"/>
      <c r="G4" s="389"/>
      <c r="H4" s="389"/>
      <c r="I4" s="389"/>
      <c r="J4" s="389"/>
      <c r="K4" s="389"/>
      <c r="L4" s="9"/>
      <c r="N4" s="256"/>
      <c r="O4" s="256"/>
      <c r="P4" s="256"/>
      <c r="Q4" s="256"/>
      <c r="R4" s="256"/>
      <c r="S4" s="256"/>
      <c r="T4" s="256"/>
      <c r="U4" s="256"/>
      <c r="V4" s="256"/>
    </row>
    <row r="5" spans="1:22" ht="15" customHeight="1" x14ac:dyDescent="0.2">
      <c r="A5" s="389"/>
      <c r="B5" s="389"/>
      <c r="C5" s="389"/>
      <c r="D5" s="389"/>
      <c r="E5" s="389"/>
      <c r="F5" s="389"/>
      <c r="G5" s="389"/>
      <c r="H5" s="389"/>
      <c r="I5" s="389"/>
      <c r="J5" s="389"/>
      <c r="K5" s="389"/>
      <c r="L5" s="9"/>
      <c r="N5" s="78"/>
      <c r="O5" s="78"/>
      <c r="P5" s="78"/>
      <c r="Q5" s="78"/>
      <c r="R5" s="78"/>
      <c r="S5" s="78"/>
      <c r="T5" s="78"/>
      <c r="U5" s="12"/>
      <c r="V5" s="12"/>
    </row>
    <row r="6" spans="1:22" ht="15.75" customHeight="1" x14ac:dyDescent="0.2">
      <c r="A6" s="389"/>
      <c r="B6" s="389"/>
      <c r="C6" s="389"/>
      <c r="D6" s="389"/>
      <c r="E6" s="389"/>
      <c r="F6" s="389"/>
      <c r="G6" s="389"/>
      <c r="H6" s="389"/>
      <c r="I6" s="389"/>
      <c r="J6" s="389"/>
      <c r="K6" s="389"/>
      <c r="L6" s="9"/>
      <c r="N6" s="13"/>
      <c r="O6" s="12"/>
      <c r="P6" s="12"/>
      <c r="Q6" s="12"/>
      <c r="R6" s="12"/>
      <c r="S6" s="12"/>
      <c r="T6" s="12"/>
      <c r="U6" s="12"/>
      <c r="V6" s="12"/>
    </row>
    <row r="7" spans="1:22" ht="15" customHeight="1" x14ac:dyDescent="0.2">
      <c r="A7" s="389"/>
      <c r="B7" s="389"/>
      <c r="C7" s="389"/>
      <c r="D7" s="389"/>
      <c r="E7" s="389"/>
      <c r="F7" s="389"/>
      <c r="G7" s="389"/>
      <c r="H7" s="389"/>
      <c r="I7" s="389"/>
      <c r="J7" s="389"/>
      <c r="K7" s="389"/>
      <c r="L7" s="9"/>
      <c r="N7" s="14"/>
      <c r="O7" s="12"/>
      <c r="P7" s="12"/>
      <c r="Q7" s="12"/>
      <c r="R7" s="12"/>
      <c r="S7" s="12"/>
      <c r="T7" s="12"/>
      <c r="U7" s="12"/>
      <c r="V7" s="12"/>
    </row>
    <row r="8" spans="1:22" ht="15" customHeight="1" x14ac:dyDescent="0.25">
      <c r="A8" s="400" t="str">
        <f>"Showing data for: "&amp;VLOOKUP('Lookup data'!A110,'Lookup data'!B110:C117,2,FALSE)</f>
        <v>Showing data for: Wales</v>
      </c>
      <c r="B8" s="400"/>
      <c r="C8" s="400"/>
      <c r="D8" s="400"/>
      <c r="E8" s="400"/>
      <c r="F8" s="400"/>
      <c r="G8" s="400"/>
      <c r="H8" s="400"/>
      <c r="I8" s="400"/>
      <c r="J8" s="400"/>
      <c r="K8" s="400"/>
      <c r="L8" s="9"/>
      <c r="N8" s="14"/>
      <c r="O8" s="12"/>
      <c r="P8" s="12"/>
      <c r="Q8" s="12"/>
      <c r="R8" s="12"/>
      <c r="S8" s="12"/>
      <c r="T8" s="12"/>
      <c r="U8" s="12"/>
      <c r="V8" s="12"/>
    </row>
    <row r="9" spans="1:22" ht="15"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413"/>
      <c r="L9" s="9"/>
      <c r="N9" s="14"/>
      <c r="O9" s="12"/>
      <c r="P9" s="12"/>
      <c r="Q9" s="12"/>
      <c r="R9" s="12"/>
      <c r="S9" s="12"/>
      <c r="T9" s="12"/>
      <c r="U9" s="12"/>
      <c r="V9" s="12"/>
    </row>
    <row r="10" spans="1:22" ht="15" customHeight="1" x14ac:dyDescent="0.2">
      <c r="A10" s="9"/>
      <c r="B10" s="9"/>
      <c r="C10" s="19"/>
      <c r="D10" s="54"/>
      <c r="E10" s="54"/>
      <c r="F10" s="54"/>
      <c r="G10" s="54"/>
      <c r="H10" s="54"/>
      <c r="I10" s="9"/>
      <c r="J10" s="9"/>
      <c r="K10" s="9"/>
      <c r="L10" s="9"/>
      <c r="N10" s="14"/>
      <c r="O10" s="12"/>
      <c r="P10" s="12"/>
      <c r="Q10" s="12"/>
      <c r="R10" s="12"/>
      <c r="S10" s="12"/>
      <c r="T10" s="12"/>
      <c r="U10" s="12"/>
      <c r="V10" s="12"/>
    </row>
    <row r="11" spans="1:22" ht="15" customHeight="1" x14ac:dyDescent="0.2">
      <c r="A11" s="9"/>
      <c r="B11" s="9"/>
      <c r="C11" s="19"/>
      <c r="D11" s="19"/>
      <c r="E11" s="19"/>
      <c r="F11" s="19"/>
      <c r="G11" s="9"/>
      <c r="H11" s="9"/>
      <c r="I11" s="9"/>
      <c r="J11" s="9"/>
      <c r="K11" s="9"/>
      <c r="L11" s="9"/>
      <c r="N11" s="13"/>
      <c r="O11" s="15"/>
      <c r="P11" s="15"/>
      <c r="Q11" s="15"/>
      <c r="R11" s="15"/>
      <c r="S11" s="15"/>
      <c r="T11" s="15"/>
      <c r="U11" s="15"/>
      <c r="V11" s="12"/>
    </row>
    <row r="12" spans="1:22" x14ac:dyDescent="0.2">
      <c r="A12" s="9"/>
      <c r="B12" s="9"/>
      <c r="C12" s="9"/>
      <c r="D12" s="9"/>
      <c r="E12" s="9"/>
      <c r="F12" s="9"/>
      <c r="G12" s="9"/>
      <c r="H12" s="9"/>
      <c r="I12" s="9"/>
      <c r="J12" s="9"/>
      <c r="K12" s="9"/>
      <c r="L12" s="9"/>
      <c r="N12" s="14"/>
      <c r="O12" s="15"/>
      <c r="P12" s="15"/>
      <c r="Q12" s="15"/>
      <c r="R12" s="15"/>
      <c r="S12" s="15"/>
      <c r="T12" s="15"/>
      <c r="U12" s="15"/>
      <c r="V12" s="12"/>
    </row>
    <row r="13" spans="1:22" ht="15.75" x14ac:dyDescent="0.25">
      <c r="A13" s="9"/>
      <c r="B13" s="9"/>
      <c r="C13" s="20"/>
      <c r="D13" s="20"/>
      <c r="E13" s="20"/>
      <c r="F13" s="20"/>
      <c r="G13" s="9"/>
      <c r="H13" s="9"/>
      <c r="I13" s="9"/>
      <c r="J13" s="9"/>
      <c r="K13" s="9"/>
      <c r="L13" s="9"/>
      <c r="N13" s="13"/>
      <c r="O13" s="15"/>
      <c r="P13" s="15"/>
      <c r="Q13" s="15"/>
      <c r="R13" s="15"/>
      <c r="S13" s="15"/>
      <c r="T13" s="15"/>
      <c r="U13" s="15"/>
      <c r="V13" s="12"/>
    </row>
    <row r="14" spans="1:22" x14ac:dyDescent="0.2">
      <c r="A14" s="9"/>
      <c r="B14" s="9"/>
      <c r="C14" s="9"/>
      <c r="D14" s="9"/>
      <c r="E14" s="9"/>
      <c r="F14" s="9"/>
      <c r="G14" s="9"/>
      <c r="H14" s="9"/>
      <c r="I14" s="9"/>
      <c r="J14" s="9"/>
      <c r="K14" s="9"/>
      <c r="L14" s="9"/>
      <c r="N14" s="16"/>
      <c r="O14" s="17"/>
      <c r="P14" s="17"/>
      <c r="Q14" s="17"/>
      <c r="R14" s="17"/>
      <c r="S14" s="17"/>
      <c r="T14" s="17"/>
      <c r="U14" s="17"/>
      <c r="V14" s="17"/>
    </row>
    <row r="15" spans="1:22" ht="15.75" customHeight="1" x14ac:dyDescent="0.25">
      <c r="A15" s="9"/>
      <c r="B15" s="9"/>
      <c r="C15" s="21"/>
      <c r="D15" s="21"/>
      <c r="E15" s="21"/>
      <c r="F15" s="21"/>
      <c r="G15" s="9"/>
      <c r="H15" s="9"/>
      <c r="I15" s="9"/>
      <c r="J15" s="9"/>
      <c r="K15" s="9"/>
      <c r="L15" s="9"/>
      <c r="N15" s="16"/>
      <c r="O15" s="17"/>
      <c r="P15" s="17"/>
      <c r="Q15" s="17"/>
      <c r="R15" s="17"/>
      <c r="S15" s="17"/>
      <c r="T15" s="17"/>
      <c r="U15" s="17"/>
      <c r="V15" s="17"/>
    </row>
    <row r="16" spans="1:22" ht="15" customHeight="1" x14ac:dyDescent="0.25">
      <c r="A16" s="9"/>
      <c r="B16" s="9"/>
      <c r="C16" s="21"/>
      <c r="D16" s="21"/>
      <c r="E16" s="21"/>
      <c r="F16" s="21"/>
      <c r="G16" s="9"/>
      <c r="H16" s="9"/>
      <c r="I16" s="9"/>
      <c r="J16" s="9"/>
      <c r="K16" s="9"/>
      <c r="L16" s="9"/>
      <c r="N16" s="16"/>
      <c r="O16" s="12"/>
      <c r="P16" s="12"/>
      <c r="Q16" s="12"/>
      <c r="R16" s="12"/>
      <c r="S16" s="12"/>
      <c r="T16" s="12"/>
      <c r="U16" s="12"/>
      <c r="V16" s="12"/>
    </row>
    <row r="17" spans="1:19" x14ac:dyDescent="0.2">
      <c r="A17" s="9"/>
      <c r="B17" s="9"/>
      <c r="C17" s="9"/>
      <c r="D17" s="9"/>
      <c r="E17" s="9"/>
      <c r="F17" s="9"/>
      <c r="G17" s="9"/>
      <c r="H17" s="9"/>
      <c r="I17" s="9"/>
      <c r="J17" s="9"/>
      <c r="K17" s="9"/>
      <c r="L17" s="9"/>
    </row>
    <row r="18" spans="1:19" x14ac:dyDescent="0.2">
      <c r="A18" s="9"/>
      <c r="B18" s="9"/>
      <c r="C18" s="9"/>
      <c r="D18" s="9"/>
      <c r="E18" s="9"/>
      <c r="F18" s="9"/>
      <c r="G18" s="9"/>
      <c r="H18" s="9"/>
      <c r="I18" s="9"/>
      <c r="J18" s="9"/>
      <c r="K18" s="9"/>
      <c r="L18" s="9"/>
    </row>
    <row r="19" spans="1:19" ht="15.75" x14ac:dyDescent="0.25">
      <c r="A19" s="9"/>
      <c r="B19" s="9"/>
      <c r="C19" s="9"/>
      <c r="D19" s="9"/>
      <c r="E19" s="10"/>
      <c r="F19" s="9"/>
      <c r="G19" s="9"/>
      <c r="H19" s="9"/>
      <c r="I19" s="9"/>
      <c r="J19" s="9"/>
      <c r="K19" s="9"/>
      <c r="L19" s="9"/>
      <c r="S19" s="18"/>
    </row>
    <row r="20" spans="1:19" x14ac:dyDescent="0.2">
      <c r="A20" s="9"/>
      <c r="B20" s="9"/>
      <c r="C20" s="9"/>
      <c r="D20" s="9"/>
      <c r="E20" s="9"/>
      <c r="F20" s="9"/>
      <c r="G20" s="9"/>
      <c r="H20" s="9"/>
      <c r="I20" s="9"/>
      <c r="J20" s="9"/>
      <c r="K20" s="9"/>
      <c r="L20" s="9"/>
    </row>
    <row r="21" spans="1:19" ht="9" customHeight="1" x14ac:dyDescent="0.2">
      <c r="A21" s="9"/>
      <c r="B21" s="9"/>
      <c r="C21" s="9"/>
      <c r="D21" s="9"/>
      <c r="E21" s="9"/>
      <c r="F21" s="9"/>
      <c r="G21" s="9"/>
      <c r="H21" s="9"/>
      <c r="I21" s="9"/>
      <c r="J21" s="9"/>
      <c r="K21" s="9"/>
      <c r="L21" s="9"/>
    </row>
    <row r="22" spans="1:19" ht="15" customHeight="1" x14ac:dyDescent="0.2">
      <c r="A22" s="9"/>
      <c r="B22" s="419" t="str">
        <f>'Lookup data'!F34</f>
        <v xml:space="preserve">338 (93 per cent) optometry practices were accredited to provide Eye Health Examinations Wales services in Wales in the 2016-17 financial year; a 5 percentage point increase on the previous year. </v>
      </c>
      <c r="C22" s="419"/>
      <c r="D22" s="419"/>
      <c r="E22" s="419"/>
      <c r="F22" s="419"/>
      <c r="G22" s="419"/>
      <c r="H22" s="419"/>
      <c r="I22" s="419"/>
      <c r="J22" s="419"/>
      <c r="K22" s="9"/>
      <c r="L22" s="9"/>
    </row>
    <row r="23" spans="1:19" ht="21.75" customHeight="1" x14ac:dyDescent="0.2">
      <c r="A23" s="9"/>
      <c r="B23" s="419"/>
      <c r="C23" s="419"/>
      <c r="D23" s="419"/>
      <c r="E23" s="419"/>
      <c r="F23" s="419"/>
      <c r="G23" s="419"/>
      <c r="H23" s="419"/>
      <c r="I23" s="419"/>
      <c r="J23" s="419"/>
      <c r="K23" s="9"/>
      <c r="L23" s="9"/>
    </row>
    <row r="24" spans="1:19" ht="15" customHeight="1" x14ac:dyDescent="0.2">
      <c r="A24" s="9"/>
      <c r="B24" s="419" t="str">
        <f>'Lookup data'!F36</f>
        <v>210 (58 per cent) optometry practices were accredited to provide Low Vision Service Wales services in Wales in the 2016-17 financial year; a 2 percentage point increase on the previous year.</v>
      </c>
      <c r="C24" s="419"/>
      <c r="D24" s="419"/>
      <c r="E24" s="419"/>
      <c r="F24" s="419"/>
      <c r="G24" s="419"/>
      <c r="H24" s="419"/>
      <c r="I24" s="419"/>
      <c r="J24" s="419"/>
      <c r="K24" s="9"/>
      <c r="L24" s="9"/>
    </row>
    <row r="25" spans="1:19" ht="20.25" customHeight="1" x14ac:dyDescent="0.2">
      <c r="A25" s="9"/>
      <c r="B25" s="419"/>
      <c r="C25" s="419"/>
      <c r="D25" s="419"/>
      <c r="E25" s="419"/>
      <c r="F25" s="419"/>
      <c r="G25" s="419"/>
      <c r="H25" s="419"/>
      <c r="I25" s="419"/>
      <c r="J25" s="419"/>
      <c r="K25" s="9"/>
      <c r="L25" s="9"/>
    </row>
    <row r="26" spans="1:19" ht="14.25" customHeight="1" x14ac:dyDescent="0.25">
      <c r="A26" s="36"/>
      <c r="B26" s="23"/>
      <c r="C26" s="23"/>
      <c r="D26" s="23"/>
      <c r="E26" s="23"/>
      <c r="F26" s="23"/>
      <c r="G26" s="23"/>
      <c r="H26" s="23"/>
      <c r="I26" s="23"/>
      <c r="J26" s="9"/>
      <c r="K26" s="9"/>
      <c r="L26" s="9"/>
    </row>
    <row r="27" spans="1:19" ht="37.5" customHeight="1" x14ac:dyDescent="0.25">
      <c r="A27" s="418" t="s">
        <v>74</v>
      </c>
      <c r="B27" s="418"/>
      <c r="C27" s="418"/>
      <c r="D27" s="418"/>
      <c r="E27" s="418"/>
      <c r="F27" s="418"/>
      <c r="G27" s="418"/>
      <c r="H27" s="418"/>
      <c r="I27" s="418"/>
      <c r="J27" s="9"/>
      <c r="K27" s="9"/>
      <c r="L27" s="9"/>
    </row>
    <row r="28" spans="1:19" hidden="1" x14ac:dyDescent="0.2">
      <c r="A28" s="23"/>
      <c r="B28" s="23"/>
      <c r="J28" s="9"/>
      <c r="K28" s="9"/>
      <c r="L28" s="9"/>
    </row>
  </sheetData>
  <sheetProtection password="E69E" sheet="1" objects="1" scenarios="1"/>
  <mergeCells count="6">
    <mergeCell ref="A4:K7"/>
    <mergeCell ref="A27:I27"/>
    <mergeCell ref="B22:J23"/>
    <mergeCell ref="B24:J25"/>
    <mergeCell ref="A8:K8"/>
    <mergeCell ref="A9:K9"/>
  </mergeCells>
  <hyperlinks>
    <hyperlink ref="A9:I9" location="'Select Health Board'!A1" display="Click here to select a different health board"/>
  </hyperlinks>
  <pageMargins left="0.7" right="0.7" top="0.75" bottom="0.75" header="0.3" footer="0.3"/>
  <pageSetup paperSize="9" orientation="landscape" horizontalDpi="300" verticalDpi="300" r:id="rId1"/>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6FFCD"/>
    <pageSetUpPr fitToPage="1"/>
  </sheetPr>
  <dimension ref="A1:ABI31"/>
  <sheetViews>
    <sheetView showRowColHeaders="0" zoomScaleNormal="100" workbookViewId="0"/>
  </sheetViews>
  <sheetFormatPr defaultColWidth="0" defaultRowHeight="15" zeroHeight="1" x14ac:dyDescent="0.2"/>
  <cols>
    <col min="1" max="1" width="8.88671875" style="8" customWidth="1"/>
    <col min="2" max="2" width="1.88671875" style="8" customWidth="1"/>
    <col min="3" max="9" width="8.88671875" style="8" customWidth="1"/>
    <col min="10" max="10" width="8.21875" style="8" customWidth="1"/>
    <col min="11" max="11" width="0.6640625" style="8" customWidth="1"/>
    <col min="12" max="89" width="8.88671875" style="8" hidden="1" customWidth="1"/>
    <col min="90" max="737" width="0" style="8" hidden="1" customWidth="1"/>
    <col min="738" max="738" width="8.88671875" style="8" hidden="1" customWidth="1"/>
    <col min="739" max="16384" width="8.88671875" style="8" hidden="1"/>
  </cols>
  <sheetData>
    <row r="1" spans="1:22" ht="15" customHeight="1"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256"/>
      <c r="O3" s="256"/>
      <c r="P3" s="256"/>
      <c r="Q3" s="256"/>
      <c r="R3" s="256"/>
      <c r="S3" s="256"/>
      <c r="T3" s="256"/>
      <c r="U3" s="256"/>
      <c r="V3" s="256"/>
    </row>
    <row r="4" spans="1:22" s="390" customFormat="1" ht="22.5" customHeight="1" x14ac:dyDescent="0.2">
      <c r="A4" s="390" t="s">
        <v>660</v>
      </c>
    </row>
    <row r="5" spans="1:22" s="390" customFormat="1" ht="18.75" customHeight="1" x14ac:dyDescent="0.2"/>
    <row r="6" spans="1:22" ht="37.5" customHeight="1" x14ac:dyDescent="0.2">
      <c r="A6" s="422" t="s">
        <v>661</v>
      </c>
      <c r="B6" s="422"/>
      <c r="C6" s="422"/>
      <c r="D6" s="422"/>
      <c r="E6" s="422"/>
      <c r="F6" s="422"/>
      <c r="G6" s="422"/>
      <c r="H6" s="422"/>
      <c r="I6" s="422"/>
      <c r="J6" s="422"/>
      <c r="K6" s="422"/>
      <c r="L6" s="9"/>
      <c r="N6" s="13"/>
      <c r="O6" s="12"/>
      <c r="P6" s="12"/>
      <c r="Q6" s="12"/>
      <c r="R6" s="12"/>
      <c r="S6" s="12"/>
      <c r="T6" s="12"/>
      <c r="U6" s="12"/>
      <c r="V6" s="12"/>
    </row>
    <row r="7" spans="1:22" s="323" customFormat="1" ht="15.75" customHeight="1" x14ac:dyDescent="0.25">
      <c r="A7" s="400" t="str">
        <f>"Showing data for: "&amp;VLOOKUP('Lookup data'!A110,'Lookup data'!B110:C117,2,FALSE)</f>
        <v>Showing data for: Wales</v>
      </c>
      <c r="B7" s="400"/>
      <c r="C7" s="400"/>
      <c r="D7" s="400"/>
      <c r="E7" s="400"/>
      <c r="F7" s="400"/>
      <c r="G7" s="400"/>
      <c r="H7" s="400"/>
      <c r="I7" s="400"/>
      <c r="J7" s="400"/>
      <c r="K7" s="400"/>
    </row>
    <row r="8" spans="1:22" ht="21.75" customHeight="1" x14ac:dyDescent="0.2">
      <c r="A8" s="413" t="str">
        <f>IF(A7="Showing data for: Wales", "Click here to select a health board", "Click here to select Wales or a different health board")</f>
        <v>Click here to select a health board</v>
      </c>
      <c r="B8" s="413"/>
      <c r="C8" s="413"/>
      <c r="D8" s="413"/>
      <c r="E8" s="413"/>
      <c r="F8" s="413"/>
      <c r="G8" s="413"/>
      <c r="H8" s="413"/>
      <c r="I8" s="413"/>
      <c r="J8" s="413"/>
      <c r="K8" s="413"/>
      <c r="L8" s="9"/>
      <c r="N8" s="14"/>
      <c r="O8" s="12"/>
      <c r="P8" s="12"/>
      <c r="Q8" s="12"/>
      <c r="R8" s="12"/>
      <c r="S8" s="12"/>
      <c r="T8" s="12"/>
      <c r="U8" s="12"/>
      <c r="V8" s="12"/>
    </row>
    <row r="9" spans="1:22" s="327" customFormat="1" ht="15" customHeight="1" x14ac:dyDescent="0.2">
      <c r="A9" s="8"/>
      <c r="B9" s="8"/>
      <c r="C9" s="8"/>
      <c r="D9" s="8"/>
      <c r="E9" s="8"/>
      <c r="F9" s="8"/>
      <c r="G9" s="8"/>
      <c r="H9" s="423" t="str">
        <f>'Lookup data'!F41</f>
        <v>Chart 6 shows that from 2013-14 to 2015-16 the total number of referrals in Wales increased.</v>
      </c>
      <c r="I9" s="423"/>
      <c r="J9" s="423"/>
    </row>
    <row r="10" spans="1:22" s="327" customFormat="1" ht="15" customHeight="1" x14ac:dyDescent="0.2">
      <c r="A10" s="9"/>
      <c r="B10" s="9"/>
      <c r="C10" s="19"/>
      <c r="D10" s="19"/>
      <c r="E10" s="19"/>
      <c r="F10" s="19"/>
      <c r="G10"/>
      <c r="H10" s="423"/>
      <c r="I10" s="423"/>
      <c r="J10" s="423"/>
    </row>
    <row r="11" spans="1:22" s="327" customFormat="1" ht="18" customHeight="1" x14ac:dyDescent="0.2">
      <c r="A11" s="9"/>
      <c r="B11" s="9"/>
      <c r="C11" s="9"/>
      <c r="D11" s="9"/>
      <c r="E11" s="9"/>
      <c r="F11" s="9"/>
      <c r="G11" s="9"/>
      <c r="H11" s="423"/>
      <c r="I11" s="423"/>
      <c r="J11" s="423"/>
    </row>
    <row r="12" spans="1:22" s="327" customFormat="1" ht="14.25" customHeight="1" x14ac:dyDescent="0.25">
      <c r="A12" s="9"/>
      <c r="B12" s="9"/>
      <c r="C12" s="20"/>
      <c r="D12" s="20"/>
      <c r="E12" s="20"/>
      <c r="F12" s="20"/>
      <c r="G12" s="8"/>
      <c r="H12" s="423"/>
      <c r="I12" s="423"/>
      <c r="J12" s="423"/>
    </row>
    <row r="13" spans="1:22" s="327" customFormat="1" ht="3.75" customHeight="1" x14ac:dyDescent="0.2">
      <c r="A13" s="9"/>
      <c r="B13" s="9"/>
      <c r="C13" s="9"/>
      <c r="D13" s="9"/>
      <c r="E13" s="9"/>
      <c r="F13" s="9"/>
      <c r="G13" s="220"/>
      <c r="H13" s="423"/>
      <c r="I13" s="423"/>
      <c r="J13" s="423"/>
    </row>
    <row r="14" spans="1:22" s="327" customFormat="1" ht="15.75" customHeight="1" x14ac:dyDescent="0.25">
      <c r="A14" s="9"/>
      <c r="B14" s="9"/>
      <c r="C14" s="21"/>
      <c r="D14" s="21"/>
      <c r="E14" s="21"/>
      <c r="F14" s="21"/>
      <c r="G14" s="220"/>
      <c r="H14" s="423"/>
      <c r="I14" s="423"/>
      <c r="J14" s="423"/>
    </row>
    <row r="15" spans="1:22" s="327" customFormat="1" ht="15" customHeight="1" x14ac:dyDescent="0.25">
      <c r="A15" s="9"/>
      <c r="B15" s="9"/>
      <c r="C15" s="21"/>
      <c r="D15" s="21"/>
      <c r="E15" s="21"/>
      <c r="F15" s="21"/>
      <c r="G15" s="220"/>
      <c r="H15" s="423" t="str">
        <f>'Lookup data'!F42</f>
        <v>The number of referrals from GPs in Wales has decreased over the same period of time but note that Betsi Cadwaladr were unable to submit data for part of the health board for November 2016-March 2017 due to moving to the national Welsh Patient Administration System (WPAS).</v>
      </c>
      <c r="I15" s="423"/>
      <c r="J15" s="423"/>
    </row>
    <row r="16" spans="1:22" ht="15" customHeight="1" x14ac:dyDescent="0.2">
      <c r="A16" s="9"/>
      <c r="B16" s="9"/>
      <c r="C16" s="9"/>
      <c r="D16" s="9"/>
      <c r="E16" s="9"/>
      <c r="F16" s="9"/>
      <c r="G16" s="220"/>
      <c r="H16" s="423"/>
      <c r="I16" s="423"/>
      <c r="J16" s="423"/>
      <c r="K16" s="9"/>
      <c r="L16" s="9"/>
    </row>
    <row r="17" spans="1:19" ht="15" customHeight="1" x14ac:dyDescent="0.2">
      <c r="A17" s="9"/>
      <c r="B17" s="9"/>
      <c r="C17" s="9"/>
      <c r="D17" s="9"/>
      <c r="E17" s="9"/>
      <c r="F17" s="9"/>
      <c r="G17" s="220"/>
      <c r="H17" s="423"/>
      <c r="I17" s="423"/>
      <c r="J17" s="423"/>
      <c r="K17" s="9"/>
      <c r="L17" s="9"/>
    </row>
    <row r="18" spans="1:19" ht="15.75" customHeight="1" x14ac:dyDescent="0.25">
      <c r="A18" s="9"/>
      <c r="B18" s="9"/>
      <c r="C18" s="9"/>
      <c r="D18" s="9"/>
      <c r="E18" s="10"/>
      <c r="F18" s="9"/>
      <c r="G18" s="9"/>
      <c r="H18" s="423"/>
      <c r="I18" s="423"/>
      <c r="J18" s="423"/>
      <c r="K18" s="9"/>
      <c r="L18" s="9"/>
      <c r="S18" s="18"/>
    </row>
    <row r="19" spans="1:19" ht="15" customHeight="1" x14ac:dyDescent="0.2">
      <c r="A19" s="9"/>
      <c r="B19" s="9"/>
      <c r="C19" s="9"/>
      <c r="D19" s="9"/>
      <c r="E19" s="9"/>
      <c r="F19" s="9"/>
      <c r="H19" s="423"/>
      <c r="I19" s="423"/>
      <c r="J19" s="423"/>
      <c r="K19" s="9"/>
      <c r="L19" s="9"/>
    </row>
    <row r="20" spans="1:19" x14ac:dyDescent="0.2">
      <c r="A20" s="9"/>
      <c r="B20" s="9"/>
      <c r="C20" s="9"/>
      <c r="D20" s="9"/>
      <c r="E20" s="9"/>
      <c r="F20" s="9"/>
      <c r="G20" s="220"/>
      <c r="H20" s="423"/>
      <c r="I20" s="423"/>
      <c r="J20" s="423"/>
      <c r="K20" s="9"/>
      <c r="L20" s="9"/>
    </row>
    <row r="21" spans="1:19" x14ac:dyDescent="0.2">
      <c r="A21" s="9"/>
      <c r="B21" s="9"/>
      <c r="C21" s="9"/>
      <c r="D21" s="9"/>
      <c r="E21" s="9"/>
      <c r="F21" s="9"/>
      <c r="G21" s="220"/>
      <c r="H21" s="423"/>
      <c r="I21" s="423"/>
      <c r="J21" s="423"/>
      <c r="K21" s="9"/>
      <c r="L21" s="9"/>
    </row>
    <row r="22" spans="1:19" ht="15" customHeight="1" x14ac:dyDescent="0.2">
      <c r="A22" s="358"/>
      <c r="B22" s="358"/>
      <c r="C22" s="358"/>
      <c r="D22" s="358"/>
      <c r="E22" s="358"/>
      <c r="F22" s="358"/>
      <c r="G22" s="358"/>
      <c r="H22" s="423"/>
      <c r="I22" s="423"/>
      <c r="J22" s="423"/>
      <c r="K22" s="9"/>
      <c r="L22" s="9"/>
    </row>
    <row r="23" spans="1:19" x14ac:dyDescent="0.2">
      <c r="A23" s="358"/>
      <c r="B23" s="358"/>
      <c r="C23" s="358"/>
      <c r="D23" s="358"/>
      <c r="E23" s="358"/>
      <c r="F23" s="358"/>
      <c r="G23" s="358"/>
      <c r="H23" s="423"/>
      <c r="I23" s="423"/>
      <c r="J23" s="423"/>
      <c r="K23" s="9"/>
      <c r="L23" s="9"/>
    </row>
    <row r="24" spans="1:19" ht="18.75" customHeight="1" x14ac:dyDescent="0.2">
      <c r="A24" s="421" t="s">
        <v>75</v>
      </c>
      <c r="B24" s="421"/>
      <c r="C24" s="421"/>
      <c r="D24" s="421"/>
      <c r="E24" s="421"/>
      <c r="F24" s="421"/>
      <c r="G24" s="421"/>
      <c r="H24" s="421"/>
      <c r="I24" s="421"/>
      <c r="J24" s="9"/>
      <c r="K24" s="9"/>
      <c r="L24" s="9"/>
    </row>
    <row r="25" spans="1:19" ht="23.25" customHeight="1" x14ac:dyDescent="0.2">
      <c r="A25" s="421"/>
      <c r="B25" s="421"/>
      <c r="C25" s="421"/>
      <c r="D25" s="421"/>
      <c r="E25" s="421"/>
      <c r="F25" s="421"/>
      <c r="G25" s="421"/>
      <c r="H25" s="421"/>
      <c r="I25" s="421"/>
      <c r="J25" s="9"/>
      <c r="K25" s="9"/>
      <c r="L25" s="9"/>
    </row>
    <row r="26" spans="1:19" ht="14.25" customHeight="1" x14ac:dyDescent="0.2">
      <c r="A26" s="421"/>
      <c r="B26" s="421"/>
      <c r="C26" s="421"/>
      <c r="D26" s="421"/>
      <c r="E26" s="421"/>
      <c r="F26" s="421"/>
      <c r="G26" s="421"/>
      <c r="H26" s="421"/>
      <c r="I26" s="421"/>
      <c r="J26" s="9"/>
      <c r="K26" s="9"/>
      <c r="L26" s="9"/>
    </row>
    <row r="27" spans="1:19" hidden="1" x14ac:dyDescent="0.2">
      <c r="A27" s="9"/>
      <c r="B27" s="9"/>
      <c r="C27" s="9"/>
      <c r="D27" s="9"/>
      <c r="E27" s="9"/>
      <c r="F27" s="9"/>
      <c r="G27" s="9"/>
      <c r="H27" s="9"/>
      <c r="I27" s="9"/>
      <c r="J27" s="9"/>
      <c r="K27" s="9"/>
      <c r="L27" s="9"/>
    </row>
    <row r="28" spans="1:19" hidden="1" x14ac:dyDescent="0.2"/>
    <row r="29" spans="1:19" hidden="1" x14ac:dyDescent="0.2">
      <c r="C29" s="2"/>
      <c r="D29" s="6"/>
      <c r="E29" s="6"/>
      <c r="F29" s="6"/>
      <c r="G29" s="6"/>
      <c r="H29" s="1"/>
      <c r="I29" s="1"/>
      <c r="J29" s="1"/>
      <c r="K29" s="1"/>
      <c r="L29" s="1"/>
      <c r="M29" s="1"/>
      <c r="N29" s="1"/>
      <c r="O29" s="1"/>
      <c r="P29" s="1"/>
      <c r="Q29" s="1"/>
      <c r="R29" s="1"/>
    </row>
    <row r="30" spans="1:19" hidden="1" x14ac:dyDescent="0.2">
      <c r="C30" s="1"/>
      <c r="D30" s="5"/>
      <c r="E30" s="7"/>
      <c r="F30" s="5"/>
      <c r="G30" s="5"/>
      <c r="H30" s="4"/>
      <c r="I30" s="420"/>
      <c r="J30" s="420"/>
      <c r="K30" s="420"/>
      <c r="L30" s="420"/>
      <c r="M30" s="420"/>
      <c r="N30" s="420"/>
      <c r="O30" s="420"/>
      <c r="P30" s="420"/>
      <c r="Q30" s="420"/>
      <c r="R30" s="420"/>
    </row>
    <row r="31" spans="1:19" hidden="1" x14ac:dyDescent="0.2">
      <c r="C31" s="1"/>
      <c r="D31" s="5"/>
      <c r="E31" s="7"/>
      <c r="F31" s="5"/>
      <c r="G31" s="5"/>
      <c r="H31" s="4"/>
      <c r="I31" s="420"/>
      <c r="J31" s="420"/>
      <c r="K31" s="420"/>
      <c r="L31" s="420"/>
      <c r="M31" s="420"/>
      <c r="N31" s="420"/>
      <c r="O31" s="420"/>
      <c r="P31" s="420"/>
      <c r="Q31" s="420"/>
      <c r="R31" s="420"/>
    </row>
  </sheetData>
  <sheetProtection password="E69E" sheet="1" objects="1" scenarios="1"/>
  <mergeCells count="9">
    <mergeCell ref="A4:XFD5"/>
    <mergeCell ref="I30:R30"/>
    <mergeCell ref="I31:R31"/>
    <mergeCell ref="A24:I26"/>
    <mergeCell ref="A8:K8"/>
    <mergeCell ref="A6:K6"/>
    <mergeCell ref="A7:K7"/>
    <mergeCell ref="H9:J14"/>
    <mergeCell ref="H15:J23"/>
  </mergeCells>
  <hyperlinks>
    <hyperlink ref="A8:I8" location="'Select Health Board'!A1" display="Click here to select a different health board"/>
  </hyperlinks>
  <pageMargins left="0.7" right="0.7" top="0.75" bottom="0.75" header="0.3" footer="0.3"/>
  <pageSetup paperSize="9" orientation="landscape" horizontalDpi="300" verticalDpi="300"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CDFFDE"/>
    <pageSetUpPr fitToPage="1"/>
  </sheetPr>
  <dimension ref="A1:V27"/>
  <sheetViews>
    <sheetView showRowColHeaders="0" zoomScaleNormal="100" workbookViewId="0"/>
  </sheetViews>
  <sheetFormatPr defaultColWidth="0" defaultRowHeight="15" zeroHeight="1" x14ac:dyDescent="0.2"/>
  <cols>
    <col min="1" max="1" width="1.109375" style="8" customWidth="1"/>
    <col min="2" max="2" width="9.88671875" style="8" customWidth="1"/>
    <col min="3" max="9" width="8.88671875" style="8" customWidth="1"/>
    <col min="10" max="10" width="8.5546875" style="8" customWidth="1"/>
    <col min="11" max="11" width="0.109375" style="8" customWidth="1"/>
    <col min="12" max="16384" width="8.88671875" style="8" hidden="1"/>
  </cols>
  <sheetData>
    <row r="1" spans="1:22" x14ac:dyDescent="0.2">
      <c r="A1" s="9"/>
      <c r="B1" s="9"/>
      <c r="C1" s="9"/>
      <c r="D1" s="9"/>
      <c r="E1" s="9"/>
      <c r="F1" s="9"/>
      <c r="G1" s="9"/>
      <c r="H1" s="9"/>
      <c r="I1" s="9"/>
      <c r="J1" s="9"/>
      <c r="K1" s="9"/>
      <c r="L1" s="9"/>
    </row>
    <row r="2" spans="1:22" ht="35.25" x14ac:dyDescent="0.5">
      <c r="A2" s="9"/>
      <c r="B2" s="9"/>
      <c r="C2" s="9"/>
      <c r="D2" s="11"/>
      <c r="F2" s="9"/>
      <c r="G2" s="9"/>
      <c r="H2" s="9"/>
      <c r="I2" s="9"/>
      <c r="J2" s="9"/>
      <c r="K2" s="9"/>
      <c r="L2" s="9"/>
    </row>
    <row r="3" spans="1:22" x14ac:dyDescent="0.2">
      <c r="A3" s="9"/>
      <c r="B3" s="9"/>
      <c r="C3" s="9"/>
      <c r="D3" s="9"/>
      <c r="E3" s="9"/>
      <c r="F3" s="9"/>
      <c r="G3" s="9"/>
      <c r="H3" s="9"/>
      <c r="I3" s="9"/>
      <c r="J3" s="9"/>
      <c r="K3" s="9"/>
      <c r="L3" s="9"/>
      <c r="N3" s="377"/>
      <c r="O3" s="377"/>
      <c r="P3" s="377"/>
      <c r="Q3" s="377"/>
      <c r="R3" s="377"/>
      <c r="S3" s="377"/>
      <c r="T3" s="377"/>
      <c r="U3" s="377"/>
      <c r="V3" s="377"/>
    </row>
    <row r="4" spans="1:22" ht="15.75" customHeight="1" x14ac:dyDescent="0.2">
      <c r="A4" s="422" t="s">
        <v>666</v>
      </c>
      <c r="B4" s="422"/>
      <c r="C4" s="422"/>
      <c r="D4" s="422"/>
      <c r="E4" s="422"/>
      <c r="F4" s="422"/>
      <c r="G4" s="422"/>
      <c r="H4" s="422"/>
      <c r="I4" s="422"/>
      <c r="J4" s="422"/>
      <c r="K4" s="9"/>
      <c r="L4" s="9"/>
      <c r="N4" s="377"/>
      <c r="O4" s="377"/>
      <c r="P4" s="377"/>
      <c r="Q4" s="377"/>
      <c r="R4" s="377"/>
      <c r="S4" s="377"/>
      <c r="T4" s="377"/>
      <c r="U4" s="377"/>
      <c r="V4" s="377"/>
    </row>
    <row r="5" spans="1:22" ht="15" customHeight="1" x14ac:dyDescent="0.2">
      <c r="A5" s="422"/>
      <c r="B5" s="422"/>
      <c r="C5" s="422"/>
      <c r="D5" s="422"/>
      <c r="E5" s="422"/>
      <c r="F5" s="422"/>
      <c r="G5" s="422"/>
      <c r="H5" s="422"/>
      <c r="I5" s="422"/>
      <c r="J5" s="422"/>
      <c r="K5" s="9"/>
      <c r="L5" s="9"/>
      <c r="N5" s="378"/>
      <c r="O5" s="378"/>
      <c r="P5" s="378"/>
      <c r="Q5" s="378"/>
      <c r="R5" s="378"/>
      <c r="S5" s="378"/>
      <c r="T5" s="378"/>
      <c r="U5" s="12"/>
      <c r="V5" s="12"/>
    </row>
    <row r="6" spans="1:22" s="389" customFormat="1" ht="39" customHeight="1" x14ac:dyDescent="0.2">
      <c r="A6" s="389" t="s">
        <v>667</v>
      </c>
    </row>
    <row r="7" spans="1:22" ht="15" customHeight="1" x14ac:dyDescent="0.2">
      <c r="A7" s="9"/>
      <c r="B7" s="9"/>
      <c r="C7" s="19"/>
      <c r="D7" s="291"/>
      <c r="E7" s="291"/>
      <c r="F7" s="291"/>
      <c r="G7" s="291"/>
      <c r="H7" s="291"/>
      <c r="I7" s="9"/>
      <c r="J7" s="9"/>
      <c r="K7" s="9"/>
      <c r="L7" s="9"/>
      <c r="N7" s="14"/>
      <c r="O7" s="12"/>
      <c r="P7" s="12"/>
      <c r="Q7" s="12"/>
      <c r="R7" s="12"/>
      <c r="S7" s="12"/>
      <c r="T7" s="12"/>
      <c r="U7" s="12"/>
      <c r="V7" s="12"/>
    </row>
    <row r="8" spans="1:22" ht="20.25" customHeight="1" x14ac:dyDescent="0.25">
      <c r="A8" s="400" t="str">
        <f>"Showing data for: "&amp;VLOOKUP('Lookup data'!A110,'Lookup data'!B110:C117,2,FALSE)</f>
        <v>Showing data for: Wales</v>
      </c>
      <c r="B8" s="400"/>
      <c r="C8" s="400"/>
      <c r="D8" s="400"/>
      <c r="E8" s="400"/>
      <c r="F8" s="400"/>
      <c r="G8" s="400"/>
      <c r="H8" s="400"/>
      <c r="I8" s="400"/>
      <c r="J8" s="400"/>
      <c r="K8" s="9"/>
      <c r="L8" s="9"/>
      <c r="N8" s="14"/>
      <c r="O8" s="12"/>
      <c r="P8" s="12"/>
      <c r="Q8" s="12"/>
      <c r="R8" s="12"/>
      <c r="S8" s="12"/>
      <c r="T8" s="12"/>
      <c r="U8" s="12"/>
      <c r="V8" s="12"/>
    </row>
    <row r="9" spans="1:22" ht="18" customHeight="1" x14ac:dyDescent="0.2">
      <c r="A9" s="413" t="str">
        <f>IF(A8="Showing data for: Wales", "Click here to select a health board", "Click here to select Wales or a different health board")</f>
        <v>Click here to select a health board</v>
      </c>
      <c r="B9" s="413"/>
      <c r="C9" s="413"/>
      <c r="D9" s="413"/>
      <c r="E9" s="413"/>
      <c r="F9" s="413"/>
      <c r="G9" s="413"/>
      <c r="H9" s="413"/>
      <c r="I9" s="413"/>
      <c r="J9" s="413"/>
      <c r="K9" s="9"/>
      <c r="L9" s="9"/>
      <c r="N9" s="14"/>
      <c r="O9" s="12"/>
      <c r="P9" s="12"/>
      <c r="Q9" s="12"/>
      <c r="R9" s="12"/>
      <c r="S9" s="12"/>
      <c r="T9" s="12"/>
      <c r="U9" s="12"/>
      <c r="V9" s="12"/>
    </row>
    <row r="10" spans="1:22" ht="16.5" customHeight="1" x14ac:dyDescent="0.2">
      <c r="A10" s="9"/>
      <c r="B10" s="9"/>
      <c r="C10" s="19"/>
      <c r="D10" s="19"/>
      <c r="E10" s="19"/>
      <c r="F10" s="19"/>
      <c r="G10" s="9"/>
      <c r="H10" s="9"/>
      <c r="I10" s="9"/>
      <c r="J10" s="9"/>
      <c r="K10" s="9"/>
      <c r="L10" s="9"/>
      <c r="N10" s="13"/>
      <c r="O10" s="15"/>
      <c r="P10" s="15"/>
      <c r="Q10" s="15"/>
      <c r="R10" s="15"/>
      <c r="S10" s="15"/>
      <c r="T10" s="15"/>
      <c r="U10" s="15"/>
      <c r="V10" s="12"/>
    </row>
    <row r="11" spans="1:22" ht="12" customHeight="1" x14ac:dyDescent="0.2">
      <c r="A11" s="9"/>
      <c r="B11" s="9"/>
      <c r="C11" s="9"/>
      <c r="D11" s="9"/>
      <c r="E11" s="9"/>
      <c r="F11" s="9"/>
      <c r="G11" s="9"/>
      <c r="H11" s="9"/>
      <c r="I11" s="9"/>
      <c r="J11" s="9"/>
      <c r="K11" s="9"/>
      <c r="L11" s="9"/>
      <c r="N11" s="14"/>
      <c r="O11" s="15"/>
      <c r="P11" s="15"/>
      <c r="Q11" s="15"/>
      <c r="R11" s="15"/>
      <c r="S11" s="15"/>
      <c r="T11" s="15"/>
      <c r="U11" s="15"/>
      <c r="V11" s="12"/>
    </row>
    <row r="12" spans="1:22" ht="15.75" customHeight="1" x14ac:dyDescent="0.25">
      <c r="A12" s="9"/>
      <c r="B12" s="388" t="str">
        <f>'Button control data'!J38</f>
        <v>Chart 7a shows that the number of people in Wales who had a low vision assessment has increased over the last 5 years. In 2016-17 the figure reached 8,792 which was over 700 more assessments than in 2015-16.</v>
      </c>
      <c r="C12" s="388"/>
      <c r="D12" s="388"/>
      <c r="E12" s="20"/>
      <c r="F12" s="20"/>
      <c r="G12" s="9"/>
      <c r="H12" s="9"/>
      <c r="I12" s="9"/>
      <c r="J12" s="9"/>
      <c r="K12" s="9"/>
      <c r="L12" s="9"/>
      <c r="N12" s="13"/>
      <c r="O12" s="15"/>
      <c r="P12" s="15"/>
      <c r="Q12" s="15"/>
      <c r="R12" s="15"/>
      <c r="S12" s="15"/>
      <c r="T12" s="15"/>
      <c r="U12" s="15"/>
      <c r="V12" s="12"/>
    </row>
    <row r="13" spans="1:22" ht="12.75" customHeight="1" x14ac:dyDescent="0.2">
      <c r="B13" s="388"/>
      <c r="C13" s="388"/>
      <c r="D13" s="388"/>
      <c r="E13" s="22"/>
      <c r="F13" s="9"/>
      <c r="G13" s="9"/>
      <c r="H13" s="9"/>
      <c r="I13" s="9"/>
      <c r="J13" s="9"/>
      <c r="K13" s="9"/>
      <c r="L13" s="9"/>
      <c r="N13" s="16"/>
      <c r="O13" s="17"/>
      <c r="P13" s="17"/>
      <c r="Q13" s="17"/>
      <c r="R13" s="17"/>
      <c r="S13" s="17"/>
      <c r="T13" s="17"/>
      <c r="U13" s="17"/>
      <c r="V13" s="17"/>
    </row>
    <row r="14" spans="1:22" ht="15.75" customHeight="1" x14ac:dyDescent="0.25">
      <c r="B14" s="388"/>
      <c r="C14" s="388"/>
      <c r="D14" s="388"/>
      <c r="E14" s="57"/>
      <c r="F14" s="21"/>
      <c r="G14" s="9"/>
      <c r="H14" s="9"/>
      <c r="I14" s="9"/>
      <c r="J14" s="9"/>
      <c r="K14" s="9"/>
      <c r="L14" s="9"/>
      <c r="N14" s="16"/>
      <c r="O14" s="17"/>
      <c r="P14" s="17"/>
      <c r="Q14" s="17"/>
      <c r="R14" s="17"/>
      <c r="S14" s="17"/>
      <c r="T14" s="17"/>
      <c r="U14" s="17"/>
      <c r="V14" s="17"/>
    </row>
    <row r="15" spans="1:22" ht="15" customHeight="1" x14ac:dyDescent="0.25">
      <c r="A15" s="22"/>
      <c r="B15" s="388"/>
      <c r="C15" s="388"/>
      <c r="D15" s="388"/>
      <c r="E15" s="22"/>
      <c r="F15" s="21"/>
      <c r="G15" s="9"/>
      <c r="H15" s="9"/>
      <c r="I15" s="9"/>
      <c r="J15" s="9"/>
      <c r="K15" s="9"/>
      <c r="L15" s="9"/>
      <c r="N15" s="16"/>
      <c r="O15" s="12"/>
      <c r="P15" s="12"/>
      <c r="Q15" s="12"/>
      <c r="R15" s="12"/>
      <c r="S15" s="12"/>
      <c r="T15" s="12"/>
      <c r="U15" s="12"/>
      <c r="V15" s="12"/>
    </row>
    <row r="16" spans="1:22" x14ac:dyDescent="0.2">
      <c r="A16" s="22"/>
      <c r="B16" s="388"/>
      <c r="C16" s="388"/>
      <c r="D16" s="388"/>
      <c r="E16" s="22"/>
      <c r="F16" s="9"/>
      <c r="G16" s="9"/>
      <c r="H16" s="9"/>
      <c r="I16" s="9"/>
      <c r="J16" s="9"/>
      <c r="K16" s="9"/>
      <c r="L16" s="9"/>
    </row>
    <row r="17" spans="1:19" x14ac:dyDescent="0.2">
      <c r="A17" s="22"/>
      <c r="B17" s="388"/>
      <c r="C17" s="388"/>
      <c r="D17" s="388"/>
      <c r="E17" s="22"/>
      <c r="F17" s="9"/>
      <c r="G17" s="9"/>
      <c r="H17" s="9"/>
      <c r="I17" s="9"/>
      <c r="J17" s="9"/>
      <c r="K17" s="9"/>
      <c r="L17" s="9"/>
    </row>
    <row r="18" spans="1:19" x14ac:dyDescent="0.2">
      <c r="A18" s="22"/>
      <c r="B18" s="388"/>
      <c r="C18" s="388"/>
      <c r="D18" s="388"/>
      <c r="E18" s="22"/>
      <c r="F18" s="9"/>
      <c r="G18" s="9"/>
      <c r="H18" s="9"/>
      <c r="I18" s="9"/>
      <c r="J18" s="9"/>
      <c r="K18" s="9"/>
      <c r="L18" s="9"/>
      <c r="S18" s="18"/>
    </row>
    <row r="19" spans="1:19" x14ac:dyDescent="0.2">
      <c r="A19" s="22"/>
      <c r="B19" s="388"/>
      <c r="C19" s="388"/>
      <c r="D19" s="388"/>
      <c r="E19" s="22"/>
      <c r="F19" s="9"/>
      <c r="G19" s="9"/>
      <c r="H19" s="9"/>
      <c r="I19" s="9"/>
      <c r="J19" s="9"/>
      <c r="K19" s="9"/>
      <c r="L19" s="9"/>
    </row>
    <row r="20" spans="1:19" x14ac:dyDescent="0.2">
      <c r="A20" s="22"/>
      <c r="B20" s="388"/>
      <c r="C20" s="388"/>
      <c r="D20" s="388"/>
      <c r="E20" s="22"/>
      <c r="F20" s="9"/>
      <c r="G20" s="9"/>
      <c r="H20" s="9"/>
      <c r="I20" s="9"/>
      <c r="J20" s="9"/>
      <c r="K20" s="9"/>
      <c r="L20" s="9"/>
    </row>
    <row r="21" spans="1:19" ht="15.75" customHeight="1" x14ac:dyDescent="0.2">
      <c r="A21" s="22"/>
      <c r="B21" s="388"/>
      <c r="C21" s="388"/>
      <c r="D21" s="388"/>
      <c r="E21" s="22"/>
      <c r="F21" s="9"/>
      <c r="G21" s="9"/>
      <c r="H21" s="9"/>
      <c r="I21" s="9"/>
      <c r="J21" s="9"/>
      <c r="K21" s="9"/>
      <c r="L21" s="9"/>
    </row>
    <row r="22" spans="1:19" ht="17.25" customHeight="1" x14ac:dyDescent="0.2">
      <c r="A22" s="22"/>
      <c r="B22" s="388"/>
      <c r="C22" s="388"/>
      <c r="D22" s="388"/>
      <c r="E22" s="57"/>
      <c r="F22" s="9"/>
      <c r="G22" s="9"/>
      <c r="H22" s="9"/>
      <c r="I22" s="9"/>
      <c r="J22" s="9"/>
      <c r="K22" s="9"/>
      <c r="L22" s="9"/>
    </row>
    <row r="23" spans="1:19" ht="18" customHeight="1" x14ac:dyDescent="0.2">
      <c r="A23" s="22"/>
      <c r="B23" s="388"/>
      <c r="C23" s="388"/>
      <c r="D23" s="388"/>
      <c r="E23" s="22"/>
      <c r="F23" s="9"/>
      <c r="G23" s="9"/>
      <c r="H23" s="9"/>
      <c r="I23" s="9"/>
      <c r="J23" s="9"/>
      <c r="K23" s="9"/>
      <c r="L23" s="9"/>
    </row>
    <row r="24" spans="1:19" ht="18.75" customHeight="1" x14ac:dyDescent="0.2">
      <c r="A24" s="421" t="s">
        <v>33</v>
      </c>
      <c r="B24" s="421"/>
      <c r="C24" s="421"/>
      <c r="D24" s="421"/>
      <c r="E24" s="421"/>
      <c r="F24" s="421"/>
      <c r="G24" s="421"/>
      <c r="H24" s="421"/>
      <c r="I24" s="421"/>
      <c r="J24" s="9"/>
      <c r="K24" s="9"/>
      <c r="L24" s="9"/>
    </row>
    <row r="25" spans="1:19" ht="18" customHeight="1" x14ac:dyDescent="0.2">
      <c r="A25" s="421"/>
      <c r="B25" s="421"/>
      <c r="C25" s="421"/>
      <c r="D25" s="421"/>
      <c r="E25" s="421"/>
      <c r="F25" s="421"/>
      <c r="G25" s="421"/>
      <c r="H25" s="421"/>
      <c r="I25" s="421"/>
      <c r="J25" s="9"/>
      <c r="K25" s="9"/>
      <c r="L25" s="9"/>
    </row>
    <row r="26" spans="1:19" ht="18" customHeight="1" x14ac:dyDescent="0.2">
      <c r="A26" s="421"/>
      <c r="B26" s="421"/>
      <c r="C26" s="421"/>
      <c r="D26" s="421"/>
      <c r="E26" s="421"/>
      <c r="F26" s="421"/>
      <c r="G26" s="421"/>
      <c r="H26" s="421"/>
      <c r="I26" s="421"/>
      <c r="J26" s="9"/>
      <c r="K26" s="9"/>
      <c r="L26" s="9"/>
    </row>
    <row r="27" spans="1:19" hidden="1" x14ac:dyDescent="0.2">
      <c r="A27" s="9"/>
      <c r="B27" s="9"/>
      <c r="C27" s="9"/>
      <c r="D27" s="9"/>
      <c r="E27" s="9"/>
      <c r="F27" s="9"/>
      <c r="G27" s="9"/>
      <c r="H27" s="9"/>
      <c r="I27" s="9"/>
      <c r="J27" s="9"/>
      <c r="K27" s="9"/>
      <c r="L27" s="9"/>
    </row>
  </sheetData>
  <sheetProtection password="E69E" sheet="1" objects="1" scenarios="1"/>
  <mergeCells count="8">
    <mergeCell ref="N3:V4"/>
    <mergeCell ref="N5:T5"/>
    <mergeCell ref="A24:I26"/>
    <mergeCell ref="A8:J8"/>
    <mergeCell ref="A9:J9"/>
    <mergeCell ref="A4:J5"/>
    <mergeCell ref="A6:XFD6"/>
    <mergeCell ref="B12:D23"/>
  </mergeCells>
  <hyperlinks>
    <hyperlink ref="A9:J9" location="'Select Health Board'!A1" display="Click here to select a different health board"/>
  </hyperlinks>
  <pageMargins left="0.7" right="0.7" top="0.75" bottom="0.75" header="0.3" footer="0.3"/>
  <pageSetup paperSize="9" orientation="landscape" horizontalDpi="300" verticalDpi="300" r:id="rId1"/>
  <colBreaks count="1" manualBreakCount="1">
    <brk id="50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3555" r:id="rId4" name="Drop Down 3">
              <controlPr locked="0" defaultSize="0" autoLine="0" autoPict="0">
                <anchor moveWithCells="1">
                  <from>
                    <xdr:col>1</xdr:col>
                    <xdr:colOff>552450</xdr:colOff>
                    <xdr:row>9</xdr:row>
                    <xdr:rowOff>38100</xdr:rowOff>
                  </from>
                  <to>
                    <xdr:col>9</xdr:col>
                    <xdr:colOff>76200</xdr:colOff>
                    <xdr:row>10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38</vt:i4>
      </vt:variant>
    </vt:vector>
  </HeadingPairs>
  <TitlesOfParts>
    <vt:vector size="61" baseType="lpstr">
      <vt:lpstr>Home</vt:lpstr>
      <vt:lpstr>Select Health Board</vt:lpstr>
      <vt:lpstr>Sight Loss</vt:lpstr>
      <vt:lpstr>Sight Tests</vt:lpstr>
      <vt:lpstr>EHEW</vt:lpstr>
      <vt:lpstr>Vouchers &amp; Repairs</vt:lpstr>
      <vt:lpstr>Optometry Practices</vt:lpstr>
      <vt:lpstr>Referrals</vt:lpstr>
      <vt:lpstr>LVS</vt:lpstr>
      <vt:lpstr>DESW</vt:lpstr>
      <vt:lpstr>Ophthalmic Practitioners</vt:lpstr>
      <vt:lpstr>NHS Workforce</vt:lpstr>
      <vt:lpstr>Disability Registers</vt:lpstr>
      <vt:lpstr>Hearing Aid Waiting Times</vt:lpstr>
      <vt:lpstr>Ophthalmology Waiting Times</vt:lpstr>
      <vt:lpstr>Hospital Admissions</vt:lpstr>
      <vt:lpstr>Summary</vt:lpstr>
      <vt:lpstr>Comparisons</vt:lpstr>
      <vt:lpstr>Notes</vt:lpstr>
      <vt:lpstr>All data</vt:lpstr>
      <vt:lpstr>Lookup data</vt:lpstr>
      <vt:lpstr>Button control data</vt:lpstr>
      <vt:lpstr>Comparison data</vt:lpstr>
      <vt:lpstr>Chart1</vt:lpstr>
      <vt:lpstr>Chart14a</vt:lpstr>
      <vt:lpstr>Chart14b</vt:lpstr>
      <vt:lpstr>Chart14c</vt:lpstr>
      <vt:lpstr>Chart14d</vt:lpstr>
      <vt:lpstr>Chart15a</vt:lpstr>
      <vt:lpstr>Chart15b</vt:lpstr>
      <vt:lpstr>Chart15c</vt:lpstr>
      <vt:lpstr>Chart15d</vt:lpstr>
      <vt:lpstr>Chart15e</vt:lpstr>
      <vt:lpstr>Chart15f</vt:lpstr>
      <vt:lpstr>Chart15g</vt:lpstr>
      <vt:lpstr>Chart15h</vt:lpstr>
      <vt:lpstr>Chart15i</vt:lpstr>
      <vt:lpstr>Chart15j</vt:lpstr>
      <vt:lpstr>Chart15k</vt:lpstr>
      <vt:lpstr>Chart2</vt:lpstr>
      <vt:lpstr>Chart3</vt:lpstr>
      <vt:lpstr>Chart4</vt:lpstr>
      <vt:lpstr>LVS</vt:lpstr>
      <vt:lpstr>Comparisons!Print_Area</vt:lpstr>
      <vt:lpstr>DESW!Print_Area</vt:lpstr>
      <vt:lpstr>'Disability Registers'!Print_Area</vt:lpstr>
      <vt:lpstr>EHEW!Print_Area</vt:lpstr>
      <vt:lpstr>Home!Print_Area</vt:lpstr>
      <vt:lpstr>LVS!Print_Area</vt:lpstr>
      <vt:lpstr>'NHS Workforce'!Print_Area</vt:lpstr>
      <vt:lpstr>Notes!Print_Area</vt:lpstr>
      <vt:lpstr>'Ophthalmic Practitioners'!Print_Area</vt:lpstr>
      <vt:lpstr>'Optometry Practices'!Print_Area</vt:lpstr>
      <vt:lpstr>Referrals!Print_Area</vt:lpstr>
      <vt:lpstr>'Select Health Board'!Print_Area</vt:lpstr>
      <vt:lpstr>'Sight Loss'!Print_Area</vt:lpstr>
      <vt:lpstr>'Sight Tests'!Print_Area</vt:lpstr>
      <vt:lpstr>Summary!Print_Area</vt:lpstr>
      <vt:lpstr>'Vouchers &amp; Repairs'!Print_Area</vt:lpstr>
      <vt:lpstr>sightLoss</vt:lpstr>
      <vt:lpstr>sightTest</vt:lpstr>
    </vt:vector>
  </TitlesOfParts>
  <Company>Welsh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Gwyneth (FCS - KAS)</dc:creator>
  <cp:lastModifiedBy>Cox, Jonathan (FCS - KAS)</cp:lastModifiedBy>
  <cp:lastPrinted>2017-06-09T15:15:18Z</cp:lastPrinted>
  <dcterms:created xsi:type="dcterms:W3CDTF">2016-02-01T15:51:52Z</dcterms:created>
  <dcterms:modified xsi:type="dcterms:W3CDTF">2017-06-27T14:16:26Z</dcterms:modified>
</cp:coreProperties>
</file>